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3.xml" ContentType="application/vnd.openxmlformats-officedocument.drawing+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812"/>
  <workbookPr codeName="ThisWorkbook" defaultThemeVersion="124226"/>
  <mc:AlternateContent xmlns:mc="http://schemas.openxmlformats.org/markup-compatibility/2006">
    <mc:Choice Requires="x15">
      <x15ac:absPath xmlns:x15ac="http://schemas.microsoft.com/office/spreadsheetml/2010/11/ac" url="https://concordusa1-my.sharepoint.com/personal/yan_kravchenko_concordusa_com/Documents/Documents/Clients/Surescripts/2019 - SAMM Assessment/"/>
    </mc:Choice>
  </mc:AlternateContent>
  <xr:revisionPtr revIDLastSave="2078" documentId="8_{B3C76C78-4F61-E644-B7C6-51EB49309563}" xr6:coauthVersionLast="44" xr6:coauthVersionMax="44" xr10:uidLastSave="{D517387A-B2B4-EF4E-B34D-770E3115640F}"/>
  <bookViews>
    <workbookView xWindow="0" yWindow="460" windowWidth="33600" windowHeight="19640" xr2:uid="{00000000-000D-0000-FFFF-FFFF00000000}"/>
  </bookViews>
  <sheets>
    <sheet name="Attribution and License" sheetId="8" r:id="rId1"/>
    <sheet name="Interview" sheetId="2" r:id="rId2"/>
    <sheet name="Scorecard" sheetId="3" r:id="rId3"/>
    <sheet name="Roadmap" sheetId="9" r:id="rId4"/>
    <sheet name="Roadmap Chart" sheetId="5" r:id="rId5"/>
    <sheet name="Lookups" sheetId="4" state="hidden" r:id="rId6"/>
    <sheet name="imp-questions" sheetId="11" state="hidden" r:id="rId7"/>
    <sheet name="imp-answers" sheetId="10" state="hidden" r:id="rId8"/>
    <sheet name="Background Images" sheetId="7" state="hidden" r:id="rId9"/>
  </sheets>
  <definedNames>
    <definedName name="_xlnm._FilterDatabase" localSheetId="6" hidden="1">'imp-questions'!$A$1:$H$91</definedName>
    <definedName name="AndPTBL">Lookups!$P$94:$Q$97</definedName>
    <definedName name="AnsA">Lookups!$P$4:$P$7</definedName>
    <definedName name="AnsATBL">Lookups!$P$4:$Q$7</definedName>
    <definedName name="AnsB">Lookups!$P$10:$P$13</definedName>
    <definedName name="AnsBTBL">Lookups!$P$10:$Q$13</definedName>
    <definedName name="AnsC">Lookups!$P$16:$P$19</definedName>
    <definedName name="AnsCTBL">Lookups!$P$16:$Q$19</definedName>
    <definedName name="AnsD">Lookups!$P$22:$P$25</definedName>
    <definedName name="AnsDTBL">Lookups!$P$28:$Q$31</definedName>
    <definedName name="AnsE">Lookups!$P$28:$P$31</definedName>
    <definedName name="AnsETBL">Lookups!$P$28:$Q$31</definedName>
    <definedName name="AnsF">Lookups!$P$34:$P$37</definedName>
    <definedName name="AnsFTBL">Lookups!$P$34:$Q$37</definedName>
    <definedName name="AnsG">Lookups!$P$40:$P$43</definedName>
    <definedName name="AnsGTBL">Lookups!$P$40:$Q$43</definedName>
    <definedName name="AnsH">Lookups!$P$46:$P$49</definedName>
    <definedName name="AnsHTBL">Lookups!$P$46:$Q$49</definedName>
    <definedName name="AnsI">Lookups!$P$52:$P$55</definedName>
    <definedName name="AnsITBL">Lookups!$P$52:$Q$55</definedName>
    <definedName name="AnsJ">Lookups!$P$58:$P$61</definedName>
    <definedName name="AnsJTBL">Lookups!$P$58:$Q$61</definedName>
    <definedName name="AnsK">Lookups!$P$64:$P$67</definedName>
    <definedName name="AnsKTBL">Lookups!$P$64:$Q$67</definedName>
    <definedName name="AnsL">Lookups!$P$70:$P$73</definedName>
    <definedName name="AnsLTBL">Lookups!$P$70:$Q$73</definedName>
    <definedName name="AnsM">Lookups!$P$76:$P$79</definedName>
    <definedName name="AnsMTBL">Lookups!$P$76:$Q$79</definedName>
    <definedName name="AnsN">Lookups!$P$82:$P$85</definedName>
    <definedName name="AnsNTBL">Lookups!$P$82:$Q$85</definedName>
    <definedName name="AnsO">Lookups!$P$88:$P$91</definedName>
    <definedName name="AnsOTBL">Lookups!$P$88:$Q$91</definedName>
    <definedName name="AnsP">Lookups!$P$94:$P$97</definedName>
    <definedName name="AnsPTBL">Lookups!$P$94:$Q$97</definedName>
    <definedName name="AnsQ">Lookups!$P$100:$P$103</definedName>
    <definedName name="AnsQTBL">Lookups!$P$100:$Q$103</definedName>
    <definedName name="AnsR">Lookups!$P$106:$P$109</definedName>
    <definedName name="AnsRTBL">Lookups!$P$106:$Q$109</definedName>
    <definedName name="AnsS">Lookups!$P$112:$P$115</definedName>
    <definedName name="AnsSTBL">Lookups!$P$112:$Q$115</definedName>
    <definedName name="AnswerA">Lookups!$J$4:$J$7</definedName>
    <definedName name="AnswerATBL">Lookups!$J$4:$K$7</definedName>
    <definedName name="AnswerB">Lookups!$J$9:$J$12</definedName>
    <definedName name="AnswerBTBL">Lookups!$J$9:$K$12</definedName>
    <definedName name="AnswerC">Lookups!$J$14:$J$17</definedName>
    <definedName name="AnswerCTBL">Lookups!$J$14:$K$17</definedName>
    <definedName name="AnswerD">Lookups!$J$19:$J$22</definedName>
    <definedName name="AnswerDTBL">Lookups!$J$19:$K$22</definedName>
    <definedName name="AnswerE">Lookups!$J$24:$J$27</definedName>
    <definedName name="AnswerETBL">Lookups!$J$24:$K$27</definedName>
    <definedName name="AnswerF">Lookups!$J$29:$J$32</definedName>
    <definedName name="AnswerFTBL">Lookups!$J$29:$K$32</definedName>
    <definedName name="AnswerG">Lookups!$J$34:$J$37</definedName>
    <definedName name="AnswerGTBL">Lookups!$J$34:$K$37</definedName>
    <definedName name="AnswerH">Lookups!$J$39:$J$42</definedName>
    <definedName name="AnswerHTBL">Lookups!$J$39:$K$42</definedName>
    <definedName name="_xlnm.Print_Area" localSheetId="4">'Roadmap Chart'!$L$3:$W$105</definedName>
    <definedName name="Z_9846C184_355C_EA4B_8C35_9561D1AEE31C_.wvu.Cols" localSheetId="3" hidden="1">Roadmap!$A:$A</definedName>
    <definedName name="Z_9846C184_355C_EA4B_8C35_9561D1AEE31C_.wvu.Cols" localSheetId="2" hidden="1">Scorecard!$G:$G</definedName>
    <definedName name="Z_9846C184_355C_EA4B_8C35_9561D1AEE31C_.wvu.PrintArea" localSheetId="4" hidden="1">'Roadmap Chart'!$L$3:$W$105</definedName>
    <definedName name="Z_9846C184_355C_EA4B_8C35_9561D1AEE31C_.wvu.Rows" localSheetId="1" hidden="1">Interview!$1:$1</definedName>
    <definedName name="Z_9846C184_355C_EA4B_8C35_9561D1AEE31C_.wvu.Rows" localSheetId="3" hidden="1">Roadmap!$1:$1</definedName>
  </definedNames>
  <calcPr calcId="191029"/>
  <customWorkbookViews>
    <customWorkbookView name="Default" guid="{9846C184-355C-EA4B-8C35-9561D1AEE31C}" maximized="1" windowWidth="1436" windowHeight="704" activeSheetId="9"/>
  </customWorkbookViews>
  <extLst>
    <ext xmlns:x14="http://schemas.microsoft.com/office/spreadsheetml/2009/9/main" uri="{79F54976-1DA5-4618-B147-4CDE4B953A38}">
      <x14:workbookPr defaultImageDpi="330"/>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G20" i="2" l="1"/>
  <c r="G22" i="2"/>
  <c r="G25" i="2"/>
  <c r="G29" i="2"/>
  <c r="G34" i="2"/>
  <c r="G36" i="2"/>
  <c r="G48" i="2"/>
  <c r="G50" i="2"/>
  <c r="G53" i="2"/>
  <c r="G65" i="2"/>
  <c r="G72" i="2"/>
  <c r="G197" i="2"/>
  <c r="G199" i="2"/>
  <c r="G201" i="2"/>
  <c r="G206" i="2"/>
  <c r="G211" i="2"/>
  <c r="G213" i="2"/>
  <c r="G220" i="2"/>
  <c r="G222" i="2"/>
  <c r="G182" i="2"/>
  <c r="G184" i="2"/>
  <c r="G179" i="2"/>
  <c r="G177" i="2"/>
  <c r="G175" i="2"/>
  <c r="G168" i="2"/>
  <c r="G165" i="2"/>
  <c r="G163" i="2"/>
  <c r="G161" i="2"/>
  <c r="G158" i="2"/>
  <c r="G156" i="2"/>
  <c r="G154" i="2"/>
  <c r="G86" i="2"/>
  <c r="G84" i="2"/>
  <c r="G82" i="2"/>
  <c r="G77" i="2"/>
  <c r="G68" i="2"/>
  <c r="G70" i="2"/>
  <c r="G61" i="2"/>
  <c r="G46" i="2"/>
  <c r="G32" i="2"/>
  <c r="G39" i="2"/>
  <c r="G41" i="2"/>
  <c r="G43" i="2"/>
  <c r="G63" i="2"/>
  <c r="G79" i="2"/>
  <c r="G91" i="2"/>
  <c r="G93" i="2"/>
  <c r="G96" i="2"/>
  <c r="G100" i="2"/>
  <c r="G104" i="2"/>
  <c r="G106" i="2"/>
  <c r="G108" i="2"/>
  <c r="G111" i="2"/>
  <c r="G113" i="2"/>
  <c r="G115" i="2"/>
  <c r="G118" i="2"/>
  <c r="G120" i="2"/>
  <c r="G122" i="2"/>
  <c r="G125" i="2"/>
  <c r="G127" i="2"/>
  <c r="G129" i="2"/>
  <c r="G132" i="2"/>
  <c r="G134" i="2"/>
  <c r="G136" i="2"/>
  <c r="G139" i="2"/>
  <c r="G141" i="2"/>
  <c r="G143" i="2"/>
  <c r="G147" i="2"/>
  <c r="G149" i="2"/>
  <c r="G151" i="2"/>
  <c r="G190" i="2"/>
  <c r="G192" i="2"/>
  <c r="G194" i="2"/>
  <c r="G204" i="2"/>
  <c r="G208" i="2"/>
  <c r="G218" i="2"/>
  <c r="G225" i="2"/>
  <c r="G229" i="2"/>
  <c r="D230" i="2" l="1"/>
  <c r="D229" i="2"/>
  <c r="C229" i="2"/>
  <c r="D228" i="2"/>
  <c r="D227" i="2"/>
  <c r="C227" i="2"/>
  <c r="D226" i="2"/>
  <c r="D225" i="2"/>
  <c r="C225" i="2"/>
  <c r="D223" i="2"/>
  <c r="D222" i="2"/>
  <c r="C222" i="2"/>
  <c r="D221" i="2"/>
  <c r="D220" i="2"/>
  <c r="C220" i="2"/>
  <c r="D219" i="2"/>
  <c r="D218" i="2"/>
  <c r="C218" i="2"/>
  <c r="D216" i="2"/>
  <c r="D215" i="2"/>
  <c r="C215" i="2"/>
  <c r="D214" i="2"/>
  <c r="D213" i="2"/>
  <c r="C213" i="2"/>
  <c r="D212" i="2"/>
  <c r="D211" i="2"/>
  <c r="C211" i="2"/>
  <c r="D209" i="2"/>
  <c r="D208" i="2"/>
  <c r="C208" i="2"/>
  <c r="D207" i="2"/>
  <c r="D206" i="2"/>
  <c r="C206" i="2"/>
  <c r="D205" i="2"/>
  <c r="D204" i="2"/>
  <c r="C204" i="2"/>
  <c r="D202" i="2"/>
  <c r="D201" i="2"/>
  <c r="C201" i="2"/>
  <c r="D200" i="2"/>
  <c r="D199" i="2"/>
  <c r="C199" i="2"/>
  <c r="D198" i="2"/>
  <c r="D197" i="2"/>
  <c r="C197" i="2"/>
  <c r="D195" i="2"/>
  <c r="D194" i="2"/>
  <c r="C194" i="2"/>
  <c r="D193" i="2"/>
  <c r="D192" i="2"/>
  <c r="C192" i="2"/>
  <c r="D191" i="2"/>
  <c r="D190" i="2"/>
  <c r="C190" i="2"/>
  <c r="B225" i="2"/>
  <c r="B218" i="2"/>
  <c r="B211" i="2"/>
  <c r="B204" i="2"/>
  <c r="B197" i="2"/>
  <c r="B190" i="2"/>
  <c r="D187" i="2"/>
  <c r="D186" i="2"/>
  <c r="C186" i="2"/>
  <c r="D185" i="2"/>
  <c r="D184" i="2"/>
  <c r="C184" i="2"/>
  <c r="D183" i="2"/>
  <c r="D182" i="2"/>
  <c r="C182" i="2"/>
  <c r="D180" i="2"/>
  <c r="D179" i="2"/>
  <c r="C179" i="2"/>
  <c r="D178" i="2"/>
  <c r="D177" i="2"/>
  <c r="C177" i="2"/>
  <c r="D176" i="2"/>
  <c r="D175" i="2"/>
  <c r="C175" i="2"/>
  <c r="D173" i="2"/>
  <c r="D172" i="2"/>
  <c r="C172" i="2"/>
  <c r="D171" i="2"/>
  <c r="D170" i="2"/>
  <c r="C170" i="2"/>
  <c r="D169" i="2"/>
  <c r="D168" i="2"/>
  <c r="C168" i="2"/>
  <c r="D166" i="2"/>
  <c r="D165" i="2"/>
  <c r="C165" i="2"/>
  <c r="D164" i="2"/>
  <c r="D163" i="2"/>
  <c r="C163" i="2"/>
  <c r="D162" i="2"/>
  <c r="D161" i="2"/>
  <c r="C161" i="2"/>
  <c r="D159" i="2"/>
  <c r="D158" i="2"/>
  <c r="C158" i="2"/>
  <c r="D157" i="2"/>
  <c r="D156" i="2"/>
  <c r="C156" i="2"/>
  <c r="D155" i="2"/>
  <c r="D154" i="2"/>
  <c r="C154" i="2"/>
  <c r="D152" i="2"/>
  <c r="D151" i="2"/>
  <c r="C151" i="2"/>
  <c r="D150" i="2"/>
  <c r="D149" i="2"/>
  <c r="C149" i="2"/>
  <c r="D148" i="2"/>
  <c r="D147" i="2"/>
  <c r="C147" i="2"/>
  <c r="B182" i="2"/>
  <c r="B175" i="2"/>
  <c r="B168" i="2"/>
  <c r="B161" i="2"/>
  <c r="B154" i="2"/>
  <c r="B147" i="2"/>
  <c r="D144" i="2"/>
  <c r="D143" i="2"/>
  <c r="C143" i="2"/>
  <c r="D142" i="2"/>
  <c r="D141" i="2"/>
  <c r="C141" i="2"/>
  <c r="D140" i="2"/>
  <c r="D139" i="2"/>
  <c r="C139" i="2"/>
  <c r="D137" i="2"/>
  <c r="D136" i="2"/>
  <c r="C136" i="2"/>
  <c r="D135" i="2"/>
  <c r="D134" i="2"/>
  <c r="C134" i="2"/>
  <c r="D133" i="2"/>
  <c r="D132" i="2"/>
  <c r="C132" i="2"/>
  <c r="D130" i="2"/>
  <c r="D129" i="2"/>
  <c r="C129" i="2"/>
  <c r="D128" i="2"/>
  <c r="D127" i="2"/>
  <c r="C127" i="2"/>
  <c r="D126" i="2"/>
  <c r="D125" i="2"/>
  <c r="C125" i="2"/>
  <c r="D123" i="2"/>
  <c r="D122" i="2"/>
  <c r="C122" i="2"/>
  <c r="D121" i="2"/>
  <c r="D120" i="2"/>
  <c r="C120" i="2"/>
  <c r="D119" i="2"/>
  <c r="D118" i="2"/>
  <c r="C118" i="2"/>
  <c r="D116" i="2"/>
  <c r="D115" i="2"/>
  <c r="C115" i="2"/>
  <c r="D114" i="2"/>
  <c r="D113" i="2"/>
  <c r="C113" i="2"/>
  <c r="D112" i="2"/>
  <c r="D111" i="2"/>
  <c r="C111" i="2"/>
  <c r="D109" i="2"/>
  <c r="D108" i="2"/>
  <c r="C108" i="2"/>
  <c r="D107" i="2"/>
  <c r="D106" i="2"/>
  <c r="C106" i="2"/>
  <c r="D105" i="2"/>
  <c r="D104" i="2"/>
  <c r="C104" i="2"/>
  <c r="B139" i="2"/>
  <c r="B132" i="2"/>
  <c r="B125" i="2"/>
  <c r="B118" i="2"/>
  <c r="B111" i="2"/>
  <c r="B104" i="2"/>
  <c r="D101" i="2"/>
  <c r="D100" i="2"/>
  <c r="C100" i="2"/>
  <c r="D99" i="2"/>
  <c r="D98" i="2"/>
  <c r="C98" i="2"/>
  <c r="D97" i="2"/>
  <c r="D96" i="2"/>
  <c r="C96" i="2"/>
  <c r="D94" i="2"/>
  <c r="D93" i="2"/>
  <c r="C93" i="2"/>
  <c r="D92" i="2"/>
  <c r="D91" i="2"/>
  <c r="C91" i="2"/>
  <c r="D90" i="2"/>
  <c r="D89" i="2"/>
  <c r="C89" i="2"/>
  <c r="D87" i="2"/>
  <c r="D86" i="2"/>
  <c r="C86" i="2"/>
  <c r="D85" i="2"/>
  <c r="D84" i="2"/>
  <c r="C84" i="2"/>
  <c r="D83" i="2"/>
  <c r="D82" i="2"/>
  <c r="C82" i="2"/>
  <c r="D80" i="2"/>
  <c r="D79" i="2"/>
  <c r="C79" i="2"/>
  <c r="D78" i="2"/>
  <c r="D77" i="2"/>
  <c r="C77" i="2"/>
  <c r="D76" i="2"/>
  <c r="D75" i="2"/>
  <c r="C75" i="2"/>
  <c r="D73" i="2"/>
  <c r="D72" i="2"/>
  <c r="C72" i="2"/>
  <c r="D71" i="2"/>
  <c r="D70" i="2"/>
  <c r="C70" i="2"/>
  <c r="D69" i="2"/>
  <c r="D68" i="2"/>
  <c r="C68" i="2"/>
  <c r="D66" i="2"/>
  <c r="D65" i="2"/>
  <c r="C65" i="2"/>
  <c r="D64" i="2"/>
  <c r="D63" i="2"/>
  <c r="C63" i="2"/>
  <c r="D62" i="2"/>
  <c r="D61" i="2"/>
  <c r="C61" i="2"/>
  <c r="B96" i="2"/>
  <c r="B89" i="2"/>
  <c r="B82" i="2"/>
  <c r="B75" i="2"/>
  <c r="B68" i="2"/>
  <c r="B61" i="2"/>
  <c r="D58" i="2"/>
  <c r="D57" i="2"/>
  <c r="C57" i="2"/>
  <c r="D56" i="2"/>
  <c r="D55" i="2"/>
  <c r="C55" i="2"/>
  <c r="D54" i="2"/>
  <c r="D53" i="2"/>
  <c r="C53" i="2"/>
  <c r="B53" i="2"/>
  <c r="D51" i="2"/>
  <c r="D50" i="2"/>
  <c r="C50" i="2"/>
  <c r="D49" i="2"/>
  <c r="D48" i="2"/>
  <c r="C48" i="2"/>
  <c r="D47" i="2"/>
  <c r="D46" i="2"/>
  <c r="C46" i="2"/>
  <c r="B46" i="2"/>
  <c r="G227" i="2"/>
  <c r="E227" i="2"/>
  <c r="E220" i="2"/>
  <c r="E213" i="2"/>
  <c r="E206" i="2"/>
  <c r="E199" i="2"/>
  <c r="E192" i="2"/>
  <c r="E184" i="2"/>
  <c r="E177" i="2"/>
  <c r="G170" i="2"/>
  <c r="E170" i="2"/>
  <c r="E163" i="2"/>
  <c r="E156" i="2"/>
  <c r="E149" i="2"/>
  <c r="E141" i="2"/>
  <c r="E134" i="2"/>
  <c r="E127" i="2"/>
  <c r="E120" i="2"/>
  <c r="E113" i="2"/>
  <c r="E106" i="2"/>
  <c r="G98" i="2"/>
  <c r="E98" i="2"/>
  <c r="E91" i="2"/>
  <c r="E84" i="2"/>
  <c r="E77" i="2"/>
  <c r="E70" i="2"/>
  <c r="E63" i="2"/>
  <c r="G55" i="2"/>
  <c r="E55" i="2"/>
  <c r="E48" i="2"/>
  <c r="B39" i="2"/>
  <c r="B32" i="2"/>
  <c r="B25" i="2"/>
  <c r="B18" i="2"/>
  <c r="D44" i="2"/>
  <c r="D43" i="2"/>
  <c r="C43" i="2"/>
  <c r="D42" i="2"/>
  <c r="D41" i="2"/>
  <c r="C41" i="2"/>
  <c r="D40" i="2"/>
  <c r="D39" i="2"/>
  <c r="C39" i="2"/>
  <c r="E41" i="2"/>
  <c r="D37" i="2"/>
  <c r="E36" i="2"/>
  <c r="D36" i="2"/>
  <c r="C36" i="2"/>
  <c r="D35" i="2"/>
  <c r="E34" i="2"/>
  <c r="D34" i="2"/>
  <c r="C34" i="2"/>
  <c r="D33" i="2"/>
  <c r="E32" i="2"/>
  <c r="D32" i="2"/>
  <c r="C32" i="2"/>
  <c r="C29" i="2"/>
  <c r="C27" i="2"/>
  <c r="C25" i="2"/>
  <c r="C22" i="2"/>
  <c r="C20" i="2"/>
  <c r="C18" i="2"/>
  <c r="D28" i="2"/>
  <c r="G27" i="2"/>
  <c r="E27" i="2"/>
  <c r="D27" i="2"/>
  <c r="D29" i="2"/>
  <c r="D25" i="2"/>
  <c r="D21" i="2"/>
  <c r="E20" i="2"/>
  <c r="D20" i="2"/>
  <c r="D22" i="2"/>
  <c r="D18" i="2"/>
  <c r="H20" i="2" l="1"/>
  <c r="H34" i="2"/>
  <c r="H32" i="2"/>
  <c r="E43" i="2"/>
  <c r="E39" i="2"/>
  <c r="Q115" i="4"/>
  <c r="P115" i="4"/>
  <c r="Q114" i="4"/>
  <c r="P114" i="4"/>
  <c r="Q113" i="4"/>
  <c r="P113" i="4"/>
  <c r="Q112" i="4"/>
  <c r="P112" i="4"/>
  <c r="M112" i="4"/>
  <c r="M3" i="4"/>
  <c r="A15" i="2"/>
  <c r="A16" i="2"/>
  <c r="E143" i="2"/>
  <c r="E139" i="2"/>
  <c r="E136" i="2"/>
  <c r="E132" i="2"/>
  <c r="E129" i="2"/>
  <c r="E125" i="2"/>
  <c r="E122" i="2"/>
  <c r="E118" i="2"/>
  <c r="E115" i="2"/>
  <c r="E111" i="2"/>
  <c r="E108" i="2"/>
  <c r="E104" i="2"/>
  <c r="E229" i="2"/>
  <c r="E225" i="2"/>
  <c r="E222" i="2"/>
  <c r="E218" i="2"/>
  <c r="E215" i="2"/>
  <c r="E211" i="2"/>
  <c r="E208" i="2"/>
  <c r="E204" i="2"/>
  <c r="E201" i="2"/>
  <c r="E197" i="2"/>
  <c r="E194" i="2"/>
  <c r="E190" i="2"/>
  <c r="E186" i="2"/>
  <c r="E182" i="2"/>
  <c r="E179" i="2"/>
  <c r="E175" i="2"/>
  <c r="E172" i="2"/>
  <c r="E168" i="2"/>
  <c r="E165" i="2"/>
  <c r="E161" i="2"/>
  <c r="E158" i="2"/>
  <c r="E154" i="2"/>
  <c r="E151" i="2"/>
  <c r="E147" i="2"/>
  <c r="E100" i="2"/>
  <c r="E96" i="2"/>
  <c r="E93" i="2"/>
  <c r="E89" i="2"/>
  <c r="E86" i="2"/>
  <c r="E82" i="2"/>
  <c r="E79" i="2"/>
  <c r="E75" i="2"/>
  <c r="E72" i="2"/>
  <c r="E68" i="2"/>
  <c r="E65" i="2"/>
  <c r="E61" i="2"/>
  <c r="E57" i="2"/>
  <c r="E53" i="2"/>
  <c r="E50" i="2"/>
  <c r="E46" i="2"/>
  <c r="D30" i="2"/>
  <c r="E29" i="2"/>
  <c r="D26" i="2"/>
  <c r="E25" i="2"/>
  <c r="D23" i="2"/>
  <c r="E22" i="2"/>
  <c r="E18" i="2"/>
  <c r="D19" i="2"/>
  <c r="M106" i="4"/>
  <c r="M100" i="4"/>
  <c r="M94" i="4"/>
  <c r="M88" i="4"/>
  <c r="M82" i="4"/>
  <c r="M76" i="4"/>
  <c r="M70" i="4"/>
  <c r="M64" i="4"/>
  <c r="M58" i="4"/>
  <c r="M52" i="4"/>
  <c r="M46" i="4"/>
  <c r="M40" i="4"/>
  <c r="M34" i="4"/>
  <c r="M28" i="4"/>
  <c r="M22" i="4"/>
  <c r="M16" i="4"/>
  <c r="M10" i="4"/>
  <c r="M4" i="4"/>
  <c r="M2" i="4" s="1"/>
  <c r="Q109" i="4"/>
  <c r="P109" i="4"/>
  <c r="Q108" i="4"/>
  <c r="P108" i="4"/>
  <c r="Q107" i="4"/>
  <c r="P107" i="4"/>
  <c r="Q106" i="4"/>
  <c r="P106" i="4"/>
  <c r="Q103" i="4"/>
  <c r="P103" i="4"/>
  <c r="Q102" i="4"/>
  <c r="P102" i="4"/>
  <c r="Q101" i="4"/>
  <c r="P101" i="4"/>
  <c r="Q100" i="4"/>
  <c r="P100" i="4"/>
  <c r="Q97" i="4"/>
  <c r="P97" i="4"/>
  <c r="Q96" i="4"/>
  <c r="P96" i="4"/>
  <c r="Q95" i="4"/>
  <c r="P95" i="4"/>
  <c r="Q94" i="4"/>
  <c r="P94" i="4"/>
  <c r="Q91" i="4"/>
  <c r="P91" i="4"/>
  <c r="Q90" i="4"/>
  <c r="P90" i="4"/>
  <c r="Q89" i="4"/>
  <c r="P89" i="4"/>
  <c r="Q88" i="4"/>
  <c r="P88" i="4"/>
  <c r="Q85" i="4"/>
  <c r="P85" i="4"/>
  <c r="Q84" i="4"/>
  <c r="P84" i="4"/>
  <c r="Q83" i="4"/>
  <c r="P83" i="4"/>
  <c r="Q82" i="4"/>
  <c r="P82" i="4"/>
  <c r="Q79" i="4"/>
  <c r="P79" i="4"/>
  <c r="Q78" i="4"/>
  <c r="P78" i="4"/>
  <c r="Q77" i="4"/>
  <c r="P77" i="4"/>
  <c r="Q76" i="4"/>
  <c r="P76" i="4"/>
  <c r="Q73" i="4"/>
  <c r="P73" i="4"/>
  <c r="Q72" i="4"/>
  <c r="P72" i="4"/>
  <c r="Q71" i="4"/>
  <c r="P71" i="4"/>
  <c r="Q70" i="4"/>
  <c r="P70" i="4"/>
  <c r="Q67" i="4"/>
  <c r="P67" i="4"/>
  <c r="Q66" i="4"/>
  <c r="P66" i="4"/>
  <c r="Q65" i="4"/>
  <c r="P65" i="4"/>
  <c r="Q64" i="4"/>
  <c r="P64" i="4"/>
  <c r="Q61" i="4"/>
  <c r="P61" i="4"/>
  <c r="Q60" i="4"/>
  <c r="P60" i="4"/>
  <c r="Q59" i="4"/>
  <c r="P59" i="4"/>
  <c r="Q58" i="4"/>
  <c r="P58" i="4"/>
  <c r="Q55" i="4"/>
  <c r="P55" i="4"/>
  <c r="Q54" i="4"/>
  <c r="P54" i="4"/>
  <c r="Q53" i="4"/>
  <c r="P53" i="4"/>
  <c r="Q52" i="4"/>
  <c r="P52" i="4"/>
  <c r="Q49" i="4"/>
  <c r="P49" i="4"/>
  <c r="Q48" i="4"/>
  <c r="P48" i="4"/>
  <c r="Q47" i="4"/>
  <c r="P47" i="4"/>
  <c r="Q46" i="4"/>
  <c r="P46" i="4"/>
  <c r="Q43" i="4"/>
  <c r="P43" i="4"/>
  <c r="Q42" i="4"/>
  <c r="P42" i="4"/>
  <c r="Q41" i="4"/>
  <c r="P41" i="4"/>
  <c r="Q40" i="4"/>
  <c r="P40" i="4"/>
  <c r="Q37" i="4"/>
  <c r="P37" i="4"/>
  <c r="Q36" i="4"/>
  <c r="P36" i="4"/>
  <c r="Q35" i="4"/>
  <c r="P35" i="4"/>
  <c r="Q34" i="4"/>
  <c r="P34" i="4"/>
  <c r="Q31" i="4"/>
  <c r="P31" i="4"/>
  <c r="Q30" i="4"/>
  <c r="P30" i="4"/>
  <c r="Q29" i="4"/>
  <c r="P29" i="4"/>
  <c r="Q28" i="4"/>
  <c r="P28" i="4"/>
  <c r="Q25" i="4"/>
  <c r="P25" i="4"/>
  <c r="Q24" i="4"/>
  <c r="P24" i="4"/>
  <c r="Q23" i="4"/>
  <c r="P23" i="4"/>
  <c r="Q22" i="4"/>
  <c r="P22" i="4"/>
  <c r="Q19" i="4"/>
  <c r="P19" i="4"/>
  <c r="Q18" i="4"/>
  <c r="P18" i="4"/>
  <c r="Q17" i="4"/>
  <c r="P17" i="4"/>
  <c r="Q16" i="4"/>
  <c r="P16" i="4"/>
  <c r="Q13" i="4"/>
  <c r="P13" i="4"/>
  <c r="Q12" i="4"/>
  <c r="P12" i="4"/>
  <c r="Q11" i="4"/>
  <c r="P11" i="4"/>
  <c r="Q10" i="4"/>
  <c r="P10" i="4"/>
  <c r="P7" i="4"/>
  <c r="P6" i="4"/>
  <c r="P5" i="4"/>
  <c r="Q7" i="4"/>
  <c r="Q6" i="4"/>
  <c r="Q5" i="4"/>
  <c r="Q4" i="4"/>
  <c r="P4" i="4"/>
  <c r="H36" i="2" l="1"/>
  <c r="J32" i="2" s="1"/>
  <c r="M1" i="4"/>
  <c r="G57" i="2"/>
  <c r="G18" i="2"/>
  <c r="G89" i="2"/>
  <c r="G186" i="2"/>
  <c r="G215" i="2"/>
  <c r="G75" i="2"/>
  <c r="G172" i="2"/>
  <c r="A14" i="2"/>
  <c r="Y62" i="3"/>
  <c r="X62" i="3"/>
  <c r="W62" i="3"/>
  <c r="V62" i="3"/>
  <c r="Y80" i="3"/>
  <c r="X80" i="3"/>
  <c r="W80" i="3"/>
  <c r="V80" i="3"/>
  <c r="Y29" i="3"/>
  <c r="X29" i="3"/>
  <c r="W29" i="3"/>
  <c r="V29" i="3"/>
  <c r="H22" i="2" l="1"/>
  <c r="H18" i="2"/>
  <c r="D14" i="3"/>
  <c r="K113" i="9"/>
  <c r="K110" i="9"/>
  <c r="K108" i="9"/>
  <c r="O113" i="9"/>
  <c r="O110" i="9"/>
  <c r="O108" i="9"/>
  <c r="S108" i="9"/>
  <c r="S110" i="9"/>
  <c r="S113" i="9"/>
  <c r="W113" i="9"/>
  <c r="W110" i="9"/>
  <c r="W108" i="9"/>
  <c r="E113" i="9"/>
  <c r="G113" i="9" s="1"/>
  <c r="E110" i="9"/>
  <c r="G110" i="9" s="1"/>
  <c r="E108" i="9"/>
  <c r="G108" i="9" s="1"/>
  <c r="K55" i="9"/>
  <c r="O55" i="9"/>
  <c r="S55" i="9"/>
  <c r="W55" i="9"/>
  <c r="E55" i="9"/>
  <c r="G55" i="9" s="1"/>
  <c r="K31" i="9"/>
  <c r="O31" i="9"/>
  <c r="S31" i="9"/>
  <c r="W31" i="9"/>
  <c r="E31" i="9"/>
  <c r="G31" i="9" s="1"/>
  <c r="K26" i="9"/>
  <c r="K22" i="9"/>
  <c r="K21" i="9"/>
  <c r="O26" i="9"/>
  <c r="O22" i="9"/>
  <c r="P20" i="9" s="1"/>
  <c r="D48" i="3" s="1"/>
  <c r="O21" i="9"/>
  <c r="S26" i="9"/>
  <c r="S22" i="9"/>
  <c r="S21" i="9"/>
  <c r="W26" i="9"/>
  <c r="W22" i="9"/>
  <c r="W21" i="9"/>
  <c r="E26" i="9"/>
  <c r="G26" i="9" s="1"/>
  <c r="E22" i="9"/>
  <c r="G22" i="9" s="1"/>
  <c r="E21" i="9"/>
  <c r="G21" i="9" s="1"/>
  <c r="K35" i="9"/>
  <c r="O35" i="9"/>
  <c r="S35" i="9"/>
  <c r="W35" i="9"/>
  <c r="E35" i="9"/>
  <c r="G35" i="9" s="1"/>
  <c r="K38" i="9"/>
  <c r="O38" i="9"/>
  <c r="S38" i="9"/>
  <c r="W38" i="9"/>
  <c r="E38" i="9"/>
  <c r="G38" i="9" s="1"/>
  <c r="W91" i="9"/>
  <c r="S91" i="9"/>
  <c r="O91" i="9"/>
  <c r="K91" i="9"/>
  <c r="E91" i="9"/>
  <c r="G91" i="9" s="1"/>
  <c r="E24" i="9"/>
  <c r="G24" i="9" s="1"/>
  <c r="E75" i="9"/>
  <c r="G75" i="9" s="1"/>
  <c r="C6" i="3"/>
  <c r="C5" i="3"/>
  <c r="B1" i="2"/>
  <c r="D12" i="9"/>
  <c r="D13" i="9"/>
  <c r="D14" i="9"/>
  <c r="K105" i="9"/>
  <c r="O105" i="9"/>
  <c r="S105" i="9"/>
  <c r="W105" i="9"/>
  <c r="E105" i="9"/>
  <c r="G105" i="9" s="1"/>
  <c r="K95" i="9"/>
  <c r="O95" i="9"/>
  <c r="S95" i="9"/>
  <c r="W95" i="9"/>
  <c r="E95" i="9"/>
  <c r="G95" i="9" s="1"/>
  <c r="W86" i="9"/>
  <c r="S86" i="9"/>
  <c r="O86" i="9"/>
  <c r="K86" i="9"/>
  <c r="E86" i="9"/>
  <c r="G86" i="9" s="1"/>
  <c r="K75" i="9"/>
  <c r="O75" i="9"/>
  <c r="S75" i="9"/>
  <c r="W75" i="9"/>
  <c r="X75" i="9" s="1"/>
  <c r="F87" i="3" s="1"/>
  <c r="W101" i="9"/>
  <c r="S101" i="9"/>
  <c r="O101" i="9"/>
  <c r="K101" i="9"/>
  <c r="E101" i="9"/>
  <c r="G101" i="9" s="1"/>
  <c r="W118" i="9"/>
  <c r="S118" i="9"/>
  <c r="O118" i="9"/>
  <c r="K118" i="9"/>
  <c r="E118" i="9"/>
  <c r="G118" i="9" s="1"/>
  <c r="W124" i="9"/>
  <c r="S124" i="9"/>
  <c r="O124" i="9"/>
  <c r="K124" i="9"/>
  <c r="E124" i="9"/>
  <c r="G124" i="9" s="1"/>
  <c r="W133" i="9"/>
  <c r="S133" i="9"/>
  <c r="O133" i="9"/>
  <c r="K133" i="9"/>
  <c r="E133" i="9"/>
  <c r="G133" i="9" s="1"/>
  <c r="W134" i="9"/>
  <c r="S134" i="9"/>
  <c r="O134" i="9"/>
  <c r="K134" i="9"/>
  <c r="E134" i="9"/>
  <c r="G134" i="9" s="1"/>
  <c r="W76" i="9"/>
  <c r="S76" i="9"/>
  <c r="O76" i="9"/>
  <c r="K76" i="9"/>
  <c r="L75" i="9" s="1"/>
  <c r="F36" i="3" s="1"/>
  <c r="E76" i="9"/>
  <c r="G76" i="9" s="1"/>
  <c r="W54" i="9"/>
  <c r="X53" i="9" s="1"/>
  <c r="E85" i="3" s="1"/>
  <c r="W53" i="9"/>
  <c r="S54" i="9"/>
  <c r="S53" i="9"/>
  <c r="O54" i="9"/>
  <c r="O53" i="9"/>
  <c r="K54" i="9"/>
  <c r="K53" i="9"/>
  <c r="E54" i="9"/>
  <c r="G54" i="9" s="1"/>
  <c r="E53" i="9"/>
  <c r="G53" i="9" s="1"/>
  <c r="W51" i="9"/>
  <c r="S51" i="9"/>
  <c r="T50" i="9" s="1"/>
  <c r="D67" i="3" s="1"/>
  <c r="O51" i="9"/>
  <c r="K51" i="9"/>
  <c r="E51" i="9"/>
  <c r="G51" i="9" s="1"/>
  <c r="K41" i="9"/>
  <c r="O41" i="9"/>
  <c r="S41" i="9"/>
  <c r="W41" i="9"/>
  <c r="E41" i="9"/>
  <c r="G41" i="9" s="1"/>
  <c r="X133" i="9"/>
  <c r="F93" i="3" s="1"/>
  <c r="W130" i="9"/>
  <c r="X130" i="9" s="1"/>
  <c r="E93" i="3" s="1"/>
  <c r="W131" i="9"/>
  <c r="W127" i="9"/>
  <c r="W128" i="9"/>
  <c r="W125" i="9"/>
  <c r="W121" i="9"/>
  <c r="W122" i="9"/>
  <c r="X121" i="9" s="1"/>
  <c r="E92" i="3" s="1"/>
  <c r="W119" i="9"/>
  <c r="W115" i="9"/>
  <c r="W116" i="9"/>
  <c r="W112" i="9"/>
  <c r="W109" i="9"/>
  <c r="W104" i="9"/>
  <c r="W102" i="9"/>
  <c r="W97" i="9"/>
  <c r="W98" i="9"/>
  <c r="W99" i="9"/>
  <c r="W94" i="9"/>
  <c r="W92" i="9"/>
  <c r="W88" i="9"/>
  <c r="X88" i="9" s="1"/>
  <c r="D89" i="3" s="1"/>
  <c r="W89" i="9"/>
  <c r="W85" i="9"/>
  <c r="X85" i="9" s="1"/>
  <c r="F88" i="3" s="1"/>
  <c r="W82" i="9"/>
  <c r="W83" i="9"/>
  <c r="W79" i="9"/>
  <c r="X79" i="9" s="1"/>
  <c r="D88" i="3" s="1"/>
  <c r="W80" i="9"/>
  <c r="W72" i="9"/>
  <c r="W73" i="9"/>
  <c r="W69" i="9"/>
  <c r="W70" i="9"/>
  <c r="X69" i="9"/>
  <c r="D87" i="3" s="1"/>
  <c r="W66" i="9"/>
  <c r="W67" i="9"/>
  <c r="W63" i="9"/>
  <c r="W64" i="9"/>
  <c r="W60" i="9"/>
  <c r="X60" i="9" s="1"/>
  <c r="D86" i="3" s="1"/>
  <c r="W61" i="9"/>
  <c r="W57" i="9"/>
  <c r="W58" i="9"/>
  <c r="W50" i="9"/>
  <c r="W46" i="9"/>
  <c r="W47" i="9"/>
  <c r="W43" i="9"/>
  <c r="W44" i="9"/>
  <c r="X43" i="9" s="1"/>
  <c r="E84" i="3" s="1"/>
  <c r="W40" i="9"/>
  <c r="W37" i="9"/>
  <c r="X37" i="9" s="1"/>
  <c r="F83" i="3" s="1"/>
  <c r="W34" i="9"/>
  <c r="W32" i="9"/>
  <c r="X31" i="9" s="1"/>
  <c r="D83" i="3" s="1"/>
  <c r="W20" i="9"/>
  <c r="W24" i="9"/>
  <c r="W25" i="9"/>
  <c r="W28" i="9"/>
  <c r="W29" i="9"/>
  <c r="Y46" i="3"/>
  <c r="X46" i="3"/>
  <c r="W46" i="3"/>
  <c r="V46" i="3"/>
  <c r="AE11" i="5"/>
  <c r="AD11" i="5"/>
  <c r="AC11" i="5"/>
  <c r="AB11" i="5"/>
  <c r="AA11" i="5"/>
  <c r="S130" i="9"/>
  <c r="S131" i="9"/>
  <c r="S127" i="9"/>
  <c r="S128" i="9"/>
  <c r="T127" i="9" s="1"/>
  <c r="T133" i="9"/>
  <c r="F75" i="3" s="1"/>
  <c r="O130" i="9"/>
  <c r="O131" i="9"/>
  <c r="P130" i="9" s="1"/>
  <c r="E59" i="3" s="1"/>
  <c r="O127" i="9"/>
  <c r="O128" i="9"/>
  <c r="K130" i="9"/>
  <c r="K131" i="9"/>
  <c r="K127" i="9"/>
  <c r="K128" i="9"/>
  <c r="L127" i="9"/>
  <c r="D42" i="3" s="1"/>
  <c r="S125" i="9"/>
  <c r="S119" i="9"/>
  <c r="S121" i="9"/>
  <c r="S122" i="9"/>
  <c r="O119" i="9"/>
  <c r="O121" i="9"/>
  <c r="O122" i="9"/>
  <c r="P121" i="9" s="1"/>
  <c r="E58" i="3" s="1"/>
  <c r="O125" i="9"/>
  <c r="K119" i="9"/>
  <c r="K121" i="9"/>
  <c r="K122" i="9"/>
  <c r="K125" i="9"/>
  <c r="S116" i="9"/>
  <c r="S115" i="9"/>
  <c r="S109" i="9"/>
  <c r="S112" i="9"/>
  <c r="T112" i="9" s="1"/>
  <c r="E73" i="3" s="1"/>
  <c r="O116" i="9"/>
  <c r="O115" i="9"/>
  <c r="P115" i="9" s="1"/>
  <c r="F57" i="3" s="1"/>
  <c r="O109" i="9"/>
  <c r="O112" i="9"/>
  <c r="P112" i="9" s="1"/>
  <c r="E57" i="3" s="1"/>
  <c r="K109" i="9"/>
  <c r="K112" i="9"/>
  <c r="L112" i="9" s="1"/>
  <c r="E40" i="3" s="1"/>
  <c r="K115" i="9"/>
  <c r="K116" i="9"/>
  <c r="S104" i="9"/>
  <c r="S97" i="9"/>
  <c r="S98" i="9"/>
  <c r="S99" i="9"/>
  <c r="S102" i="9"/>
  <c r="T101" i="9" s="1"/>
  <c r="E72" i="3" s="1"/>
  <c r="O97" i="9"/>
  <c r="O98" i="9"/>
  <c r="O99" i="9"/>
  <c r="O102" i="9"/>
  <c r="O104" i="9"/>
  <c r="K97" i="9"/>
  <c r="K98" i="9"/>
  <c r="K99" i="9"/>
  <c r="K102" i="9"/>
  <c r="L101" i="9"/>
  <c r="E39" i="3" s="1"/>
  <c r="K104" i="9"/>
  <c r="L104" i="9" s="1"/>
  <c r="F39" i="3" s="1"/>
  <c r="S88" i="9"/>
  <c r="S89" i="9"/>
  <c r="S92" i="9"/>
  <c r="T91" i="9" s="1"/>
  <c r="E71" i="3" s="1"/>
  <c r="S94" i="9"/>
  <c r="T94" i="9" s="1"/>
  <c r="F71" i="3" s="1"/>
  <c r="O88" i="9"/>
  <c r="O89" i="9"/>
  <c r="O92" i="9"/>
  <c r="O94" i="9"/>
  <c r="K92" i="9"/>
  <c r="L91" i="9"/>
  <c r="E38" i="3" s="1"/>
  <c r="K88" i="9"/>
  <c r="K89" i="9"/>
  <c r="L88" i="9" s="1"/>
  <c r="K94" i="9"/>
  <c r="L94" i="9" s="1"/>
  <c r="F38" i="3" s="1"/>
  <c r="S85" i="9"/>
  <c r="T85" i="9" s="1"/>
  <c r="F70" i="3" s="1"/>
  <c r="S79" i="9"/>
  <c r="S80" i="9"/>
  <c r="S82" i="9"/>
  <c r="S83" i="9"/>
  <c r="O79" i="9"/>
  <c r="O80" i="9"/>
  <c r="O82" i="9"/>
  <c r="O83" i="9"/>
  <c r="O85" i="9"/>
  <c r="P85" i="9" s="1"/>
  <c r="F54" i="3" s="1"/>
  <c r="K79" i="9"/>
  <c r="K80" i="9"/>
  <c r="K82" i="9"/>
  <c r="K83" i="9"/>
  <c r="K85" i="9"/>
  <c r="S72" i="9"/>
  <c r="S73" i="9"/>
  <c r="S69" i="9"/>
  <c r="S70" i="9"/>
  <c r="T69" i="9"/>
  <c r="D69" i="3" s="1"/>
  <c r="O72" i="9"/>
  <c r="O73" i="9"/>
  <c r="O69" i="9"/>
  <c r="O70" i="9"/>
  <c r="K69" i="9"/>
  <c r="K70" i="9"/>
  <c r="K72" i="9"/>
  <c r="L72" i="9" s="1"/>
  <c r="E36" i="3" s="1"/>
  <c r="K73" i="9"/>
  <c r="S67" i="9"/>
  <c r="S66" i="9"/>
  <c r="T66" i="9" s="1"/>
  <c r="F68" i="3" s="1"/>
  <c r="S60" i="9"/>
  <c r="S61" i="9"/>
  <c r="S63" i="9"/>
  <c r="S64" i="9"/>
  <c r="O67" i="9"/>
  <c r="O66" i="9"/>
  <c r="P66" i="9" s="1"/>
  <c r="F52" i="3" s="1"/>
  <c r="O60" i="9"/>
  <c r="O61" i="9"/>
  <c r="O63" i="9"/>
  <c r="O64" i="9"/>
  <c r="K67" i="9"/>
  <c r="K66" i="9"/>
  <c r="L66" i="9" s="1"/>
  <c r="F35" i="3" s="1"/>
  <c r="K60" i="9"/>
  <c r="K61" i="9"/>
  <c r="K63" i="9"/>
  <c r="K64" i="9"/>
  <c r="S50" i="9"/>
  <c r="T53" i="9"/>
  <c r="E67" i="3" s="1"/>
  <c r="S57" i="9"/>
  <c r="T57" i="9" s="1"/>
  <c r="F67" i="3" s="1"/>
  <c r="S58" i="9"/>
  <c r="O50" i="9"/>
  <c r="O57" i="9"/>
  <c r="O58" i="9"/>
  <c r="K50" i="9"/>
  <c r="K57" i="9"/>
  <c r="K58" i="9"/>
  <c r="S47" i="9"/>
  <c r="S46" i="9"/>
  <c r="S43" i="9"/>
  <c r="S44" i="9"/>
  <c r="S40" i="9"/>
  <c r="T40" i="9" s="1"/>
  <c r="D66" i="3" s="1"/>
  <c r="O47" i="9"/>
  <c r="O46" i="9"/>
  <c r="O40" i="9"/>
  <c r="O43" i="9"/>
  <c r="O44" i="9"/>
  <c r="K47" i="9"/>
  <c r="K46" i="9"/>
  <c r="K40" i="9"/>
  <c r="L40" i="9"/>
  <c r="D33" i="3" s="1"/>
  <c r="K43" i="9"/>
  <c r="K44" i="9"/>
  <c r="S34" i="9"/>
  <c r="S32" i="9"/>
  <c r="S37" i="9"/>
  <c r="O34" i="9"/>
  <c r="O32" i="9"/>
  <c r="P31" i="9"/>
  <c r="D49" i="3" s="1"/>
  <c r="O37" i="9"/>
  <c r="P37" i="9"/>
  <c r="F49" i="3" s="1"/>
  <c r="K34" i="9"/>
  <c r="L34" i="9" s="1"/>
  <c r="E32" i="3" s="1"/>
  <c r="K32" i="9"/>
  <c r="L31" i="9" s="1"/>
  <c r="D32" i="3" s="1"/>
  <c r="K37" i="9"/>
  <c r="L37" i="9" s="1"/>
  <c r="F32" i="3" s="1"/>
  <c r="S20" i="9"/>
  <c r="S24" i="9"/>
  <c r="S25" i="9"/>
  <c r="S29" i="9"/>
  <c r="S28" i="9"/>
  <c r="T28" i="9" s="1"/>
  <c r="F64" i="3" s="1"/>
  <c r="O20" i="9"/>
  <c r="O24" i="9"/>
  <c r="O25" i="9"/>
  <c r="O29" i="9"/>
  <c r="O28" i="9"/>
  <c r="K20" i="9"/>
  <c r="L20" i="9" s="1"/>
  <c r="D31" i="3" s="1"/>
  <c r="K24" i="9"/>
  <c r="K25" i="9"/>
  <c r="K28" i="9"/>
  <c r="K29" i="9"/>
  <c r="E20" i="9"/>
  <c r="G20" i="9" s="1"/>
  <c r="E25" i="9"/>
  <c r="G25" i="9" s="1"/>
  <c r="E28" i="9"/>
  <c r="G28" i="9" s="1"/>
  <c r="E29" i="9"/>
  <c r="G29" i="9" s="1"/>
  <c r="E131" i="9"/>
  <c r="G131" i="9" s="1"/>
  <c r="E130" i="9"/>
  <c r="G130" i="9" s="1"/>
  <c r="E128" i="9"/>
  <c r="G128" i="9" s="1"/>
  <c r="E127" i="9"/>
  <c r="G127" i="9" s="1"/>
  <c r="E125" i="9"/>
  <c r="G125" i="9" s="1"/>
  <c r="E122" i="9"/>
  <c r="G122" i="9" s="1"/>
  <c r="E121" i="9"/>
  <c r="G121" i="9" s="1"/>
  <c r="E119" i="9"/>
  <c r="G119" i="9" s="1"/>
  <c r="E116" i="9"/>
  <c r="G116" i="9" s="1"/>
  <c r="E115" i="9"/>
  <c r="G115" i="9" s="1"/>
  <c r="E112" i="9"/>
  <c r="G112" i="9" s="1"/>
  <c r="E109" i="9"/>
  <c r="G109" i="9" s="1"/>
  <c r="E104" i="9"/>
  <c r="G104" i="9" s="1"/>
  <c r="E102" i="9"/>
  <c r="G102" i="9" s="1"/>
  <c r="E99" i="9"/>
  <c r="G99" i="9" s="1"/>
  <c r="E98" i="9"/>
  <c r="G98" i="9" s="1"/>
  <c r="E97" i="9"/>
  <c r="G97" i="9" s="1"/>
  <c r="E94" i="9"/>
  <c r="G94" i="9" s="1"/>
  <c r="E92" i="9"/>
  <c r="G92" i="9" s="1"/>
  <c r="E89" i="9"/>
  <c r="G89" i="9" s="1"/>
  <c r="E88" i="9"/>
  <c r="G88" i="9" s="1"/>
  <c r="E85" i="9"/>
  <c r="G85" i="9" s="1"/>
  <c r="E83" i="9"/>
  <c r="G83" i="9" s="1"/>
  <c r="E82" i="9"/>
  <c r="G82" i="9" s="1"/>
  <c r="E80" i="9"/>
  <c r="G80" i="9" s="1"/>
  <c r="E79" i="9"/>
  <c r="G79" i="9" s="1"/>
  <c r="E73" i="9"/>
  <c r="G73" i="9" s="1"/>
  <c r="E72" i="9"/>
  <c r="G72" i="9" s="1"/>
  <c r="E70" i="9"/>
  <c r="G70" i="9" s="1"/>
  <c r="E69" i="9"/>
  <c r="G69" i="9" s="1"/>
  <c r="E67" i="9"/>
  <c r="G67" i="9" s="1"/>
  <c r="E66" i="9"/>
  <c r="G66" i="9" s="1"/>
  <c r="E64" i="9"/>
  <c r="G64" i="9" s="1"/>
  <c r="E63" i="9"/>
  <c r="G63" i="9" s="1"/>
  <c r="E61" i="9"/>
  <c r="G61" i="9" s="1"/>
  <c r="E60" i="9"/>
  <c r="G60" i="9" s="1"/>
  <c r="E58" i="9"/>
  <c r="G58" i="9" s="1"/>
  <c r="E57" i="9"/>
  <c r="G57" i="9" s="1"/>
  <c r="E50" i="9"/>
  <c r="G50" i="9" s="1"/>
  <c r="E47" i="9"/>
  <c r="G47" i="9" s="1"/>
  <c r="E46" i="9"/>
  <c r="G46" i="9" s="1"/>
  <c r="E44" i="9"/>
  <c r="G44" i="9" s="1"/>
  <c r="E43" i="9"/>
  <c r="G43" i="9" s="1"/>
  <c r="E40" i="9"/>
  <c r="G40" i="9" s="1"/>
  <c r="E37" i="9"/>
  <c r="G37" i="9" s="1"/>
  <c r="E34" i="9"/>
  <c r="G34" i="9" s="1"/>
  <c r="E32" i="9"/>
  <c r="G32" i="9" s="1"/>
  <c r="C134" i="9"/>
  <c r="C133" i="9"/>
  <c r="C131" i="9"/>
  <c r="C130" i="9"/>
  <c r="C128" i="9"/>
  <c r="C127" i="9"/>
  <c r="C125" i="9"/>
  <c r="C124" i="9"/>
  <c r="C122" i="9"/>
  <c r="C121" i="9"/>
  <c r="C119" i="9"/>
  <c r="C118" i="9"/>
  <c r="C116" i="9"/>
  <c r="C115" i="9"/>
  <c r="C113" i="9"/>
  <c r="C112" i="9"/>
  <c r="C110" i="9"/>
  <c r="C109" i="9"/>
  <c r="C108" i="9"/>
  <c r="C105" i="9"/>
  <c r="C104" i="9"/>
  <c r="C102" i="9"/>
  <c r="C101" i="9"/>
  <c r="C99" i="9"/>
  <c r="C98" i="9"/>
  <c r="C97" i="9"/>
  <c r="C95" i="9"/>
  <c r="C94" i="9"/>
  <c r="C92" i="9"/>
  <c r="C91" i="9"/>
  <c r="C89" i="9"/>
  <c r="C88" i="9"/>
  <c r="C86" i="9"/>
  <c r="C85" i="9"/>
  <c r="C83" i="9"/>
  <c r="C82" i="9"/>
  <c r="C80" i="9"/>
  <c r="C79" i="9"/>
  <c r="C76" i="9"/>
  <c r="C75" i="9"/>
  <c r="C73" i="9"/>
  <c r="C72" i="9"/>
  <c r="C70" i="9"/>
  <c r="C69" i="9"/>
  <c r="C67" i="9"/>
  <c r="C66" i="9"/>
  <c r="C64" i="9"/>
  <c r="C63" i="9"/>
  <c r="C61" i="9"/>
  <c r="C60" i="9"/>
  <c r="C58" i="9"/>
  <c r="C57" i="9"/>
  <c r="C55" i="9"/>
  <c r="C54" i="9"/>
  <c r="C53" i="9"/>
  <c r="C51" i="9"/>
  <c r="C50" i="9"/>
  <c r="D16" i="9"/>
  <c r="D15" i="9"/>
  <c r="C47" i="9"/>
  <c r="C46" i="9"/>
  <c r="C44" i="9"/>
  <c r="C43" i="9"/>
  <c r="C41" i="9"/>
  <c r="C40" i="9"/>
  <c r="C38" i="9"/>
  <c r="C37" i="9"/>
  <c r="C35" i="9"/>
  <c r="C34" i="9"/>
  <c r="C32" i="9"/>
  <c r="C31" i="9"/>
  <c r="C29" i="9"/>
  <c r="C28" i="9"/>
  <c r="C26" i="9"/>
  <c r="C25" i="9"/>
  <c r="C24" i="9"/>
  <c r="C22" i="9"/>
  <c r="C21" i="9"/>
  <c r="C20" i="9"/>
  <c r="Y12" i="3"/>
  <c r="X12" i="3"/>
  <c r="W12" i="3"/>
  <c r="V12" i="3"/>
  <c r="B5" i="5"/>
  <c r="L5" i="5" s="1"/>
  <c r="B4" i="5"/>
  <c r="L4" i="5" s="1"/>
  <c r="U11" i="5"/>
  <c r="S11" i="5"/>
  <c r="Q11" i="5"/>
  <c r="O11" i="5"/>
  <c r="L101" i="5"/>
  <c r="L93" i="5"/>
  <c r="L85" i="5"/>
  <c r="L77" i="5"/>
  <c r="L69" i="5"/>
  <c r="L61" i="5"/>
  <c r="L53" i="5"/>
  <c r="L45" i="5"/>
  <c r="L38" i="5"/>
  <c r="L31" i="5"/>
  <c r="L24" i="5"/>
  <c r="Z23" i="5"/>
  <c r="Z22" i="5"/>
  <c r="Z21" i="5"/>
  <c r="Z20" i="5"/>
  <c r="Z19" i="5"/>
  <c r="Z18" i="5"/>
  <c r="Z17" i="5"/>
  <c r="L17" i="5"/>
  <c r="Z16" i="5"/>
  <c r="Z15" i="5"/>
  <c r="Z14" i="5"/>
  <c r="Z13" i="5"/>
  <c r="Z12" i="5"/>
  <c r="L6" i="5"/>
  <c r="L3" i="5"/>
  <c r="C9" i="3"/>
  <c r="C7" i="3"/>
  <c r="C8" i="3"/>
  <c r="A5" i="3"/>
  <c r="A6" i="3"/>
  <c r="A7" i="3"/>
  <c r="A8" i="3"/>
  <c r="A9" i="3"/>
  <c r="J18" i="2" l="1"/>
  <c r="D22" i="3"/>
  <c r="D23" i="3"/>
  <c r="F21" i="3"/>
  <c r="D24" i="3"/>
  <c r="H112" i="9"/>
  <c r="D17" i="3"/>
  <c r="F18" i="3"/>
  <c r="E18" i="3"/>
  <c r="H37" i="9"/>
  <c r="H69" i="9"/>
  <c r="E24" i="3"/>
  <c r="H72" i="9"/>
  <c r="H53" i="9"/>
  <c r="D20" i="3"/>
  <c r="E17" i="3"/>
  <c r="F20" i="3"/>
  <c r="F16" i="3"/>
  <c r="E25" i="3"/>
  <c r="H85" i="9"/>
  <c r="E21" i="3"/>
  <c r="B1" i="9"/>
  <c r="H124" i="9"/>
  <c r="H50" i="9"/>
  <c r="H57" i="9"/>
  <c r="H115" i="9"/>
  <c r="H75" i="9"/>
  <c r="L24" i="9"/>
  <c r="E31" i="3" s="1"/>
  <c r="T108" i="9"/>
  <c r="D73" i="3" s="1"/>
  <c r="F25" i="3"/>
  <c r="X28" i="9"/>
  <c r="F82" i="3" s="1"/>
  <c r="T31" i="9"/>
  <c r="T43" i="9"/>
  <c r="E66" i="3" s="1"/>
  <c r="F14" i="3"/>
  <c r="F22" i="3"/>
  <c r="T97" i="9"/>
  <c r="U97" i="9" s="1"/>
  <c r="P43" i="9"/>
  <c r="E50" i="3" s="1"/>
  <c r="E20" i="3"/>
  <c r="P104" i="9"/>
  <c r="F56" i="3" s="1"/>
  <c r="X72" i="9"/>
  <c r="E87" i="3" s="1"/>
  <c r="P133" i="9"/>
  <c r="F59" i="3" s="1"/>
  <c r="P118" i="9"/>
  <c r="D58" i="3" s="1"/>
  <c r="T75" i="9"/>
  <c r="F69" i="3" s="1"/>
  <c r="L82" i="9"/>
  <c r="E37" i="3" s="1"/>
  <c r="X108" i="9"/>
  <c r="D91" i="3" s="1"/>
  <c r="E16" i="3"/>
  <c r="X63" i="9"/>
  <c r="E86" i="3" s="1"/>
  <c r="X112" i="9"/>
  <c r="E91" i="3" s="1"/>
  <c r="H104" i="9"/>
  <c r="E22" i="3"/>
  <c r="P24" i="9"/>
  <c r="E48" i="3" s="1"/>
  <c r="T104" i="9"/>
  <c r="F72" i="3" s="1"/>
  <c r="L133" i="9"/>
  <c r="F42" i="3" s="1"/>
  <c r="F23" i="3"/>
  <c r="L28" i="9"/>
  <c r="F31" i="3" s="1"/>
  <c r="T37" i="9"/>
  <c r="F65" i="3" s="1"/>
  <c r="P46" i="9"/>
  <c r="F50" i="3" s="1"/>
  <c r="P50" i="9"/>
  <c r="P101" i="9"/>
  <c r="E56" i="3" s="1"/>
  <c r="L118" i="9"/>
  <c r="D41" i="3" s="1"/>
  <c r="X57" i="9"/>
  <c r="F85" i="3" s="1"/>
  <c r="X97" i="9"/>
  <c r="D90" i="3" s="1"/>
  <c r="L53" i="9"/>
  <c r="E34" i="3" s="1"/>
  <c r="P75" i="9"/>
  <c r="F53" i="3" s="1"/>
  <c r="X82" i="9"/>
  <c r="E88" i="3" s="1"/>
  <c r="D25" i="3"/>
  <c r="H101" i="9"/>
  <c r="T124" i="9"/>
  <c r="F74" i="3" s="1"/>
  <c r="L124" i="9"/>
  <c r="F41" i="3" s="1"/>
  <c r="X124" i="9"/>
  <c r="F92" i="3" s="1"/>
  <c r="L85" i="9"/>
  <c r="F37" i="3" s="1"/>
  <c r="P53" i="9"/>
  <c r="E51" i="3" s="1"/>
  <c r="X118" i="9"/>
  <c r="D92" i="3" s="1"/>
  <c r="H63" i="9"/>
  <c r="H66" i="9"/>
  <c r="H34" i="9"/>
  <c r="H118" i="9"/>
  <c r="H97" i="9"/>
  <c r="H31" i="9"/>
  <c r="H28" i="9"/>
  <c r="E19" i="3"/>
  <c r="H91" i="9"/>
  <c r="H79" i="9"/>
  <c r="F24" i="3"/>
  <c r="F19" i="3"/>
  <c r="H82" i="9"/>
  <c r="F15" i="3"/>
  <c r="E14" i="3"/>
  <c r="E15" i="3"/>
  <c r="D19" i="3"/>
  <c r="H60" i="9"/>
  <c r="D75" i="3"/>
  <c r="D51" i="3"/>
  <c r="U31" i="9"/>
  <c r="D65" i="3"/>
  <c r="M88" i="9"/>
  <c r="D38" i="3"/>
  <c r="H46" i="9"/>
  <c r="L43" i="9"/>
  <c r="P63" i="9"/>
  <c r="X127" i="9"/>
  <c r="D93" i="3" s="1"/>
  <c r="D15" i="3"/>
  <c r="T46" i="9"/>
  <c r="F66" i="3" s="1"/>
  <c r="P60" i="9"/>
  <c r="D52" i="3" s="1"/>
  <c r="P82" i="9"/>
  <c r="E54" i="3" s="1"/>
  <c r="T88" i="9"/>
  <c r="L121" i="9"/>
  <c r="E41" i="3" s="1"/>
  <c r="X46" i="9"/>
  <c r="F84" i="3" s="1"/>
  <c r="X66" i="9"/>
  <c r="F86" i="3" s="1"/>
  <c r="L46" i="9"/>
  <c r="F33" i="3" s="1"/>
  <c r="L108" i="9"/>
  <c r="D40" i="3" s="1"/>
  <c r="H121" i="9"/>
  <c r="P34" i="9"/>
  <c r="E49" i="3" s="1"/>
  <c r="L57" i="9"/>
  <c r="F34" i="3" s="1"/>
  <c r="L69" i="9"/>
  <c r="D36" i="3" s="1"/>
  <c r="T72" i="9"/>
  <c r="P94" i="9"/>
  <c r="F55" i="3" s="1"/>
  <c r="L130" i="9"/>
  <c r="E42" i="3" s="1"/>
  <c r="X115" i="9"/>
  <c r="F91" i="3" s="1"/>
  <c r="D16" i="3"/>
  <c r="X50" i="9"/>
  <c r="D85" i="3" s="1"/>
  <c r="L50" i="9"/>
  <c r="D34" i="3" s="1"/>
  <c r="L63" i="9"/>
  <c r="E35" i="3" s="1"/>
  <c r="T63" i="9"/>
  <c r="E68" i="3" s="1"/>
  <c r="T82" i="9"/>
  <c r="E70" i="3" s="1"/>
  <c r="P91" i="9"/>
  <c r="E55" i="3" s="1"/>
  <c r="X20" i="9"/>
  <c r="D82" i="3" s="1"/>
  <c r="H40" i="9"/>
  <c r="X91" i="9"/>
  <c r="E89" i="3" s="1"/>
  <c r="P124" i="9"/>
  <c r="F58" i="3" s="1"/>
  <c r="P79" i="9"/>
  <c r="T130" i="9"/>
  <c r="E75" i="3" s="1"/>
  <c r="H94" i="9"/>
  <c r="H24" i="9"/>
  <c r="P28" i="9"/>
  <c r="F48" i="3" s="1"/>
  <c r="P57" i="9"/>
  <c r="F51" i="3" s="1"/>
  <c r="L60" i="9"/>
  <c r="T60" i="9"/>
  <c r="T79" i="9"/>
  <c r="D70" i="3" s="1"/>
  <c r="P88" i="9"/>
  <c r="X34" i="9"/>
  <c r="E83" i="3" s="1"/>
  <c r="X94" i="9"/>
  <c r="F89" i="3" s="1"/>
  <c r="H88" i="9"/>
  <c r="L97" i="9"/>
  <c r="P40" i="9"/>
  <c r="D50" i="3" s="1"/>
  <c r="X104" i="9"/>
  <c r="F90" i="3" s="1"/>
  <c r="E23" i="3"/>
  <c r="P108" i="9"/>
  <c r="D57" i="3" s="1"/>
  <c r="H43" i="9"/>
  <c r="T34" i="9"/>
  <c r="E65" i="3" s="1"/>
  <c r="P72" i="9"/>
  <c r="E53" i="3" s="1"/>
  <c r="L79" i="9"/>
  <c r="D37" i="3" s="1"/>
  <c r="T115" i="9"/>
  <c r="T121" i="9"/>
  <c r="E74" i="3" s="1"/>
  <c r="X40" i="9"/>
  <c r="D84" i="3" s="1"/>
  <c r="X101" i="9"/>
  <c r="E90" i="3" s="1"/>
  <c r="H20" i="9"/>
  <c r="A1" i="3"/>
  <c r="H130" i="9"/>
  <c r="P69" i="9"/>
  <c r="M127" i="9"/>
  <c r="X24" i="9"/>
  <c r="E82" i="3" s="1"/>
  <c r="H127" i="9"/>
  <c r="H108" i="9"/>
  <c r="T24" i="9"/>
  <c r="E64" i="3" s="1"/>
  <c r="U50" i="9"/>
  <c r="T20" i="9"/>
  <c r="Q31" i="9"/>
  <c r="P97" i="9"/>
  <c r="Y79" i="9"/>
  <c r="C88" i="3" s="1"/>
  <c r="L115" i="9"/>
  <c r="Y31" i="9"/>
  <c r="C83" i="3" s="1"/>
  <c r="Y69" i="9"/>
  <c r="C87" i="3" s="1"/>
  <c r="P127" i="9"/>
  <c r="F17" i="3"/>
  <c r="M31" i="9"/>
  <c r="H133" i="9"/>
  <c r="T118" i="9"/>
  <c r="I69" i="9" l="1"/>
  <c r="B16" i="5"/>
  <c r="AE16" i="5" s="1"/>
  <c r="I108" i="9"/>
  <c r="I31" i="9"/>
  <c r="I79" i="9"/>
  <c r="C14" i="3"/>
  <c r="V13" i="3" s="1"/>
  <c r="I50" i="9"/>
  <c r="I60" i="9"/>
  <c r="I118" i="9"/>
  <c r="D18" i="3"/>
  <c r="M69" i="9"/>
  <c r="B13" i="5"/>
  <c r="AE13" i="5" s="1"/>
  <c r="Q20" i="9"/>
  <c r="C48" i="3" s="1"/>
  <c r="V47" i="3" s="1"/>
  <c r="B14" i="5"/>
  <c r="AE14" i="5" s="1"/>
  <c r="M79" i="9"/>
  <c r="M50" i="9"/>
  <c r="B17" i="5"/>
  <c r="AE17" i="5" s="1"/>
  <c r="Q40" i="9"/>
  <c r="Y118" i="9"/>
  <c r="C92" i="3" s="1"/>
  <c r="U40" i="9"/>
  <c r="M20" i="9"/>
  <c r="C31" i="3" s="1"/>
  <c r="I97" i="9"/>
  <c r="D72" i="3"/>
  <c r="Y127" i="9"/>
  <c r="C93" i="3" s="1"/>
  <c r="Q118" i="9"/>
  <c r="C25" i="3"/>
  <c r="B22" i="5"/>
  <c r="AE22" i="5" s="1"/>
  <c r="C22" i="3"/>
  <c r="I20" i="9"/>
  <c r="I40" i="9"/>
  <c r="E22" i="5"/>
  <c r="AC22" i="5" s="1"/>
  <c r="C58" i="3"/>
  <c r="Y57" i="3" s="1"/>
  <c r="Q69" i="9"/>
  <c r="D53" i="3"/>
  <c r="U79" i="9"/>
  <c r="E13" i="5"/>
  <c r="C49" i="3"/>
  <c r="V48" i="3" s="1"/>
  <c r="C19" i="5"/>
  <c r="C38" i="3"/>
  <c r="Y88" i="9"/>
  <c r="C89" i="3" s="1"/>
  <c r="M108" i="9"/>
  <c r="F40" i="3"/>
  <c r="C18" i="5"/>
  <c r="AD18" i="5" s="1"/>
  <c r="C37" i="3"/>
  <c r="E69" i="3"/>
  <c r="U69" i="9"/>
  <c r="U88" i="9"/>
  <c r="D71" i="3"/>
  <c r="M60" i="9"/>
  <c r="D35" i="3"/>
  <c r="Y108" i="9"/>
  <c r="C91" i="3" s="1"/>
  <c r="U118" i="9"/>
  <c r="D74" i="3"/>
  <c r="G13" i="5"/>
  <c r="C65" i="3"/>
  <c r="Q88" i="9"/>
  <c r="D55" i="3"/>
  <c r="Q97" i="9"/>
  <c r="D56" i="3"/>
  <c r="Y92" i="3"/>
  <c r="G93" i="3"/>
  <c r="U60" i="9"/>
  <c r="D68" i="3"/>
  <c r="U20" i="9"/>
  <c r="D64" i="3"/>
  <c r="G83" i="3"/>
  <c r="V82" i="3"/>
  <c r="Q108" i="9"/>
  <c r="Y50" i="9"/>
  <c r="C85" i="3" s="1"/>
  <c r="U108" i="9"/>
  <c r="F73" i="3"/>
  <c r="I88" i="9"/>
  <c r="Q50" i="9"/>
  <c r="C15" i="5"/>
  <c r="D15" i="5" s="1"/>
  <c r="C34" i="3"/>
  <c r="G20" i="5"/>
  <c r="C72" i="3"/>
  <c r="Q127" i="9"/>
  <c r="D59" i="3"/>
  <c r="G87" i="3"/>
  <c r="W86" i="3"/>
  <c r="E14" i="5"/>
  <c r="AC14" i="5" s="1"/>
  <c r="C50" i="3"/>
  <c r="V49" i="3" s="1"/>
  <c r="C13" i="5"/>
  <c r="D13" i="5" s="1"/>
  <c r="C32" i="3"/>
  <c r="Y97" i="9"/>
  <c r="C90" i="3" s="1"/>
  <c r="J84" i="3" s="1"/>
  <c r="C23" i="5"/>
  <c r="AD23" i="5" s="1"/>
  <c r="C42" i="3"/>
  <c r="Y60" i="9"/>
  <c r="C86" i="3" s="1"/>
  <c r="E12" i="5"/>
  <c r="AC12" i="5" s="1"/>
  <c r="D39" i="3"/>
  <c r="M97" i="9"/>
  <c r="C23" i="3"/>
  <c r="Y22" i="3" s="1"/>
  <c r="C17" i="3"/>
  <c r="W16" i="3" s="1"/>
  <c r="Y40" i="9"/>
  <c r="C84" i="3" s="1"/>
  <c r="Q79" i="9"/>
  <c r="D54" i="3"/>
  <c r="M40" i="9"/>
  <c r="E33" i="3"/>
  <c r="G92" i="3"/>
  <c r="Y91" i="3"/>
  <c r="C17" i="5"/>
  <c r="C36" i="3"/>
  <c r="G15" i="5"/>
  <c r="C67" i="3"/>
  <c r="G14" i="5"/>
  <c r="H14" i="5" s="1"/>
  <c r="C66" i="3"/>
  <c r="X87" i="3"/>
  <c r="G88" i="3"/>
  <c r="M118" i="9"/>
  <c r="Q60" i="9"/>
  <c r="E52" i="3"/>
  <c r="U127" i="9"/>
  <c r="I18" i="5"/>
  <c r="G58" i="3"/>
  <c r="Y20" i="9"/>
  <c r="C82" i="3" s="1"/>
  <c r="F14" i="5"/>
  <c r="I13" i="5"/>
  <c r="AD17" i="5"/>
  <c r="D17" i="5"/>
  <c r="I17" i="5"/>
  <c r="D21" i="3"/>
  <c r="AC13" i="5"/>
  <c r="F13" i="5"/>
  <c r="H15" i="5"/>
  <c r="AB15" i="5"/>
  <c r="I127" i="9"/>
  <c r="G14" i="3" l="1"/>
  <c r="C18" i="3"/>
  <c r="W17" i="3" s="1"/>
  <c r="B12" i="5"/>
  <c r="AE12" i="5" s="1"/>
  <c r="C19" i="3"/>
  <c r="G19" i="3" s="1"/>
  <c r="C15" i="3"/>
  <c r="G15" i="3" s="1"/>
  <c r="C24" i="3"/>
  <c r="Y23" i="3" s="1"/>
  <c r="B20" i="5"/>
  <c r="AE20" i="5" s="1"/>
  <c r="B23" i="5"/>
  <c r="AE23" i="5" s="1"/>
  <c r="C16" i="3"/>
  <c r="G16" i="3" s="1"/>
  <c r="I21" i="5"/>
  <c r="C12" i="5"/>
  <c r="D18" i="5"/>
  <c r="F12" i="5"/>
  <c r="F22" i="5"/>
  <c r="I16" i="5"/>
  <c r="I23" i="5"/>
  <c r="C20" i="3"/>
  <c r="B18" i="5"/>
  <c r="AE18" i="5" s="1"/>
  <c r="AB14" i="5"/>
  <c r="I22" i="5"/>
  <c r="J22" i="5" s="1"/>
  <c r="B21" i="5"/>
  <c r="AE21" i="5" s="1"/>
  <c r="G42" i="3"/>
  <c r="Y41" i="3"/>
  <c r="C22" i="5"/>
  <c r="C41" i="3"/>
  <c r="H13" i="5"/>
  <c r="AB13" i="5"/>
  <c r="E15" i="5"/>
  <c r="C51" i="3"/>
  <c r="W50" i="3" s="1"/>
  <c r="X37" i="3"/>
  <c r="G38" i="3"/>
  <c r="G66" i="3"/>
  <c r="V65" i="3"/>
  <c r="AD13" i="5"/>
  <c r="B15" i="5"/>
  <c r="AE15" i="5" s="1"/>
  <c r="G21" i="5"/>
  <c r="C73" i="3"/>
  <c r="I20" i="5"/>
  <c r="I19" i="5"/>
  <c r="C20" i="5"/>
  <c r="C39" i="3"/>
  <c r="W84" i="3"/>
  <c r="G85" i="3"/>
  <c r="J83" i="3"/>
  <c r="C71" i="3"/>
  <c r="G19" i="5"/>
  <c r="G18" i="5"/>
  <c r="C70" i="3"/>
  <c r="C14" i="5"/>
  <c r="C33" i="3"/>
  <c r="X88" i="3"/>
  <c r="G89" i="3"/>
  <c r="G91" i="3"/>
  <c r="Y90" i="3"/>
  <c r="J85" i="3"/>
  <c r="AD15" i="5"/>
  <c r="AD19" i="5"/>
  <c r="D19" i="5"/>
  <c r="C16" i="5"/>
  <c r="C35" i="3"/>
  <c r="W35" i="3"/>
  <c r="G36" i="3"/>
  <c r="E21" i="5"/>
  <c r="C57" i="3"/>
  <c r="Y56" i="3" s="1"/>
  <c r="E20" i="5"/>
  <c r="C56" i="3"/>
  <c r="G17" i="5"/>
  <c r="C69" i="3"/>
  <c r="W33" i="3"/>
  <c r="J32" i="3"/>
  <c r="G34" i="3"/>
  <c r="X89" i="3"/>
  <c r="G90" i="3"/>
  <c r="G12" i="5"/>
  <c r="C64" i="3"/>
  <c r="E18" i="5"/>
  <c r="C54" i="3"/>
  <c r="X53" i="3" s="1"/>
  <c r="G84" i="3"/>
  <c r="V83" i="3"/>
  <c r="G67" i="3"/>
  <c r="W66" i="3"/>
  <c r="D23" i="5"/>
  <c r="G23" i="5"/>
  <c r="C75" i="3"/>
  <c r="V30" i="3"/>
  <c r="J31" i="3"/>
  <c r="G31" i="3"/>
  <c r="E17" i="5"/>
  <c r="C53" i="3"/>
  <c r="C21" i="5"/>
  <c r="C40" i="3"/>
  <c r="G22" i="3"/>
  <c r="X21" i="3"/>
  <c r="H20" i="5"/>
  <c r="AB20" i="5"/>
  <c r="G22" i="5"/>
  <c r="C74" i="3"/>
  <c r="G25" i="3"/>
  <c r="Y24" i="3"/>
  <c r="V31" i="3"/>
  <c r="G32" i="3"/>
  <c r="C68" i="3"/>
  <c r="J65" i="3" s="1"/>
  <c r="G16" i="5"/>
  <c r="G50" i="3"/>
  <c r="V81" i="3"/>
  <c r="J82" i="3"/>
  <c r="G82" i="3"/>
  <c r="E23" i="5"/>
  <c r="C59" i="3"/>
  <c r="E19" i="5"/>
  <c r="C55" i="3"/>
  <c r="G37" i="3"/>
  <c r="X36" i="3"/>
  <c r="J33" i="3"/>
  <c r="I14" i="5"/>
  <c r="G49" i="3"/>
  <c r="I15" i="5"/>
  <c r="AA15" i="5" s="1"/>
  <c r="E16" i="5"/>
  <c r="C52" i="3"/>
  <c r="W85" i="3"/>
  <c r="G86" i="3"/>
  <c r="G72" i="3"/>
  <c r="X71" i="3"/>
  <c r="G65" i="3"/>
  <c r="V64" i="3"/>
  <c r="J21" i="5"/>
  <c r="AA21" i="5"/>
  <c r="J15" i="5"/>
  <c r="AA23" i="5"/>
  <c r="J23" i="5"/>
  <c r="C21" i="3"/>
  <c r="X20" i="3" s="1"/>
  <c r="B19" i="5"/>
  <c r="AE19" i="5" s="1"/>
  <c r="G23" i="3"/>
  <c r="K22" i="5"/>
  <c r="G51" i="3"/>
  <c r="G17" i="3"/>
  <c r="AA20" i="5"/>
  <c r="J20" i="5"/>
  <c r="I12" i="5"/>
  <c r="AA18" i="5"/>
  <c r="J18" i="5"/>
  <c r="K17" i="5"/>
  <c r="AA17" i="5"/>
  <c r="J17" i="5"/>
  <c r="AA16" i="5"/>
  <c r="J16" i="5"/>
  <c r="K16" i="5"/>
  <c r="J19" i="5"/>
  <c r="AA19" i="5"/>
  <c r="AA13" i="5"/>
  <c r="K13" i="5"/>
  <c r="J13" i="5"/>
  <c r="J14" i="5"/>
  <c r="AA14" i="5"/>
  <c r="K14" i="5"/>
  <c r="G57" i="3"/>
  <c r="W18" i="3" l="1"/>
  <c r="V14" i="3"/>
  <c r="J17" i="3"/>
  <c r="G18" i="3"/>
  <c r="J15" i="3"/>
  <c r="G24" i="3"/>
  <c r="J14" i="3"/>
  <c r="V15" i="3"/>
  <c r="K20" i="5"/>
  <c r="K23" i="5"/>
  <c r="X19" i="3"/>
  <c r="G20" i="3"/>
  <c r="G54" i="3"/>
  <c r="K18" i="5"/>
  <c r="K21" i="5"/>
  <c r="AA22" i="5"/>
  <c r="C25" i="5"/>
  <c r="AD12" i="5"/>
  <c r="D12" i="5"/>
  <c r="J51" i="3"/>
  <c r="F23" i="5"/>
  <c r="AC23" i="5"/>
  <c r="F17" i="5"/>
  <c r="AC17" i="5"/>
  <c r="AB17" i="5"/>
  <c r="H17" i="5"/>
  <c r="X70" i="3"/>
  <c r="G71" i="3"/>
  <c r="X55" i="3"/>
  <c r="G56" i="3"/>
  <c r="Y73" i="3"/>
  <c r="G74" i="3"/>
  <c r="AC18" i="5"/>
  <c r="F18" i="5"/>
  <c r="AB22" i="5"/>
  <c r="H22" i="5"/>
  <c r="G75" i="3"/>
  <c r="Y74" i="3"/>
  <c r="G64" i="3"/>
  <c r="V63" i="3"/>
  <c r="J64" i="3"/>
  <c r="AC21" i="5"/>
  <c r="F21" i="5"/>
  <c r="X38" i="3"/>
  <c r="G39" i="3"/>
  <c r="W51" i="3"/>
  <c r="G52" i="3"/>
  <c r="AB23" i="5"/>
  <c r="H23" i="5"/>
  <c r="G25" i="5"/>
  <c r="H12" i="5"/>
  <c r="AB12" i="5"/>
  <c r="V32" i="3"/>
  <c r="G33" i="3"/>
  <c r="D20" i="5"/>
  <c r="AD20" i="5"/>
  <c r="F15" i="5"/>
  <c r="AC15" i="5"/>
  <c r="E25" i="5"/>
  <c r="D14" i="5"/>
  <c r="AD14" i="5"/>
  <c r="W34" i="3"/>
  <c r="G35" i="3"/>
  <c r="AD16" i="5"/>
  <c r="D16" i="5"/>
  <c r="G73" i="3"/>
  <c r="Y72" i="3"/>
  <c r="J67" i="3"/>
  <c r="G41" i="3"/>
  <c r="Y40" i="3"/>
  <c r="F20" i="5"/>
  <c r="AC20" i="5"/>
  <c r="X54" i="3"/>
  <c r="G55" i="3"/>
  <c r="H16" i="5"/>
  <c r="AB16" i="5"/>
  <c r="Y39" i="3"/>
  <c r="J34" i="3"/>
  <c r="G40" i="3"/>
  <c r="X69" i="3"/>
  <c r="G70" i="3"/>
  <c r="J66" i="3"/>
  <c r="AB21" i="5"/>
  <c r="H21" i="5"/>
  <c r="D22" i="5"/>
  <c r="AD22" i="5"/>
  <c r="AC16" i="5"/>
  <c r="F16" i="5"/>
  <c r="K15" i="5"/>
  <c r="F19" i="5"/>
  <c r="AC19" i="5"/>
  <c r="W67" i="3"/>
  <c r="G68" i="3"/>
  <c r="AD21" i="5"/>
  <c r="D21" i="5"/>
  <c r="H18" i="5"/>
  <c r="AB18" i="5"/>
  <c r="J50" i="3"/>
  <c r="J49" i="3"/>
  <c r="Y58" i="3"/>
  <c r="G59" i="3"/>
  <c r="W52" i="3"/>
  <c r="G53" i="3"/>
  <c r="W68" i="3"/>
  <c r="G69" i="3"/>
  <c r="H19" i="5"/>
  <c r="AB19" i="5"/>
  <c r="G21" i="3"/>
  <c r="J16" i="3"/>
  <c r="J12" i="5"/>
  <c r="K12" i="5"/>
  <c r="I25" i="5"/>
  <c r="AA12" i="5"/>
  <c r="G48" i="3"/>
  <c r="J48" i="3"/>
  <c r="K19" i="5"/>
  <c r="K25" i="5" l="1"/>
  <c r="K26" i="5" l="1"/>
  <c r="G26" i="5"/>
  <c r="E26" i="5"/>
  <c r="C26" i="5"/>
  <c r="I26" i="5"/>
</calcChain>
</file>

<file path=xl/sharedStrings.xml><?xml version="1.0" encoding="utf-8"?>
<sst xmlns="http://schemas.openxmlformats.org/spreadsheetml/2006/main" count="1438" uniqueCount="566">
  <si>
    <t>Operational Enablement</t>
  </si>
  <si>
    <t>OE1</t>
  </si>
  <si>
    <t>OE2</t>
  </si>
  <si>
    <t>OE3</t>
  </si>
  <si>
    <t>Business Functions</t>
  </si>
  <si>
    <t>Security Practices</t>
  </si>
  <si>
    <t>0+</t>
  </si>
  <si>
    <t>1+</t>
  </si>
  <si>
    <t>2+</t>
  </si>
  <si>
    <t>Translated Value</t>
  </si>
  <si>
    <t>Version:</t>
  </si>
  <si>
    <t>Description:</t>
  </si>
  <si>
    <t>Contributors:</t>
  </si>
  <si>
    <t>License:</t>
  </si>
  <si>
    <t>Creative Commons Attribution-ShareAlike 3.0 License</t>
  </si>
  <si>
    <t>This work is licensed under the Creative Commons Attribution-Share Alike 3.0 License. To view a copy of this license, visit http://creativecommons.org/licenses/by-sa/3.0/legalcode; or, (b) send a letter to Creative Commons, 171 2nd Street, Suite 300, San Francisco, California, 94105, USA.</t>
  </si>
  <si>
    <t>Instructions</t>
  </si>
  <si>
    <t>Interview an individual based on the questions below organized according to SAMM Business Functions and Security Practices.</t>
  </si>
  <si>
    <t>Document additional information such as how and why in the "Interview Notes" column.</t>
  </si>
  <si>
    <t>Once the interview is complete, go to the "Scorecard" sheet and follow instructions.</t>
  </si>
  <si>
    <t>Organization:</t>
  </si>
  <si>
    <t>Project:</t>
  </si>
  <si>
    <t>Interview Date:</t>
  </si>
  <si>
    <t>Interviewer:</t>
  </si>
  <si>
    <t>Governance</t>
  </si>
  <si>
    <t>Strategy &amp; Metrics</t>
  </si>
  <si>
    <t>Interview Notes</t>
  </si>
  <si>
    <t>SM1</t>
  </si>
  <si>
    <t>SM2</t>
  </si>
  <si>
    <t>SM3</t>
  </si>
  <si>
    <t>Policy &amp; Compliance</t>
  </si>
  <si>
    <t>PC1</t>
  </si>
  <si>
    <t>PC2</t>
  </si>
  <si>
    <t>PC3</t>
  </si>
  <si>
    <t>Education &amp; Guidance</t>
  </si>
  <si>
    <t>EG1</t>
  </si>
  <si>
    <t>EG2</t>
  </si>
  <si>
    <t>EG3</t>
  </si>
  <si>
    <t>Construction</t>
  </si>
  <si>
    <t>Threat Assessment</t>
  </si>
  <si>
    <t>TA1</t>
  </si>
  <si>
    <t>TA2</t>
  </si>
  <si>
    <t>TA3</t>
  </si>
  <si>
    <t>Security Requirements</t>
  </si>
  <si>
    <t>SR1</t>
  </si>
  <si>
    <t>SR2</t>
  </si>
  <si>
    <t>SR3</t>
  </si>
  <si>
    <t>Secure Architecture</t>
  </si>
  <si>
    <t>SA1</t>
  </si>
  <si>
    <t>SA2</t>
  </si>
  <si>
    <t>SA3</t>
  </si>
  <si>
    <t>Verification</t>
  </si>
  <si>
    <t>Design Review</t>
  </si>
  <si>
    <t>DR1</t>
  </si>
  <si>
    <t>DR2</t>
  </si>
  <si>
    <t>DR3</t>
  </si>
  <si>
    <t>Security Testing</t>
  </si>
  <si>
    <t>ST1</t>
  </si>
  <si>
    <t>ST2</t>
  </si>
  <si>
    <t>ST3</t>
  </si>
  <si>
    <t>Environment Hardening</t>
  </si>
  <si>
    <t>EH1</t>
  </si>
  <si>
    <t>EH2</t>
  </si>
  <si>
    <t>EH3</t>
  </si>
  <si>
    <t>Do project teams specify security requirements during development?</t>
  </si>
  <si>
    <t>Persons Interviewed:</t>
  </si>
  <si>
    <t>No</t>
  </si>
  <si>
    <t>Authors:</t>
  </si>
  <si>
    <t>Rating</t>
  </si>
  <si>
    <t>Yes</t>
  </si>
  <si>
    <t>Answer</t>
  </si>
  <si>
    <t>Rating Scale</t>
  </si>
  <si>
    <t>Operations</t>
  </si>
  <si>
    <t>Issue Management</t>
  </si>
  <si>
    <t>IM1</t>
  </si>
  <si>
    <t>IM2</t>
  </si>
  <si>
    <t>IM3</t>
  </si>
  <si>
    <t>IR1</t>
  </si>
  <si>
    <t>IR2</t>
  </si>
  <si>
    <t>IR3</t>
  </si>
  <si>
    <t>Implementation Review</t>
  </si>
  <si>
    <t>Software Assurance Maturity Model (SAMM) Roadmap</t>
  </si>
  <si>
    <t>Version</t>
  </si>
  <si>
    <t>Date</t>
  </si>
  <si>
    <t>Author</t>
  </si>
  <si>
    <t>Source Data</t>
  </si>
  <si>
    <t>As-Is</t>
  </si>
  <si>
    <t>To-Be</t>
  </si>
  <si>
    <t>Security Practice</t>
  </si>
  <si>
    <t>Security Practices/Phase</t>
  </si>
  <si>
    <t>Start</t>
  </si>
  <si>
    <t>After 1</t>
  </si>
  <si>
    <t>After 2</t>
  </si>
  <si>
    <t>May</t>
  </si>
  <si>
    <t>After 4</t>
  </si>
  <si>
    <t>Current GAP</t>
  </si>
  <si>
    <t>Strategy &amp; metrics</t>
  </si>
  <si>
    <t>SAMM velocity:</t>
  </si>
  <si>
    <t>Valid Maturity Levels</t>
  </si>
  <si>
    <t>Software Assurance Maturity Model (SAMM) Roadmap Chart Template Background Images</t>
  </si>
  <si>
    <t>Author:</t>
  </si>
  <si>
    <t>One aim of the Software Assurance Maturity Model (SAMM) is to help organizations build software security assurance programs.  The current position and future targets can be charted and the SAMM document includes roadmap templates for different industries. This spreadsheet helps produce roadmaps once the plan is known.  It is structured with four phases of improvement, like in SAMM, although could be altered to suit any number of stages.</t>
  </si>
  <si>
    <t>Aidan Lynch</t>
  </si>
  <si>
    <t>SAMM</t>
  </si>
  <si>
    <t>The Software Assurance Maturity Model (SAMM) was created by Pravir Chandra and is now an Open Web Application Security Project (OWASP) project.</t>
  </si>
  <si>
    <t>SAMM is licensed under the Creative Commons Attribution-Share Alike 3.0 License</t>
  </si>
  <si>
    <t>Current</t>
  </si>
  <si>
    <t>Yes, it's less than a year old</t>
  </si>
  <si>
    <t>Yes, some of them are aware</t>
  </si>
  <si>
    <t>Yes, most of them are aware</t>
  </si>
  <si>
    <t>Yes, we did it once</t>
  </si>
  <si>
    <t>Yes, we do it every few years</t>
  </si>
  <si>
    <t>Yes, we do it at least annually</t>
  </si>
  <si>
    <t>2,3,6,9</t>
  </si>
  <si>
    <t>Yes, but on an adhoc basis</t>
  </si>
  <si>
    <t>Yes, there is a standard set</t>
  </si>
  <si>
    <t>Yes, the standard set is integrated</t>
  </si>
  <si>
    <t>8,15,20</t>
  </si>
  <si>
    <t>A</t>
  </si>
  <si>
    <t>B</t>
  </si>
  <si>
    <t>C</t>
  </si>
  <si>
    <t>D</t>
  </si>
  <si>
    <t>E</t>
  </si>
  <si>
    <t>F</t>
  </si>
  <si>
    <t>G</t>
  </si>
  <si>
    <t>H</t>
  </si>
  <si>
    <t>Yes, localized to business areas</t>
  </si>
  <si>
    <t>Yes, across the organization and required</t>
  </si>
  <si>
    <t>Yes, across the organization</t>
  </si>
  <si>
    <t>16,18</t>
  </si>
  <si>
    <t>Yes, approx. half of them are aware</t>
  </si>
  <si>
    <t>No, it is not applicable</t>
  </si>
  <si>
    <t>4,15</t>
  </si>
  <si>
    <t>1,2,3,5,8,10,13,14,17,18</t>
  </si>
  <si>
    <t>6,7,9,11,12,16,19</t>
  </si>
  <si>
    <t>1,3,5,12</t>
  </si>
  <si>
    <t>4,8,10,13</t>
  </si>
  <si>
    <t>Maturity</t>
  </si>
  <si>
    <t>Yes, it's a number of years old</t>
  </si>
  <si>
    <t>Yes, it's a pretty mature program</t>
  </si>
  <si>
    <t>Phase 1</t>
  </si>
  <si>
    <t>Phase 2</t>
  </si>
  <si>
    <t>Phase 3</t>
  </si>
  <si>
    <t>Phase 4</t>
  </si>
  <si>
    <t>Phase 1 Projection</t>
  </si>
  <si>
    <t>Current State</t>
  </si>
  <si>
    <t>Phase 2 Projection</t>
  </si>
  <si>
    <t>Phase 3 Projection</t>
  </si>
  <si>
    <t>Phase 4 Projection</t>
  </si>
  <si>
    <t>Current Maturity Score</t>
  </si>
  <si>
    <t>Phase 4 Maturity Score</t>
  </si>
  <si>
    <t>The questions and answers from the Interview tab are automatically copied over (and will be updated when changed)</t>
  </si>
  <si>
    <t>"Improving" answers are highlighted in green to help indicate where improvements are made.</t>
  </si>
  <si>
    <t>"Weakening" answers are highlighted in RED to help indicate where answers are lower than before.</t>
  </si>
  <si>
    <t>There are hidden columns for each phase that keep track of the answer values and scoring formulas.</t>
  </si>
  <si>
    <t>The left panes are frozen, so the projections can be scrolled to align with the questions to create "views"</t>
  </si>
  <si>
    <t>The scores are imported into the Roadmap Chart and Scorecard worksheets and are automatically updated.</t>
  </si>
  <si>
    <t>There are four phases of improvement by default, if you need more, should be able to copy paste additional phase columns.</t>
  </si>
  <si>
    <r>
      <t xml:space="preserve">Notes:
</t>
    </r>
    <r>
      <rPr>
        <sz val="10"/>
        <rFont val="Trebuchet MS"/>
        <family val="2"/>
      </rPr>
      <t>Data in this worksheet is automatically imported from the Interview and Roadmap worksheets and will automatically update when changed in the respective worksheets.  This is mostly a read-only worksheet, changes should be made in Interview or Roadmap worksheets.</t>
    </r>
  </si>
  <si>
    <t>Select the best answer from the multiple choice drop down selections in the answer column.</t>
  </si>
  <si>
    <t>The formulas in hidden columns F-H will calculate the scores and update the Rating boxes and other worksheets as needed.</t>
  </si>
  <si>
    <r>
      <t xml:space="preserve">Notes:
</t>
    </r>
    <r>
      <rPr>
        <sz val="10"/>
        <rFont val="Trebuchet MS"/>
        <family val="2"/>
      </rPr>
      <t>Data in this worksheet is used to feed the Interview worksheet and Roadmap worksheet and provides answers and values.  
Please do not edit without understanding the potential impact to the SAMM model as it will alter the scoring model.
There are currently seven categories of answers, the colors/numbers in column I indicate which questions in which Business Function are using that specific answer category.</t>
    </r>
  </si>
  <si>
    <t xml:space="preserve">Software Assurance Maturity Model (SAMM) </t>
  </si>
  <si>
    <t>Element:</t>
  </si>
  <si>
    <t>Colin Watson</t>
  </si>
  <si>
    <t>Author(s):</t>
  </si>
  <si>
    <t>https://www.owasp.org/index.php/OWASP_SAMM_Project</t>
  </si>
  <si>
    <t>Nick Coblentz, Eoin Keary, and Seba Deleersnyder</t>
  </si>
  <si>
    <t>Toolbox for v1.5</t>
  </si>
  <si>
    <t>Brian Glas</t>
  </si>
  <si>
    <t>Roadmap Chart Template v1.0</t>
  </si>
  <si>
    <t>Interview Template v1.0</t>
  </si>
  <si>
    <t>11,19</t>
  </si>
  <si>
    <t>9,14,17</t>
  </si>
  <si>
    <t>1,2,3,6,7,8,10,11,12,15,19</t>
  </si>
  <si>
    <t>Yes, a small percentage are/do</t>
  </si>
  <si>
    <t>Yes, at least half of them are/do</t>
  </si>
  <si>
    <t>Yes, the majority of them are/do</t>
  </si>
  <si>
    <t>6,7,9,11,14,15,16,17</t>
  </si>
  <si>
    <t>Yes, teams write/run their own</t>
  </si>
  <si>
    <t>v1.0</t>
  </si>
  <si>
    <t>Steve</t>
  </si>
  <si>
    <t>4,5,7,12,13,14,16,17,18</t>
  </si>
  <si>
    <t>Phase 3 Maturity Score</t>
  </si>
  <si>
    <t>Phase 2 Maturity Score</t>
  </si>
  <si>
    <t>Phase 1 Maturity Score</t>
  </si>
  <si>
    <t>Has the organization defined a set of risks by which applications could be prioritized?</t>
  </si>
  <si>
    <t>Yes, at least half of the time</t>
  </si>
  <si>
    <t>ANS_SET_CODE</t>
  </si>
  <si>
    <t>A_W</t>
  </si>
  <si>
    <t>B_W</t>
  </si>
  <si>
    <t>C_W</t>
  </si>
  <si>
    <t>D_W</t>
  </si>
  <si>
    <t>Yes, for some applications</t>
  </si>
  <si>
    <t>Yes, for at least half of the applications</t>
  </si>
  <si>
    <t>Yes, for most of the applications</t>
  </si>
  <si>
    <t>Yes, some of them</t>
  </si>
  <si>
    <t>Yes, at least half of them</t>
  </si>
  <si>
    <t>Yes, the most of them</t>
  </si>
  <si>
    <t>Yes, some content has been updated</t>
  </si>
  <si>
    <t>Yes, at least half of the content</t>
  </si>
  <si>
    <t>Yes, the majority of the content</t>
  </si>
  <si>
    <t>Yes, for some of the trianing</t>
  </si>
  <si>
    <t>Yes, at least half of the training</t>
  </si>
  <si>
    <t>Yes, the majority of training</t>
  </si>
  <si>
    <t>Yes, some of the time</t>
  </si>
  <si>
    <t>Yes, most of the time</t>
  </si>
  <si>
    <t>Yes, started to implement</t>
  </si>
  <si>
    <t>Yes, effective for some of the organization</t>
  </si>
  <si>
    <t>Yes, effective for most of the organization</t>
  </si>
  <si>
    <t>Yes, for some components</t>
  </si>
  <si>
    <t>Yes, for at least half of the components</t>
  </si>
  <si>
    <t>Yes, for most of the components</t>
  </si>
  <si>
    <t>Yes, for some of the incidents</t>
  </si>
  <si>
    <t>Yes, for at least half of the incidents</t>
  </si>
  <si>
    <t>Yes, for most of the incidents</t>
  </si>
  <si>
    <t>Yes, for some types of incidents</t>
  </si>
  <si>
    <t>Yes, for at least half of the types of incidents</t>
  </si>
  <si>
    <t>Yes, for most of the types of incidents</t>
  </si>
  <si>
    <t>Yes, for some of our data</t>
  </si>
  <si>
    <t>Yes, for at least half of our data</t>
  </si>
  <si>
    <t>Yes, for most of our data</t>
  </si>
  <si>
    <t>Yes, we do it when requested</t>
  </si>
  <si>
    <t>Yes, for some of the assets</t>
  </si>
  <si>
    <t>Yes, for at least half of the assets</t>
  </si>
  <si>
    <t>Yes, for most of the assets</t>
  </si>
  <si>
    <t>Yes, for some of the technology domains</t>
  </si>
  <si>
    <t>Yes, for at least half of the technology domains</t>
  </si>
  <si>
    <t>Yes, for the majority of the technology domains</t>
  </si>
  <si>
    <t>Yes, basic risks</t>
  </si>
  <si>
    <t>Yes, covers most significant risks</t>
  </si>
  <si>
    <t>Yes, covers risks and opportunities</t>
  </si>
  <si>
    <t>Yes, we review it annually</t>
  </si>
  <si>
    <t>Yes, we consult the plan before making significant decisions</t>
  </si>
  <si>
    <t>Yes, we consult the plan often, and it's aligned with our application security strategy</t>
  </si>
  <si>
    <t>Yes, we review it every two years or so</t>
  </si>
  <si>
    <t>Yes, we review it at least annually</t>
  </si>
  <si>
    <t>Yes, for one metrics category</t>
  </si>
  <si>
    <t>Yes, for two metrics categories</t>
  </si>
  <si>
    <t>Yes, for all three metrics categories</t>
  </si>
  <si>
    <t>Yes, sporadically</t>
  </si>
  <si>
    <t>Yes, upon change of the application</t>
  </si>
  <si>
    <t>Yes, at least yearly</t>
  </si>
  <si>
    <t>ID</t>
  </si>
  <si>
    <t>Business Function</t>
  </si>
  <si>
    <t>Activity</t>
  </si>
  <si>
    <t>Question</t>
  </si>
  <si>
    <t>Guidance</t>
  </si>
  <si>
    <t>Answer Option</t>
  </si>
  <si>
    <t>G-SM-A-1-1</t>
  </si>
  <si>
    <t>Create and Promote</t>
  </si>
  <si>
    <t xml:space="preserve">You have captured the risk appetite of your organization's executive leadership
Risks have been vetted and approved by the organization's leadership
You have identified the principal business and technical threats to your organization's assets and data
Risks have been documented and are accessible to relevant stakeholders
</t>
  </si>
  <si>
    <t>G-SM-A-2-1</t>
  </si>
  <si>
    <t>Do you have a strategic plan for application security that is used to make decisions?</t>
  </si>
  <si>
    <t xml:space="preserve">The plan reflects the organization's business priorities and risk appetite
The plan includes measurable milestones and a budget
Elements of the plan are consistent with the organization‚Äôs business drivers and risks
The plan lays out a roadmap for achieving strategic and tactical initiatives
You have obtained buy-in from organizational stakeholders, including development teams
</t>
  </si>
  <si>
    <t>G-SM-A-3-1</t>
  </si>
  <si>
    <t>Do you regularly review and update the Strategic Plan for Application Security?</t>
  </si>
  <si>
    <t xml:space="preserve">You review and update the plan, in response to significant changes in the business environment, the organization, or its risk appetite
Plan update steps include reviewing the plan with all the stakeholders and updating the business drivers and strategies
You adjust the plan and roadmap, based on lessons learned from completed roadmap activities
You publish progress information on roadmap activities, available to all stakeholders, including development teams
</t>
  </si>
  <si>
    <t>G-SM-B-1-1</t>
  </si>
  <si>
    <t>Measure and Improve</t>
  </si>
  <si>
    <t>Are you using a set of metrics to measure the effectiveness and efficiency of the application security program across applications?</t>
  </si>
  <si>
    <t xml:space="preserve">Each metric is documented and includes a description of the sources, measurement coverage, and an understanding on how the metric can be used to describe or explain application security trends
Metrics include measures of Efforts, Results, and the Environment measurement categories
Majority of the metrics are frequently measured, easy or inexpensive to gather, and are expressed as a cardinal number or a percentage
Metrics are published and are accessible by application security and development teams
</t>
  </si>
  <si>
    <t>G-SM-B-2-1</t>
  </si>
  <si>
    <t>Did you define Key Perfomance Indicators (KPI) from available application security metrics?</t>
  </si>
  <si>
    <t xml:space="preserve">KPIs are defined after enough information has been gathered to establish realistic objectives
KPIs have been developed with the buy-in from the leadership and teams responsible for application security
KPIs are documented and available to the application teams, and include actionable tresholds requiring immediate attention in the event KPIs reach levels considered unacceptable
Success of the application security program is clearly visible based on defined KPIs
</t>
  </si>
  <si>
    <t>G-SM-B-3-1</t>
  </si>
  <si>
    <t>Do you influence the Application Security strategy and roadmap based on application security metrics and KPIs?</t>
  </si>
  <si>
    <t xml:space="preserve">KPIs are reviewed regularly (at least yearly) for their efficiency and effectiveness
Majority of the changes to the application security strategy are triggered by KPIs and application security metrics
</t>
  </si>
  <si>
    <t>G-EG-A-1-1</t>
  </si>
  <si>
    <t>Training and Awareness</t>
  </si>
  <si>
    <t>Do you require employees involved with application development to take SDLC training?</t>
  </si>
  <si>
    <t xml:space="preserve">Training is repeatable, consistent, and available to anyone involved with software development lifecycle.
Training includes the latest OWASP Top 10 if appropriate.
Training includes multiple concepts such as Least Privilege, Defense-in-Depth, Fail Secure (Safe), Complete Mediation, Session Management, Open Design, and Psychological Acceptability.
Training requires a sign-off or an acknowledgement from each attendee.
The training been updated in the last 12 months.
Employees are required to go through the training during the onboarding process.
</t>
  </si>
  <si>
    <t>G-EG-A-2-1</t>
  </si>
  <si>
    <t>Has the training been customized for individual roles, such as developers, testers, or security champions?</t>
  </si>
  <si>
    <t xml:space="preserve">Training includes all topics covered within maturity level 1, and adds more specific tools, techniques, and demonstrations
Training is mandatory for all employees and contractors.
The training includes input from in-house SMEs and trainees.
Training includes demonstrations of tools and techniques developed in-house.
Feedback collected post training is used to enhance and make future training more relevant.
</t>
  </si>
  <si>
    <t>G-EG-A-3-1</t>
  </si>
  <si>
    <t>Have you implemented a Learning Management System or equivalent to track employee training / certification processes?</t>
  </si>
  <si>
    <t>G-EG-B-1-1</t>
  </si>
  <si>
    <t>Organization and Culture</t>
  </si>
  <si>
    <t xml:space="preserve">Each development team has a Security Champion assigned to them
Security Champions receive appropriate training to ensure effectiveness
Application Security and Development teams receive periodic briefings from Security Champions on the overall status of security initiatives and fixes
Results of external testing are reviewed by the Security Champion prior to adding to the application backlog
</t>
  </si>
  <si>
    <t>G-EG-B-2-1</t>
  </si>
  <si>
    <t>Does the organization have a Secure Software Center of Excellence (SSCE)?</t>
  </si>
  <si>
    <t>G-EG-B-3-1</t>
  </si>
  <si>
    <t>Is there a centralized portal where developers and application security professionals from different teams and business units are able to communicate and share information?</t>
  </si>
  <si>
    <t xml:space="preserve">Organization promotes use of a single portal across different teams and business units
The portal is used for timely information such as notification of security incidents, tool updates, architectural standard changes, and other related announcements
The portal is widely recognized by developers and architects as a centralized repository of the organization-specific application security information
All content should be considered persistent and searchable
The portal provides access to application-specific security metrics
</t>
  </si>
  <si>
    <t>D-TA-A-1-1</t>
  </si>
  <si>
    <t>Design</t>
  </si>
  <si>
    <t>Application Risk Profile</t>
  </si>
  <si>
    <t>Are you classifying applications according to business risk based on a simple, but predefined set of questions?</t>
  </si>
  <si>
    <t xml:space="preserve">A risk classification should exist and be agreed upon
The application team should understand the risk classification
The risk classification covers critical aspects of business risks the organization is facing
The organization has an inventory for the applications in scope
</t>
  </si>
  <si>
    <t>D-TA-A-2-1</t>
  </si>
  <si>
    <t>Are you using centralized and quantified application risk profiles to evaluate business risk?</t>
  </si>
  <si>
    <t xml:space="preserve">The application risk profile is in line with the organisational risk standard
The application risk profile must cover impact to security and privacy
The quality of the risk profile is validated using manual and/or automated means
The application risk profiles are stored in a central inventory
</t>
  </si>
  <si>
    <t>D-TA-A-3-1</t>
  </si>
  <si>
    <t>Do you regularly review and update the risk profiles for your applications?</t>
  </si>
  <si>
    <t xml:space="preserve">The organisational risk standard takes into account historical feedback to improve the evaluation method
Significant changes in the application or business context trigger a review of the relevant risk profiles
</t>
  </si>
  <si>
    <t>D-TA-B-1-1</t>
  </si>
  <si>
    <t>Threat Modeling</t>
  </si>
  <si>
    <t>Are you evaluating the technical architecture of your applications for potential threats?</t>
  </si>
  <si>
    <t xml:space="preserve">Application trust boundaries are being reviewed
Threat identification should cover different types of threats
</t>
  </si>
  <si>
    <t>D-TA-B-2-1</t>
  </si>
  <si>
    <t>Are you using a standard methodology to evaluate the threats to your applications?</t>
  </si>
  <si>
    <t xml:space="preserve">Threat modeling activities should be carried out/supported by people with good understanding of the concept by experience or training
The methodology stipulates the different inputs that are required to perform an in-depth assessment
Threat model deliverables are standardized and accessible across the organisation
</t>
  </si>
  <si>
    <t>D-TA-B-3-1</t>
  </si>
  <si>
    <t>Do you regularly review and update the threat models for your applications?</t>
  </si>
  <si>
    <t>D-SR-A-1-1</t>
  </si>
  <si>
    <t>Software Requirements</t>
  </si>
  <si>
    <t xml:space="preserve">Security requirements are derived from functional requirements and customer/organization concerns.
Security requirements are specific, measurable, and reasonable.
Security requirements are in line with the organisational baseline.
</t>
  </si>
  <si>
    <t>D-SR-A-2-1</t>
  </si>
  <si>
    <t>Are the artifacts of the security requirements gathering process well defined and structured, with prioritization?</t>
  </si>
  <si>
    <t xml:space="preserve">Security requirements take into consideration domain specific knowledge when applying policies and guidance to product development.
Domain experts are involved in the requirements definition process.
An agreed upon structured notation exists for security requirements.
Development teams have a security champion dedicated to reviewing security requirements and outcomes.
</t>
  </si>
  <si>
    <t>D-SR-A-3-1</t>
  </si>
  <si>
    <t>Is a standard requirements framework used to streamline the elicitation of security requirements?</t>
  </si>
  <si>
    <t xml:space="preserve">An existing security requirements framework is available for project teams.
The framework is categorized by common requirements as well as standards-based requirements.
The framework gives clear guidance on the quality of requirements and formalizes how to describe them.
The framework is adaptable to specific business requirements.
</t>
  </si>
  <si>
    <t>D-SR-B-1-1</t>
  </si>
  <si>
    <t>Supplier Security</t>
  </si>
  <si>
    <t>Do stakeholders review vendor collaborations for security requirements and methodology?</t>
  </si>
  <si>
    <t xml:space="preserve">During the creation of third-party agreements, specific security requirements, activities, and processes are considered for inclusion.
A vendor questionnaire is available and used to assess the strengths and weaknesses of your suppliers.
</t>
  </si>
  <si>
    <t>D-SR-B-2-1</t>
  </si>
  <si>
    <t>Does the vendor meet the security responsibilities and quality measures to be in line with service level agreements as defined by the organization?</t>
  </si>
  <si>
    <t xml:space="preserve">During the creation of vendor agreements, security requirements are discussed with the vendor.
Vendor agreements provide specific guidance on security defect remediation within an agreed upon timeframe.
The organization has a templated agreement of responsibilities and service levels for key vendor security processes.
Key performance indicators are measured.
</t>
  </si>
  <si>
    <t>D-SR-B-3-1</t>
  </si>
  <si>
    <t>Are vendors aligned with standard security controls and software development tools and processes that the organization utilizes?</t>
  </si>
  <si>
    <t xml:space="preserve">The vendor has a secure SDLC that includes secure build, secure deployment, defect management and incident management that align with those used in your organization.
Compensating controls, such as software composition analysis and independent penetration testing before a major release, are used to verify the solution meets quality and security objectives when standard processes are not available.
</t>
  </si>
  <si>
    <t>D-SA-A-1-1</t>
  </si>
  <si>
    <t>Security Architecture</t>
  </si>
  <si>
    <t>Architecture Design</t>
  </si>
  <si>
    <t>Do teams use security principles during design?</t>
  </si>
  <si>
    <t xml:space="preserve">You have an agreed upon checklist of security principles
Your checklist(s) are stored in an accessible location
Security principles have been explained to relevant stakeholders
</t>
  </si>
  <si>
    <t>D-SA-A-2-1</t>
  </si>
  <si>
    <t>Do you favour the use of standard security services during design?</t>
  </si>
  <si>
    <t xml:space="preserve">You have a documented list of reusable security services, available to relevant stakeholders
You have reviewed the baseline security posture for each selected service
Your designers are trained to integrate each selected service following available guidance
</t>
  </si>
  <si>
    <t>D-SA-A-3-1</t>
  </si>
  <si>
    <t>Do you base your design on available reference architectures?</t>
  </si>
  <si>
    <t xml:space="preserve">You have one or more approved reference architectures, documented and available to stakeholders.
You improve the reference architectures continuously based on insights and best practices.
You provide a set of components, libraries, and tools to implement each reference architecture.
</t>
  </si>
  <si>
    <t>D-SA-B-1-1</t>
  </si>
  <si>
    <t>Technology Management</t>
  </si>
  <si>
    <t>Do you evaluate the security quality of important technologies used within the development organisation?</t>
  </si>
  <si>
    <t xml:space="preserve">You have a list of the most important technologies used in (or in support of) each application.
You identify and track technological risks
You ensure that the risks to these technologies are in line with the organisational baseline
</t>
  </si>
  <si>
    <t>D-SA-B-2-1</t>
  </si>
  <si>
    <t>Do you have a list of recommended technologies for use in the development organisation?</t>
  </si>
  <si>
    <t xml:space="preserve">The list is based on technologies used in the software portfolio
Lead architects and developers review and approve the list
The list is shared across the development organisation
The list is regularly (at least yearly) reviewed and updated
</t>
  </si>
  <si>
    <t>D-SA-B-3-1</t>
  </si>
  <si>
    <t>Do you enforce the use of recommended technologies within the development organisation?</t>
  </si>
  <si>
    <t xml:space="preserve">Applications are regularly monitored for the correct use of the list of recommended technologies
Violations against the list are solved in accorandance with the organisational‚Äôs policy
The number of violations on a yearly basis falls within objectives or concrete actions are taken to improve
</t>
  </si>
  <si>
    <t>I-SB-A-1-1</t>
  </si>
  <si>
    <t>Implementation</t>
  </si>
  <si>
    <t>Secure Build</t>
  </si>
  <si>
    <t>Build Process</t>
  </si>
  <si>
    <t>Do you use repeatable build processes?</t>
  </si>
  <si>
    <t xml:space="preserve">You have enough information to recreate the build processes
Your build documentation up to date
Your build documentation is stored in an accessible location
Produced artifact checksums are created during build to support later verification
</t>
  </si>
  <si>
    <t>I-SB-A-2-1</t>
  </si>
  <si>
    <t>Are build processes automated?</t>
  </si>
  <si>
    <t xml:space="preserve">Your build tools are hardened as per best practice and vendor guidance
You encrypt the secrets required by the build tools and control access based on the principle of least privilege
</t>
  </si>
  <si>
    <t>I-SB-A-3-1</t>
  </si>
  <si>
    <t>Do you integrate automated security checks in build processes?</t>
  </si>
  <si>
    <t xml:space="preserve">You have a maximum accepted severity for vulnerabilties
You log warnings and failures in a centralized system
Build processes prevent deployment to production when security checks fail
You select and configure tools to evaluate each application against its security requirements
</t>
  </si>
  <si>
    <t>I-SB-B-1-1</t>
  </si>
  <si>
    <t>Software Dependencies</t>
  </si>
  <si>
    <t>Do you evaluate security risk stemming from used dependencies?</t>
  </si>
  <si>
    <t xml:space="preserve">You have current bill of materials (BOM) for every application
You can quickly find out which applications are affected by a particular CVE
You have provably analyzed and addressed findings from dependencies at least once in the last three months
</t>
  </si>
  <si>
    <t>I-SB-B-2-1</t>
  </si>
  <si>
    <t>Is 3rd party dependency risk handled by a formal process?</t>
  </si>
  <si>
    <t xml:space="preserve">Dependencies are automatically evaluated for new CVEs
Above defined criticality threshold, responsible staff is alerted
License changes with possible impact on legal application usage are automatically detected and alerted
Usage of unmaintained dependencies is tracked and alerted
</t>
  </si>
  <si>
    <t>I-SB-B-3-1</t>
  </si>
  <si>
    <t>Do you prevent build of software if it's affected by vulnerabilities in dependencies?</t>
  </si>
  <si>
    <t xml:space="preserve">Your build system is connected to a system for tracking 3rd party dependency risk, causing build to fail unless the vulnerability is evaluated to be a false positive or the risk is explicitely accepted.
You scan your dependencies using a static analysis tool
You report findings back to dependency authors using an established responsible disclosure process
Using a new dependency which has not been evaluated for security risk causes failing the build
</t>
  </si>
  <si>
    <t>I-SD-A-1-1</t>
  </si>
  <si>
    <t>Secure Deployment</t>
  </si>
  <si>
    <t>Deployment Process</t>
  </si>
  <si>
    <t>Do you use repeatable deployment processes?</t>
  </si>
  <si>
    <t xml:space="preserve">You have enough information to run the deployment processes
Your deployment documentation up to date
Your deployment documentation is accessible to relevant stakeholders
You ensure that only defined qualified personnel can trigger a deployment
You harden the tools that are used within the deployment process
</t>
  </si>
  <si>
    <t>I-SD-A-2-1</t>
  </si>
  <si>
    <t>Are deployment processes automated and taking into account security?</t>
  </si>
  <si>
    <t xml:space="preserve">Deployment includes automated security testing procedures
Responsible staff is alerted with identified vulnerabilities
You have logs available for your past deployments for a defined period of time
</t>
  </si>
  <si>
    <t>I-SD-A-3-1</t>
  </si>
  <si>
    <t>Do you consistently validate the integrity of deployed artifacts?</t>
  </si>
  <si>
    <t xml:space="preserve">Deployment is prevented or rolled back in case integrity breach is detected
Software without a valid integrity check is not deployed
</t>
  </si>
  <si>
    <t>I-SD-B-1-1</t>
  </si>
  <si>
    <t>Secret Management</t>
  </si>
  <si>
    <t>Do you limit access to application secrets according to the need to know principle?</t>
  </si>
  <si>
    <t xml:space="preserve">You store application secrets protected in a secured location
</t>
  </si>
  <si>
    <t>I-SD-B-2-1</t>
  </si>
  <si>
    <t>Do you minimize permanent storage of secrets in application artefacts, for instance by injecting them into the configuration using an automated process?</t>
  </si>
  <si>
    <t xml:space="preserve">Under normal circumstances, no humans access secrets during deployment procedures
Any abnormal access to secrets is logged and alerted
</t>
  </si>
  <si>
    <t>I-SD-B-3-1</t>
  </si>
  <si>
    <t>Do you regenerate application secrets during deployment?</t>
  </si>
  <si>
    <t xml:space="preserve">Secrets are generated and synchronized using a vetted solution
Detection of a secret in a configuration file fails the deployment
</t>
  </si>
  <si>
    <t>I-DM-A-1-1</t>
  </si>
  <si>
    <t>Defect Management</t>
  </si>
  <si>
    <t>Defect Tracking (Flaws/Bugs/Process)</t>
  </si>
  <si>
    <t>Do you track all known security defects in a central location per defined scope?</t>
  </si>
  <si>
    <t xml:space="preserve">The process includess strategy for handling false positives and accepting risk
Defects stem from various sources / activities
Deduplication is ensured per location
</t>
  </si>
  <si>
    <t>I-DM-A-2-1</t>
  </si>
  <si>
    <t>Do you take action on defects exceeding defined threshold?</t>
  </si>
  <si>
    <t xml:space="preserve">The defined threshold is documented in an accessible location
Reaching the threshold triggers a timely alert to the relevant stakeholders
You don't deploy applications exceeding the threshold
</t>
  </si>
  <si>
    <t>I-DM-A-3-1</t>
  </si>
  <si>
    <t>Does independent security staff enforce the defined threshold?</t>
  </si>
  <si>
    <t xml:space="preserve">Knowledgeable decision based on input from defect management system is ensured upon deployment
The classification of the defects is regularly verified
</t>
  </si>
  <si>
    <t>I-DM-B-1-1</t>
  </si>
  <si>
    <t>Metrics and Feedback/Learning</t>
  </si>
  <si>
    <t>Do you share defect information for remediation and improving training materials?</t>
  </si>
  <si>
    <t xml:space="preserve">Basic information about defects is made available to fix them
You have improved your training materials based on the defect information in the last year
</t>
  </si>
  <si>
    <t>I-DM-B-2-1</t>
  </si>
  <si>
    <t>Do you improve your assurance program upon well-defined metrics?</t>
  </si>
  <si>
    <t xml:space="preserve">Metrics for defect classification and categorization is documented and up to date
Executive management regularly receives information about defects has acted upon it in the last year
Defects are mapped to a list of threats
</t>
  </si>
  <si>
    <t>I-DM-B-3-1</t>
  </si>
  <si>
    <t>Do you enrich defect metrics with relevant real time information?</t>
  </si>
  <si>
    <t xml:space="preserve">Defect metrics are automatically correlated with real-time environment information
Relevant stakeholders get timely update on significant changes in the defect classification
Trends in defect development have been updated in the last year
</t>
  </si>
  <si>
    <t>V-AA-A-1-1</t>
  </si>
  <si>
    <t>Architecture Assessment</t>
  </si>
  <si>
    <t>Architecture Validation</t>
  </si>
  <si>
    <t>Do you review the application architecture for key security objectives and threats on an ad-hoc basis?</t>
  </si>
  <si>
    <t xml:space="preserve">You have an agreed upon model of the overall software architecture
You include components, interfaces, and integrations in the architecture model
You verify the security controls in the software architecture cover the key security objectives and threats
You log missing security controls as defects
</t>
  </si>
  <si>
    <t>V-AA-A-2-1</t>
  </si>
  <si>
    <t>Do you thoroughly review your software architecture regularly using an agreed upon methodology?</t>
  </si>
  <si>
    <t>V-AA-A-3-1</t>
  </si>
  <si>
    <t>Do you regularly review the effectiveness of the security controls?</t>
  </si>
  <si>
    <t xml:space="preserve">You evaluate the preventive, detective and response capabilities of security controls
You evaluate the strategy alignment, appropriate support, and scalability of security controls
You evaluate the effectiveness at least yearly
You log identified shortcomings as defects
</t>
  </si>
  <si>
    <t>V-AA-B-1-1</t>
  </si>
  <si>
    <t>Architecture Compliance</t>
  </si>
  <si>
    <t>Do you review the architecture against compliance requirements?</t>
  </si>
  <si>
    <t xml:space="preserve">You indicate which design-level feature(s) address each compliance requirement.
The analysis is conducted by security-savvy staff with input from architects, and other stakeholders.
You record all missing compliance requirements and handle them following organisational risk management
</t>
  </si>
  <si>
    <t>V-AA-B-2-1</t>
  </si>
  <si>
    <t>Do you analyze the architecture against known security requirements and best practices ?</t>
  </si>
  <si>
    <t xml:space="preserve">You identify any security assumptions underpinning the safe operation of the system.
You indicate which design-level feature(s) address each security requirement.
You record all unsatisfied security requirements and handle them following organisational risk management
</t>
  </si>
  <si>
    <t>V-AA-B-3-1</t>
  </si>
  <si>
    <t>Do you feed architecture review results back into the enterprise architecture?</t>
  </si>
  <si>
    <t xml:space="preserve">You map the security features to security compliance requirements
You identify the cause of gaps in the mapping and handle them following organisational risk management
</t>
  </si>
  <si>
    <t>V-RT-A-1-1</t>
  </si>
  <si>
    <t>Requirements Driven Testing</t>
  </si>
  <si>
    <t>Control Verification</t>
  </si>
  <si>
    <t>Do you test applications for the correct functioning of standard security controls?</t>
  </si>
  <si>
    <t xml:space="preserve">Security testing at least verifies the implementation of authentication, access control, input validation, encoding and escaping data, and encryption controls.
Security testing executes whenever the application changes its use of the controls.
</t>
  </si>
  <si>
    <t>V-RT-A-2-1</t>
  </si>
  <si>
    <t>Do you test security controls based on the specific application security requirements?</t>
  </si>
  <si>
    <t xml:space="preserve">Tests are tailored to each application and assert expected security functionality.
Test results are captured as a pass or fail condition
</t>
  </si>
  <si>
    <t>V-RT-A-3-1</t>
  </si>
  <si>
    <t>Do you automatically test applications for security regressions?</t>
  </si>
  <si>
    <t xml:space="preserve">Tests are consistently written for all identified bugs (possibly exceeding a pre-defined severity threshhold)
Security tests are collected in a test suite that is part of the existing unit testing framework
</t>
  </si>
  <si>
    <t>V-RT-B-1-1</t>
  </si>
  <si>
    <t>Misuse/Abuse Testing</t>
  </si>
  <si>
    <t>Do you test applications using randomization techniques?</t>
  </si>
  <si>
    <t xml:space="preserve">Testing covers most or all of the application's main input parameters
All application crashes are recorded and systematically inspected for security impact
</t>
  </si>
  <si>
    <t>V-RT-B-2-1</t>
  </si>
  <si>
    <t>Do you create abuse cases from functional requirements and use them to drive security tests?</t>
  </si>
  <si>
    <t xml:space="preserve">Important business functionality has corresponding abuse cases
You build abuse stories around relevant personas with well-defined motivations and characteristics
You capture identified weaknesses as security requirements
</t>
  </si>
  <si>
    <t>V-RT-B-3-1</t>
  </si>
  <si>
    <t>Do you perform denial of service and security stress testing?</t>
  </si>
  <si>
    <t xml:space="preserve">Stress tests target specific application resources (e.g. memory exhaustion by saving large amounts of data to a user session)
You design tests around relevant personas with well-defined capabilities (knowledge, resources)
</t>
  </si>
  <si>
    <t>V-ST-A-1-1</t>
  </si>
  <si>
    <t>Scalable Baseline</t>
  </si>
  <si>
    <t>Do you scan applications with automated security testing tools?</t>
  </si>
  <si>
    <t xml:space="preserve">Inputs for security tests are dynamically generated using automated tools.
The security testing tools are chosen to fit the organization's architecture and technology stack, and balances depth and accuracy of inspection with usability of findings to the organization.
</t>
  </si>
  <si>
    <t>V-ST-A-2-1</t>
  </si>
  <si>
    <t>Do you verify business logic with automated security tests, created from application security requirements?</t>
  </si>
  <si>
    <t xml:space="preserve">Tests are specifically customized for software interfaces in the project.
Tests and the security requirements they verify are expressed in a structured format, such as a DSL.
Tests include organization-specific technical standards and compliance concerns.
</t>
  </si>
  <si>
    <t>V-ST-A-3-1</t>
  </si>
  <si>
    <t>Do you integrate automated security testing into the build and deploy process?</t>
  </si>
  <si>
    <t xml:space="preserve">Test results are tracked and reviewed by management and business stakeholders throughout the development cycle
Tests results are merged into a central dashboard and fed into defect management.
</t>
  </si>
  <si>
    <t>V-ST-B-1-1</t>
  </si>
  <si>
    <t>Deep Understanding</t>
  </si>
  <si>
    <t>Do you manually review the security quality of selected high-risk components?</t>
  </si>
  <si>
    <t xml:space="preserve">Criteria exist to help the reviewer to focus on high-risk components
Reviews are conducted by qualified personel following documented guidelines
findings are addressed in accordance with the organisation's defect management policy
</t>
  </si>
  <si>
    <t>V-ST-B-2-1</t>
  </si>
  <si>
    <t>Do you perform penetration testing for your applications at regular intervals?</t>
  </si>
  <si>
    <t xml:space="preserve">Penetration testing uses application-specific security test cases to evaluate security
Penetration testing looks for both technical and logical issues in the application
Stakeholders review the test results and handle them in accordance with the organisation's risk management
Penetration testing is performed by qualified personel.
</t>
  </si>
  <si>
    <t>V-ST-B-3-1</t>
  </si>
  <si>
    <t>Do you use the results of security testing to improve the development lifecycle?</t>
  </si>
  <si>
    <t xml:space="preserve">You use results from other security activities to improve integrated security testing during development
You review test results and incorporate them into security awareness training and security testing playbooks
Stakeholders review the test results and handle them in accordance with the organisation's risk management
</t>
  </si>
  <si>
    <t>O-IM-A-1-1</t>
  </si>
  <si>
    <t>Incident Management</t>
  </si>
  <si>
    <t>Incident Detection</t>
  </si>
  <si>
    <t>Do you analyze log data for possible security incidents periodically?</t>
  </si>
  <si>
    <t xml:space="preserve">You have a contact point for the creation of security incidents
You analyze data in accordance with the log data retention periods
The frequency of this analysis is aligned with the criticality of your applications
</t>
  </si>
  <si>
    <t>O-IM-A-2-1</t>
  </si>
  <si>
    <t>Do you follow a process for incident detection?</t>
  </si>
  <si>
    <t xml:space="preserve">The process has a dedicated owner
There is process documentation stored in an accessible location
The process considers and escalation path for further analysis
Employees responsible for incident detection are trained in this process
You have a checklist of potential attacks to simplify incident detection
</t>
  </si>
  <si>
    <t>O-IM-A-3-1</t>
  </si>
  <si>
    <t>Do you review and update the incident detection process regularly?</t>
  </si>
  <si>
    <t xml:space="preserve">You perform reviews at least annually
You update the checklist of potential attacks with external and internal data
</t>
  </si>
  <si>
    <t>O-IM-B-1-1</t>
  </si>
  <si>
    <t>Incident Response</t>
  </si>
  <si>
    <t>Do you respond upon detected incidents?</t>
  </si>
  <si>
    <t xml:space="preserve">You have a defined person or role for incident handling
You document security incidents
</t>
  </si>
  <si>
    <t>O-IM-B-2-1</t>
  </si>
  <si>
    <t>Do you have a repeatable process for incident handling?</t>
  </si>
  <si>
    <t xml:space="preserve">You have an agreed upon incident classification
The process considers Root Case Analysis for high severity incidents
Employees responsible for incident response are trained in this process
Forensic analysis tooling is available
</t>
  </si>
  <si>
    <t>O-IM-B-3-1</t>
  </si>
  <si>
    <t>Is there a dedicated incident response team available?</t>
  </si>
  <si>
    <t xml:space="preserve">The team performs Root Cause Analysis for all security incidents unless there is a specific reason not to do so
You review and update the response process at least annually
</t>
  </si>
  <si>
    <t>O-EM-A-1-1</t>
  </si>
  <si>
    <t>Environment Management</t>
  </si>
  <si>
    <t>Configuration Hardening</t>
  </si>
  <si>
    <t>Do you harden configurations for key components across your whole technology stack?</t>
  </si>
  <si>
    <t xml:space="preserve">You have identified the scope for this activity
You work with public sources to gather recommendations for your configurations
</t>
  </si>
  <si>
    <t>O-EM-A-2-1</t>
  </si>
  <si>
    <t>Do you maintain hardening baselines for your components?</t>
  </si>
  <si>
    <t xml:space="preserve">There is an owner for each baseline
The owner is responsible for keeping baselines up to date
Baselines are stored in an accessible location
Employees responsible for configurations are trained in these baselines
</t>
  </si>
  <si>
    <t>O-EM-A-3-1</t>
  </si>
  <si>
    <t>Do you evaluate and track conformity with the hardening baselines?</t>
  </si>
  <si>
    <t xml:space="preserve">You review and update baselines at least annually
</t>
  </si>
  <si>
    <t>O-EM-B-1-1</t>
  </si>
  <si>
    <t>Patching and Updating</t>
  </si>
  <si>
    <t>Do you identify and patch vulnerable components?</t>
  </si>
  <si>
    <t xml:space="preserve">You have an up-to-date list of components with versions
You review public sources regularly for vulnerabilities related to your components
</t>
  </si>
  <si>
    <t>O-EM-B-2-1</t>
  </si>
  <si>
    <t>Do you follow an established process for updating components across your whole technology stack?</t>
  </si>
  <si>
    <t xml:space="preserve">The process includes vendor information for 3rd party patches
The process considers external sources to gather information about zero day attacks, and take appropriate risk mitigation steps
The process includes guidance with priorities for updates of components
</t>
  </si>
  <si>
    <t>O-EM-B-3-1</t>
  </si>
  <si>
    <t>Do you regularly evaluate components and review patch level status?</t>
  </si>
  <si>
    <t xml:space="preserve">You update the list with components and versions
You identify and update missing updates according to existing SLA
You review and update the process based on feedback from the people who perform patching
</t>
  </si>
  <si>
    <t>O-OM-A-1-1</t>
  </si>
  <si>
    <t>Operational Management</t>
  </si>
  <si>
    <t>Data Protection</t>
  </si>
  <si>
    <t>Do you protect and handle information according to protection requirements for data stored and processed on each application?</t>
  </si>
  <si>
    <t xml:space="preserve">You have identified the data elements processed and stored by each application
You have determined the type and sensitivity level of each identified data element
You have controls to prevent propagation of unsanitized sensitive data from production environments to lower environments
</t>
  </si>
  <si>
    <t>O-OM-A-2-1</t>
  </si>
  <si>
    <t>Do you maintain a data catalog, including types, sensitivity levels, and processing and storage locations?</t>
  </si>
  <si>
    <t xml:space="preserve">The data catalog is stored in an accessible location
You have identified data elements subject to specific regulation
You have controls for protecting and preserving data throughout their lifetime
You have retention requirements for data, and you destroy backups in a timely manner after the relevant retention period ends
</t>
  </si>
  <si>
    <t>O-OM-A-3-1</t>
  </si>
  <si>
    <t>Do you regularly review and update the data catalog and your data protection policies and procedures?</t>
  </si>
  <si>
    <t xml:space="preserve">You have automated monitoring to detect attempted or actual violations of the Data Protection Policy
You have tools for data loss prevention, access control and tracking, or anomalous behavior detection
You periodically audit the operation of automated mechanisms, including backups and record deletions
</t>
  </si>
  <si>
    <t>O-OM-B-1-1</t>
  </si>
  <si>
    <t>System decommissioning / Legacy management</t>
  </si>
  <si>
    <t>Do you identify and remove systems, applications, application dependencies, or services that are no longer used, have reached end of life, or are no longer actively developed or supported?</t>
  </si>
  <si>
    <t xml:space="preserve">You do not use unsupported applications or dependencies
You manage customer/user migration from older versions for each product and customer/user group
</t>
  </si>
  <si>
    <t>O-OM-B-2-1</t>
  </si>
  <si>
    <t>Do you follow an established process for removing all associated resources, as part of decommissioning of unused systems, applications, application dependencies, or services?</t>
  </si>
  <si>
    <t xml:space="preserve">You document the status of support for all released versions of your products, in an accessible location
The process includes replacement or upgrade of third-party applications, or application dependencies, that have reached end of life.
Operating environments do not contain orphaned accounts, firewall rules, or other configuration artifacts
</t>
  </si>
  <si>
    <t>O-OM-B-3-1</t>
  </si>
  <si>
    <t>Do you regularly evaluate the lifecycle state and support status of every software asset and underlying infrastructure component, and estimate their end-of-life?</t>
  </si>
  <si>
    <t xml:space="preserve">Your end-of-life management process is agreed upon.
You inform customers and user groups of product timelines to prevent disruption of service or support.
You review the process at least annually
</t>
  </si>
  <si>
    <t>Policy and Standards</t>
  </si>
  <si>
    <t>Have you developed a common set of policies and standards that are applied throughout your organization?</t>
  </si>
  <si>
    <t>You have adapted existing standards appropriate for the organization’s industry, to account for domain-specific considerations
Your standards are aligned with your policies, and incorporate technology-specific implementation guidance</t>
  </si>
  <si>
    <t>Do you have clearly documented, repeatable evaluation methods to test for adherence to policies and standards?</t>
  </si>
  <si>
    <t>You have created verification checklists and test scripts (where applicable), aligned with the policy's requirements, and the implementation guidance in the associated standard(s)
You have created versions adapted to each development methodology/technology in use within the organization</t>
  </si>
  <si>
    <t>Yes, for some of the policies and standards</t>
  </si>
  <si>
    <t>Yes, for at least half of the policies and standards</t>
  </si>
  <si>
    <t>Yes, for most of the policies and standards</t>
  </si>
  <si>
    <t>Do you regularly report on policy and standard compliance, and use that information to guide compliance improvement efforts?</t>
  </si>
  <si>
    <t>You have procedures (automated, if possible) in place, to regularly generate compliance reports
You have ensured compliance reports are delivered to all relevant stakeholders
Stakeholders use the reported compliance status information to identify areas for improvement</t>
  </si>
  <si>
    <t>Yes, but review is ad-hoc</t>
  </si>
  <si>
    <t>Compliance Management</t>
  </si>
  <si>
    <t>Do you have a complete picture of your external compliance obligations?</t>
  </si>
  <si>
    <t>You have identified all sources of external compliance obligations
You have captured and reconciled compliance obligations from all sources</t>
  </si>
  <si>
    <t>Do you have a standard set of security requirements, and verification procedures, addressing the organization's external compliance obligations?</t>
  </si>
  <si>
    <t>You have mapped each external compliance obligation to a well-defined set of application requirements
You have defined verification procedures, including automated tests (when possible), to verify compliance with compliance-related requirements</t>
  </si>
  <si>
    <t>Do you regularly report on adherence to external compliance obligations, and use that information to guide efforts to close compliance gaps?</t>
  </si>
  <si>
    <t xml:space="preserve">You have established, well-defined compliance metrics
You measure and report on applications' compliance metrics following a regular cadence
Stakeholders use the reported compliance status information to identify compliance gaps, and prioritize gap remediation efforts </t>
  </si>
  <si>
    <t>G-PC-A-1-1</t>
  </si>
  <si>
    <t>G-PC-A-2-1</t>
  </si>
  <si>
    <t>G-PC-A-3-1</t>
  </si>
  <si>
    <t>G-PC-B-1-1</t>
  </si>
  <si>
    <t>G-PC-B-2-1</t>
  </si>
  <si>
    <t>G-PC-B-3-1</t>
  </si>
  <si>
    <t>The threat model methodology takes into account historical feedback to improve the evaluation method
Changes in the application or business context trigger a review of the relevant threat models
Threat models are independently evaluated for their quality</t>
  </si>
  <si>
    <t xml:space="preserve">A Learning Management System (LMS) is used to track training and any certifications
Training is based on internal standards, policies, and procedures instead of general "best-practices"
Training is mandatory, and the certification program or attendance record is used to determine access to development systems and resources.
</t>
  </si>
  <si>
    <t xml:space="preserve">The SSCE has a formal charter defining its role in the organization.
Development teams review all significant architectural changes with SSCE
The SSCE publishes SDLC standards and guidelines related to Application Security
Identified "Product Champions" are responsible for promotion of use and specific security tools.
</t>
  </si>
  <si>
    <t xml:space="preserve">Your process and template for reviewing software architectures is aligned with your organization's risk tolerance
You verify the architecture meets all the defined security requirements
You verify every component is protected by the expected security controls (e.g., authentication, authorization, logging)
You log missing security controls as defects
</t>
  </si>
  <si>
    <t>Team/Application:</t>
  </si>
  <si>
    <t xml:space="preserve">Team Lead: </t>
  </si>
  <si>
    <t>Stream</t>
  </si>
  <si>
    <t>Level</t>
  </si>
  <si>
    <t>Have you identified a "Security Champion" for each development team?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</si>
</sst>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36" x14ac:knownFonts="1">
    <font>
      <sz val="10"/>
      <name val="Arial"/>
    </font>
    <font>
      <sz val="10"/>
      <color indexed="8"/>
      <name val="Arial"/>
      <family val="2"/>
    </font>
    <font>
      <b/>
      <sz val="10"/>
      <color indexed="8"/>
      <name val="Arial"/>
      <family val="2"/>
    </font>
    <font>
      <b/>
      <sz val="14"/>
      <color indexed="8"/>
      <name val="Arial"/>
      <family val="2"/>
    </font>
    <font>
      <b/>
      <sz val="10"/>
      <color indexed="9"/>
      <name val="Arial"/>
      <family val="2"/>
    </font>
    <font>
      <i/>
      <sz val="10"/>
      <color indexed="8"/>
      <name val="Arial"/>
      <family val="2"/>
    </font>
    <font>
      <sz val="14"/>
      <color indexed="8"/>
      <name val="Arial"/>
      <family val="2"/>
    </font>
    <font>
      <sz val="10"/>
      <name val="Arial"/>
      <family val="2"/>
    </font>
    <font>
      <b/>
      <sz val="10"/>
      <color indexed="8"/>
      <name val="Arial"/>
      <family val="2"/>
    </font>
    <font>
      <b/>
      <sz val="11"/>
      <color indexed="8"/>
      <name val="Arial"/>
      <family val="2"/>
    </font>
    <font>
      <b/>
      <sz val="11"/>
      <name val="Arial"/>
      <family val="2"/>
    </font>
    <font>
      <b/>
      <sz val="10"/>
      <name val="Arial"/>
      <family val="2"/>
    </font>
    <font>
      <b/>
      <sz val="22"/>
      <color indexed="8"/>
      <name val="Arial"/>
      <family val="2"/>
    </font>
    <font>
      <sz val="10"/>
      <name val="Arial"/>
      <family val="2"/>
    </font>
    <font>
      <sz val="20"/>
      <name val="Trebuchet MS"/>
      <family val="2"/>
    </font>
    <font>
      <sz val="10"/>
      <name val="Trebuchet MS"/>
      <family val="2"/>
    </font>
    <font>
      <sz val="11"/>
      <name val="Trebuchet MS"/>
      <family val="2"/>
    </font>
    <font>
      <sz val="10"/>
      <color indexed="9"/>
      <name val="Trebuchet MS"/>
      <family val="2"/>
    </font>
    <font>
      <u/>
      <sz val="10"/>
      <name val="Trebuchet MS"/>
      <family val="2"/>
    </font>
    <font>
      <u/>
      <sz val="10"/>
      <color indexed="12"/>
      <name val="Arial"/>
      <family val="2"/>
    </font>
    <font>
      <sz val="20"/>
      <color indexed="9"/>
      <name val="Trebuchet MS"/>
      <family val="2"/>
    </font>
    <font>
      <b/>
      <sz val="10"/>
      <color indexed="9"/>
      <name val="Trebuchet MS"/>
      <family val="2"/>
    </font>
    <font>
      <b/>
      <u/>
      <sz val="10"/>
      <color indexed="9"/>
      <name val="Arial"/>
      <family val="2"/>
    </font>
    <font>
      <b/>
      <sz val="10"/>
      <color rgb="FF791F17"/>
      <name val="Trebuchet MS"/>
      <family val="2"/>
    </font>
    <font>
      <b/>
      <sz val="10"/>
      <color rgb="FF37793E"/>
      <name val="Trebuchet MS"/>
      <family val="2"/>
    </font>
    <font>
      <b/>
      <sz val="10"/>
      <color rgb="FFB75727"/>
      <name val="Trebuchet MS"/>
      <family val="2"/>
    </font>
    <font>
      <b/>
      <sz val="10"/>
      <color rgb="FF3290C4"/>
      <name val="Trebuchet MS"/>
      <family val="2"/>
    </font>
    <font>
      <b/>
      <sz val="10"/>
      <name val="Trebuchet MS"/>
      <family val="2"/>
    </font>
    <font>
      <u/>
      <sz val="10"/>
      <color theme="11"/>
      <name val="Arial"/>
      <family val="2"/>
    </font>
    <font>
      <b/>
      <sz val="12"/>
      <color indexed="8"/>
      <name val="Arial"/>
      <family val="2"/>
    </font>
    <font>
      <b/>
      <sz val="12"/>
      <name val="Arial"/>
      <family val="2"/>
    </font>
    <font>
      <b/>
      <sz val="10"/>
      <color theme="0"/>
      <name val="Arial"/>
      <family val="2"/>
    </font>
    <font>
      <b/>
      <sz val="18"/>
      <name val="Arial"/>
      <family val="2"/>
    </font>
    <font>
      <sz val="10"/>
      <color rgb="FF010000"/>
      <name val="Arial"/>
      <family val="2"/>
    </font>
    <font>
      <b/>
      <sz val="22"/>
      <color rgb="FF010000"/>
      <name val="Arial"/>
      <family val="2"/>
    </font>
    <font>
      <b/>
      <sz val="11"/>
      <color rgb="FF010000"/>
      <name val="Arial"/>
      <family val="2"/>
    </font>
  </fonts>
  <fills count="27">
    <fill>
      <patternFill patternType="none"/>
    </fill>
    <fill>
      <patternFill patternType="gray125"/>
    </fill>
    <fill>
      <patternFill patternType="solid">
        <fgColor indexed="18"/>
        <bgColor indexed="64"/>
      </patternFill>
    </fill>
    <fill>
      <patternFill patternType="solid">
        <fgColor theme="0" tint="-0.14999847407452621"/>
        <bgColor indexed="64"/>
      </patternFill>
    </fill>
    <fill>
      <patternFill patternType="solid">
        <fgColor theme="2" tint="-9.9978637043366805E-2"/>
        <bgColor indexed="64"/>
      </patternFill>
    </fill>
    <fill>
      <patternFill patternType="solid">
        <fgColor indexed="22"/>
        <bgColor indexed="64"/>
      </patternFill>
    </fill>
    <fill>
      <patternFill patternType="solid">
        <fgColor indexed="63"/>
        <bgColor indexed="64"/>
      </patternFill>
    </fill>
    <fill>
      <patternFill patternType="solid">
        <fgColor rgb="FF3290C4"/>
        <bgColor indexed="64"/>
      </patternFill>
    </fill>
    <fill>
      <patternFill patternType="solid">
        <fgColor rgb="FF94BCDD"/>
        <bgColor indexed="64"/>
      </patternFill>
    </fill>
    <fill>
      <patternFill patternType="solid">
        <fgColor rgb="FFB75727"/>
        <bgColor indexed="64"/>
      </patternFill>
    </fill>
    <fill>
      <patternFill patternType="solid">
        <fgColor rgb="FFD59E7B"/>
        <bgColor indexed="64"/>
      </patternFill>
    </fill>
    <fill>
      <patternFill patternType="solid">
        <fgColor rgb="FF37793E"/>
        <bgColor indexed="64"/>
      </patternFill>
    </fill>
    <fill>
      <patternFill patternType="solid">
        <fgColor rgb="FF8BAA88"/>
        <bgColor indexed="64"/>
      </patternFill>
    </fill>
    <fill>
      <patternFill patternType="solid">
        <fgColor rgb="FF791F17"/>
        <bgColor indexed="64"/>
      </patternFill>
    </fill>
    <fill>
      <patternFill patternType="solid">
        <fgColor rgb="FFB07667"/>
        <bgColor indexed="64"/>
      </patternFill>
    </fill>
    <fill>
      <patternFill patternType="solid">
        <fgColor theme="4" tint="0.79998168889431442"/>
        <bgColor indexed="64"/>
      </patternFill>
    </fill>
    <fill>
      <patternFill patternType="solid">
        <fgColor theme="4" tint="0.39997558519241921"/>
        <bgColor indexed="64"/>
      </patternFill>
    </fill>
    <fill>
      <patternFill patternType="solid">
        <fgColor theme="0"/>
        <bgColor theme="0"/>
      </patternFill>
    </fill>
    <fill>
      <patternFill patternType="solid">
        <fgColor rgb="FFD5D514"/>
        <bgColor indexed="64"/>
      </patternFill>
    </fill>
    <fill>
      <patternFill patternType="solid">
        <fgColor rgb="FFBDBF17"/>
        <bgColor indexed="64"/>
      </patternFill>
    </fill>
    <fill>
      <patternFill patternType="solid">
        <fgColor rgb="FF8BA988"/>
        <bgColor indexed="64"/>
      </patternFill>
    </fill>
    <fill>
      <patternFill patternType="solid">
        <fgColor rgb="FF94BCDD"/>
        <bgColor rgb="FF000000"/>
      </patternFill>
    </fill>
    <fill>
      <patternFill patternType="solid">
        <fgColor rgb="FFD9D9D9"/>
        <bgColor rgb="FF000000"/>
      </patternFill>
    </fill>
    <fill>
      <patternFill patternType="solid">
        <fgColor rgb="FFB07667"/>
        <bgColor rgb="FF000000"/>
      </patternFill>
    </fill>
    <fill>
      <patternFill patternType="solid">
        <fgColor rgb="FF8BA988"/>
        <bgColor rgb="FF000000"/>
      </patternFill>
    </fill>
    <fill>
      <patternFill patternType="solid">
        <fgColor rgb="FFD5D514"/>
        <bgColor rgb="FF000000"/>
      </patternFill>
    </fill>
    <fill>
      <patternFill patternType="solid">
        <fgColor rgb="FFD59E7B"/>
        <bgColor rgb="FF000000"/>
      </patternFill>
    </fill>
  </fills>
  <borders count="116">
    <border>
      <left/>
      <right/>
      <top/>
      <bottom/>
      <diagonal/>
    </border>
    <border>
      <left/>
      <right/>
      <top/>
      <bottom style="thin">
        <color indexed="8"/>
      </bottom>
      <diagonal/>
    </border>
    <border>
      <left style="thin">
        <color indexed="8"/>
      </left>
      <right style="thin">
        <color indexed="8"/>
      </right>
      <top style="thin">
        <color indexed="8"/>
      </top>
      <bottom style="thin">
        <color indexed="8"/>
      </bottom>
      <diagonal/>
    </border>
    <border>
      <left style="thin">
        <color indexed="8"/>
      </left>
      <right/>
      <top/>
      <bottom/>
      <diagonal/>
    </border>
    <border>
      <left style="thin">
        <color indexed="8"/>
      </left>
      <right style="thin">
        <color indexed="8"/>
      </right>
      <top style="thin">
        <color indexed="8"/>
      </top>
      <bottom/>
      <diagonal/>
    </border>
    <border>
      <left/>
      <right/>
      <top style="thin">
        <color indexed="8"/>
      </top>
      <bottom/>
      <diagonal/>
    </border>
    <border>
      <left style="thin">
        <color indexed="8"/>
      </left>
      <right style="thin">
        <color indexed="8"/>
      </right>
      <top/>
      <bottom/>
      <diagonal/>
    </border>
    <border>
      <left/>
      <right style="thin">
        <color indexed="8"/>
      </right>
      <top/>
      <bottom/>
      <diagonal/>
    </border>
    <border>
      <left style="thin">
        <color indexed="8"/>
      </left>
      <right style="thin">
        <color indexed="8"/>
      </right>
      <top/>
      <bottom style="thin">
        <color indexed="8"/>
      </bottom>
      <diagonal/>
    </border>
    <border>
      <left/>
      <right style="thin">
        <color indexed="8"/>
      </right>
      <top/>
      <bottom style="thin">
        <color indexed="8"/>
      </bottom>
      <diagonal/>
    </border>
    <border>
      <left style="thin">
        <color indexed="8"/>
      </left>
      <right/>
      <top/>
      <bottom style="thin">
        <color indexed="8"/>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right/>
      <top style="thin">
        <color indexed="8"/>
      </top>
      <bottom style="thin">
        <color indexed="8"/>
      </bottom>
      <diagonal/>
    </border>
    <border>
      <left style="thin">
        <color indexed="8"/>
      </left>
      <right/>
      <top style="thin">
        <color indexed="8"/>
      </top>
      <bottom/>
      <diagonal/>
    </border>
    <border>
      <left/>
      <right style="thin">
        <color indexed="8"/>
      </right>
      <top style="thin">
        <color indexed="8"/>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top style="medium">
        <color auto="1"/>
      </top>
      <bottom style="thin">
        <color indexed="8"/>
      </bottom>
      <diagonal/>
    </border>
    <border>
      <left/>
      <right/>
      <top style="medium">
        <color auto="1"/>
      </top>
      <bottom style="thin">
        <color indexed="8"/>
      </bottom>
      <diagonal/>
    </border>
    <border>
      <left/>
      <right style="medium">
        <color auto="1"/>
      </right>
      <top style="medium">
        <color auto="1"/>
      </top>
      <bottom style="thin">
        <color indexed="8"/>
      </bottom>
      <diagonal/>
    </border>
    <border>
      <left style="medium">
        <color auto="1"/>
      </left>
      <right/>
      <top style="thin">
        <color indexed="8"/>
      </top>
      <bottom/>
      <diagonal/>
    </border>
    <border>
      <left/>
      <right style="medium">
        <color auto="1"/>
      </right>
      <top style="thin">
        <color indexed="8"/>
      </top>
      <bottom/>
      <diagonal/>
    </border>
    <border>
      <left style="thin">
        <color auto="1"/>
      </left>
      <right/>
      <top style="thin">
        <color auto="1"/>
      </top>
      <bottom/>
      <diagonal/>
    </border>
    <border>
      <left/>
      <right style="thin">
        <color indexed="8"/>
      </right>
      <top style="thin">
        <color auto="1"/>
      </top>
      <bottom/>
      <diagonal/>
    </border>
    <border>
      <left style="thin">
        <color indexed="8"/>
      </left>
      <right style="thin">
        <color indexed="8"/>
      </right>
      <top style="thin">
        <color auto="1"/>
      </top>
      <bottom/>
      <diagonal/>
    </border>
    <border>
      <left style="thin">
        <color indexed="8"/>
      </left>
      <right style="thin">
        <color auto="1"/>
      </right>
      <top style="thin">
        <color auto="1"/>
      </top>
      <bottom/>
      <diagonal/>
    </border>
    <border>
      <left style="thin">
        <color auto="1"/>
      </left>
      <right/>
      <top/>
      <bottom/>
      <diagonal/>
    </border>
    <border>
      <left style="thin">
        <color indexed="8"/>
      </left>
      <right style="thin">
        <color auto="1"/>
      </right>
      <top/>
      <bottom/>
      <diagonal/>
    </border>
    <border>
      <left style="thin">
        <color auto="1"/>
      </left>
      <right/>
      <top/>
      <bottom style="thin">
        <color auto="1"/>
      </bottom>
      <diagonal/>
    </border>
    <border>
      <left/>
      <right style="thin">
        <color indexed="8"/>
      </right>
      <top/>
      <bottom style="thin">
        <color auto="1"/>
      </bottom>
      <diagonal/>
    </border>
    <border>
      <left style="thin">
        <color indexed="8"/>
      </left>
      <right style="thin">
        <color indexed="8"/>
      </right>
      <top/>
      <bottom style="thin">
        <color auto="1"/>
      </bottom>
      <diagonal/>
    </border>
    <border>
      <left style="thin">
        <color indexed="8"/>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indexed="8"/>
      </left>
      <right/>
      <top style="thin">
        <color auto="1"/>
      </top>
      <bottom/>
      <diagonal/>
    </border>
    <border>
      <left style="thin">
        <color indexed="8"/>
      </left>
      <right/>
      <top/>
      <bottom style="thin">
        <color auto="1"/>
      </bottom>
      <diagonal/>
    </border>
    <border>
      <left/>
      <right/>
      <top/>
      <bottom style="thin">
        <color auto="1"/>
      </bottom>
      <diagonal/>
    </border>
    <border>
      <left/>
      <right style="thin">
        <color auto="1"/>
      </right>
      <top/>
      <bottom style="thin">
        <color auto="1"/>
      </bottom>
      <diagonal/>
    </border>
    <border>
      <left/>
      <right/>
      <top style="medium">
        <color auto="1"/>
      </top>
      <bottom style="medium">
        <color auto="1"/>
      </bottom>
      <diagonal/>
    </border>
    <border>
      <left/>
      <right/>
      <top style="medium">
        <color auto="1"/>
      </top>
      <bottom/>
      <diagonal/>
    </border>
    <border>
      <left/>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style="thin">
        <color auto="1"/>
      </right>
      <top/>
      <bottom style="medium">
        <color auto="1"/>
      </bottom>
      <diagonal/>
    </border>
    <border>
      <left style="thin">
        <color indexed="8"/>
      </left>
      <right/>
      <top style="thin">
        <color auto="1"/>
      </top>
      <bottom style="thin">
        <color auto="1"/>
      </bottom>
      <diagonal/>
    </border>
    <border>
      <left/>
      <right style="thin">
        <color indexed="8"/>
      </right>
      <top style="thin">
        <color auto="1"/>
      </top>
      <bottom style="thin">
        <color auto="1"/>
      </bottom>
      <diagonal/>
    </border>
    <border>
      <left style="thin">
        <color auto="1"/>
      </left>
      <right style="thin">
        <color indexed="8"/>
      </right>
      <top style="thin">
        <color auto="1"/>
      </top>
      <bottom style="thin">
        <color auto="1"/>
      </bottom>
      <diagonal/>
    </border>
    <border>
      <left style="thin">
        <color indexed="8"/>
      </left>
      <right style="thin">
        <color indexed="8"/>
      </right>
      <top style="thin">
        <color auto="1"/>
      </top>
      <bottom style="thin">
        <color auto="1"/>
      </bottom>
      <diagonal/>
    </border>
    <border>
      <left style="thin">
        <color indexed="8"/>
      </left>
      <right style="thin">
        <color auto="1"/>
      </right>
      <top style="thin">
        <color auto="1"/>
      </top>
      <bottom style="thin">
        <color auto="1"/>
      </bottom>
      <diagonal/>
    </border>
    <border>
      <left style="thin">
        <color indexed="8"/>
      </left>
      <right style="thin">
        <color auto="1"/>
      </right>
      <top style="thin">
        <color indexed="8"/>
      </top>
      <bottom style="thin">
        <color auto="1"/>
      </bottom>
      <diagonal/>
    </border>
    <border>
      <left style="thin">
        <color indexed="8"/>
      </left>
      <right style="thin">
        <color indexed="8"/>
      </right>
      <top style="thin">
        <color indexed="8"/>
      </top>
      <bottom style="thin">
        <color auto="1"/>
      </bottom>
      <diagonal/>
    </border>
    <border>
      <left/>
      <right style="thin">
        <color auto="1"/>
      </right>
      <top style="thin">
        <color auto="1"/>
      </top>
      <bottom/>
      <diagonal/>
    </border>
    <border>
      <left style="medium">
        <color auto="1"/>
      </left>
      <right/>
      <top style="thin">
        <color auto="1"/>
      </top>
      <bottom style="medium">
        <color auto="1"/>
      </bottom>
      <diagonal/>
    </border>
    <border>
      <left/>
      <right style="thin">
        <color auto="1"/>
      </right>
      <top style="thin">
        <color auto="1"/>
      </top>
      <bottom style="medium">
        <color auto="1"/>
      </bottom>
      <diagonal/>
    </border>
    <border>
      <left style="medium">
        <color auto="1"/>
      </left>
      <right/>
      <top style="thin">
        <color auto="1"/>
      </top>
      <bottom style="thin">
        <color auto="1"/>
      </bottom>
      <diagonal/>
    </border>
    <border>
      <left style="medium">
        <color auto="1"/>
      </left>
      <right/>
      <top style="medium">
        <color auto="1"/>
      </top>
      <bottom style="thin">
        <color auto="1"/>
      </bottom>
      <diagonal/>
    </border>
    <border>
      <left/>
      <right style="thin">
        <color auto="1"/>
      </right>
      <top style="medium">
        <color auto="1"/>
      </top>
      <bottom style="thin">
        <color auto="1"/>
      </bottom>
      <diagonal/>
    </border>
    <border>
      <left style="thin">
        <color auto="1"/>
      </left>
      <right style="thin">
        <color indexed="8"/>
      </right>
      <top style="thin">
        <color auto="1"/>
      </top>
      <bottom/>
      <diagonal/>
    </border>
    <border>
      <left style="thin">
        <color auto="1"/>
      </left>
      <right style="thin">
        <color indexed="8"/>
      </right>
      <top/>
      <bottom style="thin">
        <color auto="1"/>
      </bottom>
      <diagonal/>
    </border>
    <border>
      <left style="thin">
        <color auto="1"/>
      </left>
      <right/>
      <top style="thin">
        <color auto="1"/>
      </top>
      <bottom style="thin">
        <color indexed="8"/>
      </bottom>
      <diagonal/>
    </border>
    <border>
      <left/>
      <right/>
      <top style="thin">
        <color auto="1"/>
      </top>
      <bottom style="thin">
        <color indexed="8"/>
      </bottom>
      <diagonal/>
    </border>
    <border>
      <left style="thin">
        <color auto="1"/>
      </left>
      <right style="thin">
        <color indexed="8"/>
      </right>
      <top style="thin">
        <color indexed="8"/>
      </top>
      <bottom/>
      <diagonal/>
    </border>
    <border>
      <left style="thin">
        <color auto="1"/>
      </left>
      <right style="thin">
        <color indexed="8"/>
      </right>
      <top/>
      <bottom/>
      <diagonal/>
    </border>
    <border>
      <left style="medium">
        <color auto="1"/>
      </left>
      <right style="thin">
        <color indexed="8"/>
      </right>
      <top style="thin">
        <color indexed="8"/>
      </top>
      <bottom style="thin">
        <color indexed="8"/>
      </bottom>
      <diagonal/>
    </border>
    <border>
      <left style="thin">
        <color indexed="8"/>
      </left>
      <right style="medium">
        <color auto="1"/>
      </right>
      <top style="thin">
        <color indexed="8"/>
      </top>
      <bottom/>
      <diagonal/>
    </border>
    <border>
      <left style="medium">
        <color auto="1"/>
      </left>
      <right style="thin">
        <color indexed="8"/>
      </right>
      <top style="thin">
        <color indexed="8"/>
      </top>
      <bottom/>
      <diagonal/>
    </border>
    <border>
      <left style="thin">
        <color auto="1"/>
      </left>
      <right style="medium">
        <color auto="1"/>
      </right>
      <top style="thin">
        <color auto="1"/>
      </top>
      <bottom/>
      <diagonal/>
    </border>
    <border>
      <left style="medium">
        <color auto="1"/>
      </left>
      <right style="thin">
        <color indexed="8"/>
      </right>
      <top/>
      <bottom/>
      <diagonal/>
    </border>
    <border>
      <left style="thin">
        <color auto="1"/>
      </left>
      <right style="medium">
        <color auto="1"/>
      </right>
      <top/>
      <bottom/>
      <diagonal/>
    </border>
    <border>
      <left/>
      <right style="medium">
        <color auto="1"/>
      </right>
      <top style="thin">
        <color auto="1"/>
      </top>
      <bottom style="thin">
        <color auto="1"/>
      </bottom>
      <diagonal/>
    </border>
    <border>
      <left style="thin">
        <color auto="1"/>
      </left>
      <right style="medium">
        <color auto="1"/>
      </right>
      <top/>
      <bottom style="thin">
        <color auto="1"/>
      </bottom>
      <diagonal/>
    </border>
    <border>
      <left style="medium">
        <color auto="1"/>
      </left>
      <right/>
      <top/>
      <bottom style="thin">
        <color indexed="8"/>
      </bottom>
      <diagonal/>
    </border>
    <border>
      <left/>
      <right style="medium">
        <color auto="1"/>
      </right>
      <top/>
      <bottom style="thin">
        <color indexed="8"/>
      </bottom>
      <diagonal/>
    </border>
    <border>
      <left style="medium">
        <color auto="1"/>
      </left>
      <right style="thin">
        <color indexed="8"/>
      </right>
      <top/>
      <bottom style="thin">
        <color indexed="8"/>
      </bottom>
      <diagonal/>
    </border>
    <border>
      <left style="medium">
        <color auto="1"/>
      </left>
      <right style="thin">
        <color auto="1"/>
      </right>
      <top style="thin">
        <color auto="1"/>
      </top>
      <bottom/>
      <diagonal/>
    </border>
    <border>
      <left style="medium">
        <color auto="1"/>
      </left>
      <right style="thin">
        <color auto="1"/>
      </right>
      <top/>
      <bottom style="medium">
        <color auto="1"/>
      </bottom>
      <diagonal/>
    </border>
    <border>
      <left/>
      <right style="thin">
        <color indexed="8"/>
      </right>
      <top/>
      <bottom style="medium">
        <color auto="1"/>
      </bottom>
      <diagonal/>
    </border>
    <border>
      <left style="thin">
        <color indexed="8"/>
      </left>
      <right style="thin">
        <color indexed="8"/>
      </right>
      <top/>
      <bottom style="medium">
        <color auto="1"/>
      </bottom>
      <diagonal/>
    </border>
    <border>
      <left/>
      <right style="thin">
        <color indexed="8"/>
      </right>
      <top style="thin">
        <color auto="1"/>
      </top>
      <bottom style="thin">
        <color indexed="8"/>
      </bottom>
      <diagonal/>
    </border>
    <border>
      <left style="thin">
        <color indexed="8"/>
      </left>
      <right style="thin">
        <color indexed="8"/>
      </right>
      <top style="thin">
        <color auto="1"/>
      </top>
      <bottom style="thin">
        <color indexed="8"/>
      </bottom>
      <diagonal/>
    </border>
    <border>
      <left style="thin">
        <color indexed="8"/>
      </left>
      <right style="thin">
        <color auto="1"/>
      </right>
      <top style="thin">
        <color auto="1"/>
      </top>
      <bottom style="thin">
        <color indexed="8"/>
      </bottom>
      <diagonal/>
    </border>
    <border>
      <left style="thin">
        <color auto="1"/>
      </left>
      <right/>
      <top style="thin">
        <color indexed="8"/>
      </top>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thin">
        <color indexed="8"/>
      </left>
      <right style="thin">
        <color indexed="8"/>
      </right>
      <top style="thin">
        <color auto="1"/>
      </top>
      <bottom style="thin">
        <color indexed="64"/>
      </bottom>
      <diagonal/>
    </border>
    <border>
      <left/>
      <right style="thin">
        <color indexed="8"/>
      </right>
      <top style="thin">
        <color auto="1"/>
      </top>
      <bottom style="thin">
        <color indexed="64"/>
      </bottom>
      <diagonal/>
    </border>
    <border>
      <left style="thin">
        <color indexed="8"/>
      </left>
      <right style="thin">
        <color auto="1"/>
      </right>
      <top style="thin">
        <color auto="1"/>
      </top>
      <bottom style="thin">
        <color indexed="64"/>
      </bottom>
      <diagonal/>
    </border>
    <border>
      <left style="thin">
        <color indexed="8"/>
      </left>
      <right style="thin">
        <color indexed="8"/>
      </right>
      <top style="thin">
        <color indexed="8"/>
      </top>
      <bottom style="thin">
        <color indexed="64"/>
      </bottom>
      <diagonal/>
    </border>
    <border>
      <left style="thin">
        <color indexed="8"/>
      </left>
      <right/>
      <top/>
      <bottom style="thin">
        <color indexed="64"/>
      </bottom>
      <diagonal/>
    </border>
    <border>
      <left style="thin">
        <color auto="1"/>
      </left>
      <right/>
      <top style="thin">
        <color auto="1"/>
      </top>
      <bottom style="thin">
        <color indexed="64"/>
      </bottom>
      <diagonal/>
    </border>
    <border>
      <left/>
      <right style="thin">
        <color indexed="8"/>
      </right>
      <top/>
      <bottom style="thin">
        <color indexed="64"/>
      </bottom>
      <diagonal/>
    </border>
    <border>
      <left style="thin">
        <color indexed="8"/>
      </left>
      <right style="thin">
        <color indexed="8"/>
      </right>
      <top/>
      <bottom style="thin">
        <color indexed="64"/>
      </bottom>
      <diagonal/>
    </border>
    <border>
      <left style="thin">
        <color indexed="64"/>
      </left>
      <right style="thin">
        <color indexed="64"/>
      </right>
      <top style="thin">
        <color indexed="8"/>
      </top>
      <bottom style="thin">
        <color auto="1"/>
      </bottom>
      <diagonal/>
    </border>
    <border>
      <left style="thin">
        <color rgb="FF010000"/>
      </left>
      <right style="thin">
        <color rgb="FF010000"/>
      </right>
      <top style="thin">
        <color rgb="FF010000"/>
      </top>
      <bottom/>
      <diagonal/>
    </border>
    <border>
      <left style="thin">
        <color rgb="FF010000"/>
      </left>
      <right style="thin">
        <color rgb="FF010000"/>
      </right>
      <top/>
      <bottom/>
      <diagonal/>
    </border>
    <border>
      <left style="thin">
        <color rgb="FF010000"/>
      </left>
      <right style="thin">
        <color indexed="64"/>
      </right>
      <top style="thin">
        <color indexed="64"/>
      </top>
      <bottom style="thin">
        <color indexed="64"/>
      </bottom>
      <diagonal/>
    </border>
    <border>
      <left/>
      <right style="thin">
        <color rgb="FF010000"/>
      </right>
      <top style="thin">
        <color indexed="8"/>
      </top>
      <bottom/>
      <diagonal/>
    </border>
    <border>
      <left/>
      <right style="thin">
        <color rgb="FF010000"/>
      </right>
      <top/>
      <bottom style="thin">
        <color rgb="FF010000"/>
      </bottom>
      <diagonal/>
    </border>
    <border>
      <left style="thin">
        <color rgb="FF010000"/>
      </left>
      <right style="thin">
        <color rgb="FF010000"/>
      </right>
      <top style="thin">
        <color indexed="8"/>
      </top>
      <bottom/>
      <diagonal/>
    </border>
    <border>
      <left/>
      <right style="thin">
        <color rgb="FF010000"/>
      </right>
      <top style="thin">
        <color rgb="FF010000"/>
      </top>
      <bottom/>
      <diagonal/>
    </border>
    <border>
      <left/>
      <right style="thin">
        <color rgb="FF010000"/>
      </right>
      <top/>
      <bottom style="thin">
        <color rgb="FF000000"/>
      </bottom>
      <diagonal/>
    </border>
    <border>
      <left/>
      <right style="thin">
        <color rgb="FF010000"/>
      </right>
      <top style="thin">
        <color rgb="FF000000"/>
      </top>
      <bottom/>
      <diagonal/>
    </border>
  </borders>
  <cellStyleXfs count="5">
    <xf numFmtId="0" fontId="0" fillId="0" borderId="0" applyNumberFormat="0" applyFont="0" applyFill="0" applyBorder="0" applyAlignment="0" applyProtection="0"/>
    <xf numFmtId="0" fontId="13" fillId="0" borderId="0"/>
    <xf numFmtId="9" fontId="7" fillId="0" borderId="0" applyFont="0" applyFill="0" applyBorder="0" applyAlignment="0" applyProtection="0"/>
    <xf numFmtId="0" fontId="19" fillId="0" borderId="0" applyNumberFormat="0" applyFill="0" applyBorder="0" applyAlignment="0" applyProtection="0">
      <alignment vertical="top"/>
      <protection locked="0"/>
    </xf>
    <xf numFmtId="0" fontId="28" fillId="0" borderId="0" applyNumberFormat="0" applyFill="0" applyBorder="0" applyAlignment="0" applyProtection="0"/>
  </cellStyleXfs>
  <cellXfs count="529">
    <xf numFmtId="0" fontId="0" fillId="0" borderId="0" xfId="0" applyNumberFormat="1" applyFont="1" applyFill="1" applyBorder="1" applyAlignment="1"/>
    <xf numFmtId="0" fontId="1" fillId="0" borderId="0" xfId="0" applyNumberFormat="1" applyFont="1" applyFill="1" applyBorder="1" applyAlignment="1">
      <alignment wrapText="1"/>
    </xf>
    <xf numFmtId="0" fontId="1" fillId="0" borderId="1" xfId="0" applyNumberFormat="1" applyFont="1" applyFill="1" applyBorder="1" applyAlignment="1">
      <alignment wrapText="1"/>
    </xf>
    <xf numFmtId="0" fontId="1" fillId="0" borderId="3" xfId="0" applyNumberFormat="1" applyFont="1" applyFill="1" applyBorder="1" applyAlignment="1">
      <alignment wrapText="1"/>
    </xf>
    <xf numFmtId="0" fontId="1" fillId="0" borderId="5" xfId="0" applyNumberFormat="1" applyFont="1" applyFill="1" applyBorder="1" applyAlignment="1">
      <alignment wrapText="1"/>
    </xf>
    <xf numFmtId="0" fontId="2" fillId="0" borderId="4" xfId="0" applyNumberFormat="1" applyFont="1" applyFill="1" applyBorder="1" applyAlignment="1">
      <alignment horizontal="center" wrapText="1"/>
    </xf>
    <xf numFmtId="0" fontId="1" fillId="0" borderId="6" xfId="0" applyNumberFormat="1" applyFont="1" applyFill="1" applyBorder="1" applyAlignment="1">
      <alignment horizontal="center" wrapText="1"/>
    </xf>
    <xf numFmtId="0" fontId="2" fillId="2" borderId="2" xfId="0" applyNumberFormat="1" applyFont="1" applyFill="1" applyBorder="1" applyAlignment="1">
      <alignment horizontal="center" wrapText="1"/>
    </xf>
    <xf numFmtId="0" fontId="2" fillId="0" borderId="3" xfId="0" applyNumberFormat="1" applyFont="1" applyFill="1" applyBorder="1" applyAlignment="1">
      <alignment horizontal="center" wrapText="1"/>
    </xf>
    <xf numFmtId="0" fontId="1" fillId="0" borderId="0" xfId="0" applyNumberFormat="1" applyFont="1" applyFill="1" applyBorder="1" applyAlignment="1"/>
    <xf numFmtId="0" fontId="9" fillId="0" borderId="0" xfId="0" applyNumberFormat="1" applyFont="1" applyFill="1" applyBorder="1" applyAlignment="1">
      <alignment horizontal="left" wrapText="1"/>
    </xf>
    <xf numFmtId="0" fontId="9" fillId="0" borderId="3" xfId="0" applyNumberFormat="1" applyFont="1" applyFill="1" applyBorder="1" applyAlignment="1">
      <alignment horizontal="left" wrapText="1"/>
    </xf>
    <xf numFmtId="0" fontId="10" fillId="0" borderId="0" xfId="0" applyNumberFormat="1" applyFont="1" applyFill="1" applyBorder="1" applyAlignment="1">
      <alignment horizontal="left"/>
    </xf>
    <xf numFmtId="0" fontId="7" fillId="0" borderId="0" xfId="0" applyNumberFormat="1" applyFont="1" applyFill="1" applyBorder="1" applyAlignment="1"/>
    <xf numFmtId="0" fontId="1" fillId="0" borderId="24" xfId="0" applyNumberFormat="1" applyFont="1" applyFill="1" applyBorder="1" applyAlignment="1">
      <alignment wrapText="1"/>
    </xf>
    <xf numFmtId="0" fontId="1" fillId="0" borderId="26" xfId="0" applyNumberFormat="1" applyFont="1" applyFill="1" applyBorder="1" applyAlignment="1">
      <alignment wrapText="1"/>
    </xf>
    <xf numFmtId="15" fontId="1" fillId="0" borderId="26" xfId="0" applyNumberFormat="1" applyFont="1" applyFill="1" applyBorder="1" applyAlignment="1">
      <alignment horizontal="left" wrapText="1"/>
    </xf>
    <xf numFmtId="0" fontId="1" fillId="0" borderId="29" xfId="0" applyNumberFormat="1" applyFont="1" applyFill="1" applyBorder="1" applyAlignment="1">
      <alignment wrapText="1"/>
    </xf>
    <xf numFmtId="0" fontId="1" fillId="0" borderId="6" xfId="0" applyNumberFormat="1" applyFont="1" applyFill="1" applyBorder="1" applyAlignment="1">
      <alignment horizontal="center"/>
    </xf>
    <xf numFmtId="0" fontId="2" fillId="0" borderId="6" xfId="0" applyNumberFormat="1" applyFont="1" applyFill="1" applyBorder="1" applyAlignment="1">
      <alignment horizontal="center" wrapText="1"/>
    </xf>
    <xf numFmtId="0" fontId="1" fillId="0" borderId="0" xfId="0" applyNumberFormat="1" applyFont="1" applyFill="1" applyBorder="1" applyAlignment="1">
      <alignment horizontal="center" wrapText="1"/>
    </xf>
    <xf numFmtId="0" fontId="1" fillId="3" borderId="37" xfId="0" applyNumberFormat="1" applyFont="1" applyFill="1" applyBorder="1" applyAlignment="1">
      <alignment horizontal="center" wrapText="1"/>
    </xf>
    <xf numFmtId="0" fontId="1" fillId="3" borderId="43" xfId="0" applyNumberFormat="1" applyFont="1" applyFill="1" applyBorder="1" applyAlignment="1">
      <alignment horizontal="center" wrapText="1"/>
    </xf>
    <xf numFmtId="0" fontId="0" fillId="0" borderId="0" xfId="0" applyNumberFormat="1" applyFont="1" applyFill="1" applyBorder="1" applyAlignment="1">
      <alignment horizontal="center"/>
    </xf>
    <xf numFmtId="0" fontId="2" fillId="0" borderId="0" xfId="0" applyNumberFormat="1" applyFont="1" applyFill="1" applyBorder="1" applyAlignment="1">
      <alignment horizontal="center" wrapText="1"/>
    </xf>
    <xf numFmtId="0" fontId="2" fillId="3" borderId="37" xfId="0" applyNumberFormat="1" applyFont="1" applyFill="1" applyBorder="1" applyAlignment="1">
      <alignment horizontal="center" wrapText="1"/>
    </xf>
    <xf numFmtId="0" fontId="2" fillId="3" borderId="6" xfId="0" applyNumberFormat="1" applyFont="1" applyFill="1" applyBorder="1" applyAlignment="1">
      <alignment horizontal="center" wrapText="1"/>
    </xf>
    <xf numFmtId="0" fontId="2" fillId="3" borderId="43" xfId="0" applyNumberFormat="1" applyFont="1" applyFill="1" applyBorder="1" applyAlignment="1">
      <alignment horizontal="center" wrapText="1"/>
    </xf>
    <xf numFmtId="0" fontId="11" fillId="0" borderId="0" xfId="0" applyNumberFormat="1" applyFont="1" applyFill="1" applyBorder="1" applyAlignment="1">
      <alignment horizontal="center"/>
    </xf>
    <xf numFmtId="0" fontId="11" fillId="0" borderId="0" xfId="0" applyNumberFormat="1" applyFont="1" applyFill="1" applyBorder="1" applyAlignment="1"/>
    <xf numFmtId="0" fontId="11" fillId="0" borderId="21" xfId="0" applyNumberFormat="1" applyFont="1" applyFill="1" applyBorder="1" applyAlignment="1"/>
    <xf numFmtId="0" fontId="7" fillId="0" borderId="21" xfId="0" applyNumberFormat="1" applyFont="1" applyFill="1" applyBorder="1" applyAlignment="1"/>
    <xf numFmtId="0" fontId="0" fillId="0" borderId="21" xfId="0" applyNumberFormat="1" applyFont="1" applyFill="1" applyBorder="1" applyAlignment="1">
      <alignment horizontal="center" vertical="center"/>
    </xf>
    <xf numFmtId="0" fontId="7" fillId="0" borderId="21" xfId="0" applyNumberFormat="1" applyFont="1" applyFill="1" applyBorder="1" applyAlignment="1">
      <alignment horizontal="center" vertical="center"/>
    </xf>
    <xf numFmtId="0" fontId="0" fillId="0" borderId="21" xfId="0" applyNumberFormat="1" applyFont="1" applyFill="1" applyBorder="1" applyAlignment="1">
      <alignment horizontal="center"/>
    </xf>
    <xf numFmtId="0" fontId="14" fillId="0" borderId="0" xfId="1" applyFont="1"/>
    <xf numFmtId="0" fontId="15" fillId="0" borderId="0" xfId="1" applyFont="1"/>
    <xf numFmtId="0" fontId="15" fillId="0" borderId="0" xfId="1" applyFont="1" applyFill="1"/>
    <xf numFmtId="0" fontId="16" fillId="0" borderId="0" xfId="1" applyFont="1"/>
    <xf numFmtId="0" fontId="16" fillId="0" borderId="0" xfId="1" applyFont="1" applyProtection="1">
      <protection locked="0"/>
    </xf>
    <xf numFmtId="0" fontId="16" fillId="0" borderId="0" xfId="1" applyFont="1" applyFill="1"/>
    <xf numFmtId="0" fontId="16" fillId="0" borderId="0" xfId="1" applyFont="1" applyAlignment="1">
      <alignment horizontal="center"/>
    </xf>
    <xf numFmtId="0" fontId="17" fillId="0" borderId="52" xfId="1" applyFont="1" applyBorder="1" applyAlignment="1">
      <alignment horizontal="center"/>
    </xf>
    <xf numFmtId="0" fontId="15" fillId="0" borderId="0" xfId="1" applyFont="1" applyAlignment="1">
      <alignment horizontal="center"/>
    </xf>
    <xf numFmtId="0" fontId="17" fillId="0" borderId="0" xfId="1" applyFont="1" applyBorder="1" applyAlignment="1">
      <alignment horizontal="center"/>
    </xf>
    <xf numFmtId="0" fontId="17" fillId="0" borderId="53" xfId="1" applyFont="1" applyBorder="1" applyAlignment="1">
      <alignment horizontal="center"/>
    </xf>
    <xf numFmtId="0" fontId="17" fillId="0" borderId="50" xfId="1" applyFont="1" applyBorder="1" applyAlignment="1">
      <alignment horizontal="center"/>
    </xf>
    <xf numFmtId="0" fontId="17" fillId="0" borderId="54" xfId="1" applyFont="1" applyBorder="1" applyAlignment="1">
      <alignment horizontal="center"/>
    </xf>
    <xf numFmtId="0" fontId="17" fillId="0" borderId="19" xfId="1" applyFont="1" applyBorder="1" applyAlignment="1">
      <alignment horizontal="center"/>
    </xf>
    <xf numFmtId="0" fontId="18" fillId="0" borderId="0" xfId="1" applyFont="1" applyAlignment="1">
      <alignment horizontal="right"/>
    </xf>
    <xf numFmtId="9" fontId="15" fillId="0" borderId="0" xfId="2" applyFont="1"/>
    <xf numFmtId="9" fontId="15" fillId="0" borderId="0" xfId="2" applyFont="1" applyAlignment="1">
      <alignment horizontal="center"/>
    </xf>
    <xf numFmtId="0" fontId="15" fillId="0" borderId="53" xfId="1" applyFont="1" applyBorder="1"/>
    <xf numFmtId="0" fontId="15" fillId="0" borderId="53" xfId="1" applyFont="1" applyBorder="1" applyAlignment="1">
      <alignment horizontal="center"/>
    </xf>
    <xf numFmtId="0" fontId="15" fillId="0" borderId="0" xfId="1" applyFont="1" applyBorder="1"/>
    <xf numFmtId="0" fontId="15" fillId="0" borderId="0" xfId="1" applyFont="1" applyBorder="1" applyAlignment="1">
      <alignment horizontal="center"/>
    </xf>
    <xf numFmtId="0" fontId="15" fillId="0" borderId="19" xfId="1" applyFont="1" applyBorder="1"/>
    <xf numFmtId="0" fontId="15" fillId="0" borderId="19" xfId="1" applyFont="1" applyBorder="1" applyAlignment="1">
      <alignment horizontal="center"/>
    </xf>
    <xf numFmtId="0" fontId="14" fillId="5" borderId="0" xfId="1" applyFont="1" applyFill="1" applyAlignment="1">
      <alignment horizontal="left" vertical="top"/>
    </xf>
    <xf numFmtId="0" fontId="13" fillId="5" borderId="0" xfId="1" applyFill="1"/>
    <xf numFmtId="0" fontId="20" fillId="6" borderId="0" xfId="1" applyFont="1" applyFill="1" applyAlignment="1">
      <alignment horizontal="left" vertical="top"/>
    </xf>
    <xf numFmtId="0" fontId="20" fillId="6" borderId="0" xfId="1" applyFont="1" applyFill="1"/>
    <xf numFmtId="0" fontId="17" fillId="6" borderId="0" xfId="1" applyFont="1" applyFill="1" applyAlignment="1">
      <alignment horizontal="left" vertical="top"/>
    </xf>
    <xf numFmtId="0" fontId="17" fillId="6" borderId="0" xfId="1" applyFont="1" applyFill="1"/>
    <xf numFmtId="0" fontId="17" fillId="6" borderId="0" xfId="1" applyNumberFormat="1" applyFont="1" applyFill="1" applyAlignment="1">
      <alignment horizontal="left" vertical="top" wrapText="1"/>
    </xf>
    <xf numFmtId="0" fontId="21" fillId="6" borderId="0" xfId="1" applyFont="1" applyFill="1" applyAlignment="1">
      <alignment horizontal="left" vertical="top"/>
    </xf>
    <xf numFmtId="0" fontId="21" fillId="6" borderId="0" xfId="1" applyFont="1" applyFill="1" applyAlignment="1">
      <alignment horizontal="left" vertical="top" wrapText="1"/>
    </xf>
    <xf numFmtId="0" fontId="21" fillId="6" borderId="0" xfId="1" applyFont="1" applyFill="1"/>
    <xf numFmtId="0" fontId="4" fillId="7" borderId="2" xfId="0" applyNumberFormat="1" applyFont="1" applyFill="1" applyBorder="1" applyAlignment="1">
      <alignment horizontal="center" vertical="center" wrapText="1"/>
    </xf>
    <xf numFmtId="0" fontId="2" fillId="8" borderId="2" xfId="0" applyNumberFormat="1" applyFont="1" applyFill="1" applyBorder="1" applyAlignment="1">
      <alignment horizontal="center" wrapText="1"/>
    </xf>
    <xf numFmtId="0" fontId="2" fillId="8" borderId="2" xfId="0" applyNumberFormat="1" applyFont="1" applyFill="1" applyBorder="1" applyAlignment="1">
      <alignment horizontal="center"/>
    </xf>
    <xf numFmtId="0" fontId="2" fillId="8" borderId="8" xfId="0" applyNumberFormat="1" applyFont="1" applyFill="1" applyBorder="1" applyAlignment="1">
      <alignment horizontal="center" wrapText="1"/>
    </xf>
    <xf numFmtId="0" fontId="2" fillId="8" borderId="2" xfId="0" applyNumberFormat="1" applyFont="1" applyFill="1" applyBorder="1" applyAlignment="1">
      <alignment horizontal="left" vertical="center" wrapText="1"/>
    </xf>
    <xf numFmtId="0" fontId="4" fillId="9" borderId="2" xfId="0" applyNumberFormat="1" applyFont="1" applyFill="1" applyBorder="1" applyAlignment="1">
      <alignment horizontal="center" vertical="center" wrapText="1"/>
    </xf>
    <xf numFmtId="0" fontId="2" fillId="10" borderId="2" xfId="0" applyNumberFormat="1" applyFont="1" applyFill="1" applyBorder="1" applyAlignment="1">
      <alignment horizontal="center" wrapText="1"/>
    </xf>
    <xf numFmtId="0" fontId="2" fillId="10" borderId="2" xfId="0" applyNumberFormat="1" applyFont="1" applyFill="1" applyBorder="1" applyAlignment="1">
      <alignment horizontal="center"/>
    </xf>
    <xf numFmtId="0" fontId="2" fillId="10" borderId="8" xfId="0" applyNumberFormat="1" applyFont="1" applyFill="1" applyBorder="1" applyAlignment="1">
      <alignment horizontal="center" wrapText="1"/>
    </xf>
    <xf numFmtId="0" fontId="2" fillId="10" borderId="2" xfId="0" applyNumberFormat="1" applyFont="1" applyFill="1" applyBorder="1" applyAlignment="1">
      <alignment vertical="center" wrapText="1"/>
    </xf>
    <xf numFmtId="0" fontId="4" fillId="11" borderId="2" xfId="0" applyNumberFormat="1" applyFont="1" applyFill="1" applyBorder="1" applyAlignment="1">
      <alignment horizontal="center" vertical="center" wrapText="1"/>
    </xf>
    <xf numFmtId="0" fontId="2" fillId="12" borderId="2" xfId="0" applyNumberFormat="1" applyFont="1" applyFill="1" applyBorder="1" applyAlignment="1">
      <alignment horizontal="center" wrapText="1"/>
    </xf>
    <xf numFmtId="0" fontId="2" fillId="12" borderId="2" xfId="0" applyNumberFormat="1" applyFont="1" applyFill="1" applyBorder="1" applyAlignment="1">
      <alignment horizontal="center"/>
    </xf>
    <xf numFmtId="0" fontId="2" fillId="12" borderId="8" xfId="0" applyNumberFormat="1" applyFont="1" applyFill="1" applyBorder="1" applyAlignment="1">
      <alignment horizontal="center" wrapText="1"/>
    </xf>
    <xf numFmtId="0" fontId="2" fillId="12" borderId="2" xfId="0" applyNumberFormat="1" applyFont="1" applyFill="1" applyBorder="1" applyAlignment="1">
      <alignment horizontal="left" vertical="center" wrapText="1"/>
    </xf>
    <xf numFmtId="0" fontId="4" fillId="13" borderId="2" xfId="0" applyNumberFormat="1" applyFont="1" applyFill="1" applyBorder="1" applyAlignment="1">
      <alignment horizontal="center" vertical="center" wrapText="1"/>
    </xf>
    <xf numFmtId="0" fontId="2" fillId="14" borderId="2" xfId="0" applyNumberFormat="1" applyFont="1" applyFill="1" applyBorder="1" applyAlignment="1">
      <alignment horizontal="center" wrapText="1"/>
    </xf>
    <xf numFmtId="0" fontId="2" fillId="14" borderId="2" xfId="0" applyNumberFormat="1" applyFont="1" applyFill="1" applyBorder="1" applyAlignment="1">
      <alignment horizontal="center"/>
    </xf>
    <xf numFmtId="0" fontId="2" fillId="14" borderId="8" xfId="0" applyNumberFormat="1" applyFont="1" applyFill="1" applyBorder="1" applyAlignment="1">
      <alignment horizontal="center" wrapText="1"/>
    </xf>
    <xf numFmtId="0" fontId="2" fillId="14" borderId="2" xfId="0" applyNumberFormat="1" applyFont="1" applyFill="1" applyBorder="1" applyAlignment="1">
      <alignment vertical="center" wrapText="1"/>
    </xf>
    <xf numFmtId="0" fontId="23" fillId="0" borderId="54" xfId="1" applyFont="1" applyBorder="1"/>
    <xf numFmtId="0" fontId="23" fillId="0" borderId="0" xfId="1" applyFont="1" applyBorder="1"/>
    <xf numFmtId="0" fontId="23" fillId="0" borderId="19" xfId="1" applyFont="1" applyBorder="1"/>
    <xf numFmtId="0" fontId="24" fillId="0" borderId="54" xfId="1" applyFont="1" applyBorder="1"/>
    <xf numFmtId="0" fontId="24" fillId="0" borderId="0" xfId="1" applyFont="1" applyBorder="1"/>
    <xf numFmtId="0" fontId="24" fillId="0" borderId="50" xfId="1" applyFont="1" applyBorder="1"/>
    <xf numFmtId="0" fontId="25" fillId="0" borderId="54" xfId="1" applyFont="1" applyBorder="1"/>
    <xf numFmtId="0" fontId="25" fillId="0" borderId="0" xfId="1" applyFont="1" applyBorder="1"/>
    <xf numFmtId="0" fontId="25" fillId="0" borderId="50" xfId="1" applyFont="1" applyBorder="1"/>
    <xf numFmtId="0" fontId="26" fillId="0" borderId="53" xfId="1" applyFont="1" applyBorder="1"/>
    <xf numFmtId="0" fontId="26" fillId="0" borderId="0" xfId="1" applyFont="1" applyBorder="1"/>
    <xf numFmtId="0" fontId="26" fillId="0" borderId="50" xfId="1" applyFont="1" applyBorder="1"/>
    <xf numFmtId="0" fontId="27" fillId="0" borderId="52" xfId="1" applyFont="1" applyBorder="1"/>
    <xf numFmtId="0" fontId="27" fillId="0" borderId="52" xfId="1" applyFont="1" applyBorder="1" applyAlignment="1">
      <alignment horizontal="center"/>
    </xf>
    <xf numFmtId="0" fontId="21" fillId="0" borderId="52" xfId="1" applyFont="1" applyBorder="1" applyAlignment="1">
      <alignment horizontal="center"/>
    </xf>
    <xf numFmtId="2" fontId="2" fillId="0" borderId="2" xfId="0" applyNumberFormat="1" applyFont="1" applyFill="1" applyBorder="1" applyAlignment="1">
      <alignment horizontal="center" vertical="center" wrapText="1"/>
    </xf>
    <xf numFmtId="164" fontId="1" fillId="0" borderId="4" xfId="0" applyNumberFormat="1" applyFont="1" applyFill="1" applyBorder="1" applyAlignment="1">
      <alignment horizontal="center"/>
    </xf>
    <xf numFmtId="164" fontId="1" fillId="0" borderId="6" xfId="0" applyNumberFormat="1" applyFont="1" applyFill="1" applyBorder="1" applyAlignment="1">
      <alignment horizontal="center" wrapText="1"/>
    </xf>
    <xf numFmtId="2" fontId="1" fillId="0" borderId="55" xfId="0" applyNumberFormat="1" applyFont="1" applyFill="1" applyBorder="1" applyAlignment="1">
      <alignment horizontal="center" wrapText="1"/>
    </xf>
    <xf numFmtId="2" fontId="1" fillId="0" borderId="56" xfId="0" applyNumberFormat="1" applyFont="1" applyFill="1" applyBorder="1" applyAlignment="1">
      <alignment horizontal="center" wrapText="1"/>
    </xf>
    <xf numFmtId="2" fontId="1" fillId="0" borderId="57" xfId="0" applyNumberFormat="1" applyFont="1" applyFill="1" applyBorder="1" applyAlignment="1">
      <alignment horizontal="center" wrapText="1"/>
    </xf>
    <xf numFmtId="0" fontId="0" fillId="10" borderId="0" xfId="0" applyNumberFormat="1" applyFont="1" applyFill="1" applyBorder="1" applyAlignment="1">
      <alignment horizontal="center"/>
    </xf>
    <xf numFmtId="0" fontId="0" fillId="8" borderId="0" xfId="0" applyNumberFormat="1" applyFont="1" applyFill="1" applyBorder="1" applyAlignment="1">
      <alignment horizontal="center"/>
    </xf>
    <xf numFmtId="0" fontId="0" fillId="12" borderId="0" xfId="0" applyNumberFormat="1" applyFont="1" applyFill="1" applyBorder="1" applyAlignment="1">
      <alignment horizontal="center"/>
    </xf>
    <xf numFmtId="0" fontId="0" fillId="14" borderId="0" xfId="0" applyNumberFormat="1" applyFont="1" applyFill="1" applyBorder="1" applyAlignment="1">
      <alignment horizontal="center"/>
    </xf>
    <xf numFmtId="0" fontId="0" fillId="0" borderId="0" xfId="0" applyNumberFormat="1" applyFont="1" applyFill="1" applyBorder="1" applyAlignment="1">
      <alignment horizontal="center" vertical="center"/>
    </xf>
    <xf numFmtId="0" fontId="0" fillId="8" borderId="0" xfId="0" applyNumberFormat="1" applyFont="1" applyFill="1" applyBorder="1" applyAlignment="1">
      <alignment horizontal="center" vertical="center"/>
    </xf>
    <xf numFmtId="164" fontId="1" fillId="0" borderId="0" xfId="0" applyNumberFormat="1" applyFont="1" applyFill="1" applyBorder="1" applyAlignment="1">
      <alignment horizontal="center" wrapText="1"/>
    </xf>
    <xf numFmtId="164" fontId="2" fillId="8" borderId="2" xfId="0" applyNumberFormat="1" applyFont="1" applyFill="1" applyBorder="1" applyAlignment="1">
      <alignment horizontal="center" wrapText="1"/>
    </xf>
    <xf numFmtId="164" fontId="1" fillId="3" borderId="44" xfId="0" applyNumberFormat="1" applyFont="1" applyFill="1" applyBorder="1" applyAlignment="1">
      <alignment horizontal="center" wrapText="1"/>
    </xf>
    <xf numFmtId="164" fontId="1" fillId="3" borderId="38" xfId="0" applyNumberFormat="1" applyFont="1" applyFill="1" applyBorder="1" applyAlignment="1">
      <alignment horizontal="center" wrapText="1"/>
    </xf>
    <xf numFmtId="164" fontId="2" fillId="8" borderId="8" xfId="0" applyNumberFormat="1" applyFont="1" applyFill="1" applyBorder="1" applyAlignment="1">
      <alignment horizontal="center" wrapText="1"/>
    </xf>
    <xf numFmtId="164" fontId="1" fillId="0" borderId="21" xfId="0" applyNumberFormat="1" applyFont="1" applyFill="1" applyBorder="1" applyAlignment="1">
      <alignment horizontal="center" wrapText="1"/>
    </xf>
    <xf numFmtId="164" fontId="2" fillId="10" borderId="2" xfId="0" applyNumberFormat="1" applyFont="1" applyFill="1" applyBorder="1" applyAlignment="1">
      <alignment horizontal="center" wrapText="1"/>
    </xf>
    <xf numFmtId="164" fontId="2" fillId="10" borderId="8" xfId="0" applyNumberFormat="1" applyFont="1" applyFill="1" applyBorder="1" applyAlignment="1">
      <alignment horizontal="center" wrapText="1"/>
    </xf>
    <xf numFmtId="164" fontId="2" fillId="12" borderId="2" xfId="0" applyNumberFormat="1" applyFont="1" applyFill="1" applyBorder="1" applyAlignment="1">
      <alignment horizontal="center" wrapText="1"/>
    </xf>
    <xf numFmtId="164" fontId="2" fillId="12" borderId="8" xfId="0" applyNumberFormat="1" applyFont="1" applyFill="1" applyBorder="1" applyAlignment="1">
      <alignment horizontal="center" wrapText="1"/>
    </xf>
    <xf numFmtId="164" fontId="2" fillId="14" borderId="2" xfId="0" applyNumberFormat="1" applyFont="1" applyFill="1" applyBorder="1" applyAlignment="1">
      <alignment horizontal="center" wrapText="1"/>
    </xf>
    <xf numFmtId="164" fontId="2" fillId="14" borderId="8" xfId="0" applyNumberFormat="1" applyFont="1" applyFill="1" applyBorder="1" applyAlignment="1">
      <alignment horizontal="center" wrapText="1"/>
    </xf>
    <xf numFmtId="164" fontId="0" fillId="0" borderId="0" xfId="0" applyNumberFormat="1" applyFont="1" applyFill="1" applyBorder="1" applyAlignment="1">
      <alignment horizontal="center"/>
    </xf>
    <xf numFmtId="2" fontId="15" fillId="0" borderId="0" xfId="1" applyNumberFormat="1" applyFont="1" applyAlignment="1">
      <alignment horizontal="center"/>
    </xf>
    <xf numFmtId="2" fontId="15" fillId="0" borderId="0" xfId="1" applyNumberFormat="1" applyFont="1"/>
    <xf numFmtId="0" fontId="1" fillId="0" borderId="0" xfId="0" applyNumberFormat="1" applyFont="1" applyFill="1" applyBorder="1" applyAlignment="1">
      <alignment wrapText="1"/>
    </xf>
    <xf numFmtId="0" fontId="2" fillId="2" borderId="8" xfId="0" applyNumberFormat="1" applyFont="1" applyFill="1" applyBorder="1" applyAlignment="1">
      <alignment horizontal="center" vertical="center" wrapText="1"/>
    </xf>
    <xf numFmtId="0" fontId="1" fillId="0" borderId="0" xfId="0" applyNumberFormat="1" applyFont="1" applyFill="1" applyBorder="1" applyAlignment="1">
      <alignment wrapText="1"/>
    </xf>
    <xf numFmtId="0" fontId="2" fillId="0" borderId="0" xfId="0" applyNumberFormat="1" applyFont="1" applyFill="1" applyBorder="1" applyAlignment="1">
      <alignment horizontal="right" wrapText="1"/>
    </xf>
    <xf numFmtId="0" fontId="1" fillId="0" borderId="0" xfId="0" applyNumberFormat="1" applyFont="1" applyFill="1" applyBorder="1" applyAlignment="1">
      <alignment horizontal="center" vertical="center" wrapText="1"/>
    </xf>
    <xf numFmtId="164" fontId="1" fillId="0" borderId="6" xfId="0" applyNumberFormat="1" applyFont="1" applyFill="1" applyBorder="1" applyAlignment="1">
      <alignment horizontal="center"/>
    </xf>
    <xf numFmtId="0" fontId="2" fillId="8" borderId="60" xfId="0" applyNumberFormat="1" applyFont="1" applyFill="1" applyBorder="1" applyAlignment="1">
      <alignment horizontal="center" wrapText="1"/>
    </xf>
    <xf numFmtId="0" fontId="2" fillId="8" borderId="61" xfId="0" applyNumberFormat="1" applyFont="1" applyFill="1" applyBorder="1" applyAlignment="1">
      <alignment horizontal="center" wrapText="1"/>
    </xf>
    <xf numFmtId="164" fontId="2" fillId="8" borderId="62" xfId="0" applyNumberFormat="1" applyFont="1" applyFill="1" applyBorder="1" applyAlignment="1">
      <alignment horizontal="center" wrapText="1"/>
    </xf>
    <xf numFmtId="0" fontId="2" fillId="10" borderId="61" xfId="0" applyNumberFormat="1" applyFont="1" applyFill="1" applyBorder="1" applyAlignment="1">
      <alignment horizontal="center" wrapText="1"/>
    </xf>
    <xf numFmtId="164" fontId="2" fillId="10" borderId="62" xfId="0" applyNumberFormat="1" applyFont="1" applyFill="1" applyBorder="1" applyAlignment="1">
      <alignment horizontal="center" wrapText="1"/>
    </xf>
    <xf numFmtId="0" fontId="2" fillId="12" borderId="61" xfId="0" applyNumberFormat="1" applyFont="1" applyFill="1" applyBorder="1" applyAlignment="1">
      <alignment horizontal="center" wrapText="1"/>
    </xf>
    <xf numFmtId="164" fontId="2" fillId="12" borderId="62" xfId="0" applyNumberFormat="1" applyFont="1" applyFill="1" applyBorder="1" applyAlignment="1">
      <alignment horizontal="center" wrapText="1"/>
    </xf>
    <xf numFmtId="0" fontId="2" fillId="14" borderId="61" xfId="0" applyNumberFormat="1" applyFont="1" applyFill="1" applyBorder="1" applyAlignment="1">
      <alignment horizontal="center" wrapText="1"/>
    </xf>
    <xf numFmtId="164" fontId="2" fillId="14" borderId="62" xfId="0" applyNumberFormat="1" applyFont="1" applyFill="1" applyBorder="1" applyAlignment="1">
      <alignment horizontal="center" wrapText="1"/>
    </xf>
    <xf numFmtId="0" fontId="1" fillId="0" borderId="37" xfId="0" applyNumberFormat="1" applyFont="1" applyFill="1" applyBorder="1" applyAlignment="1">
      <alignment horizontal="center"/>
    </xf>
    <xf numFmtId="164" fontId="1" fillId="0" borderId="37" xfId="0" applyNumberFormat="1" applyFont="1" applyFill="1" applyBorder="1" applyAlignment="1">
      <alignment horizontal="center" wrapText="1"/>
    </xf>
    <xf numFmtId="0" fontId="1" fillId="0" borderId="43" xfId="0" applyNumberFormat="1" applyFont="1" applyFill="1" applyBorder="1" applyAlignment="1">
      <alignment horizontal="center"/>
    </xf>
    <xf numFmtId="0" fontId="2" fillId="3" borderId="4" xfId="0" applyNumberFormat="1" applyFont="1" applyFill="1" applyBorder="1" applyAlignment="1">
      <alignment horizontal="center" wrapText="1"/>
    </xf>
    <xf numFmtId="0" fontId="1" fillId="0" borderId="61" xfId="0" applyNumberFormat="1" applyFont="1" applyFill="1" applyBorder="1" applyAlignment="1">
      <alignment horizontal="center"/>
    </xf>
    <xf numFmtId="164" fontId="1" fillId="0" borderId="61" xfId="0" applyNumberFormat="1" applyFont="1" applyFill="1" applyBorder="1" applyAlignment="1">
      <alignment horizontal="center"/>
    </xf>
    <xf numFmtId="164" fontId="1" fillId="0" borderId="61" xfId="0" applyNumberFormat="1" applyFont="1" applyFill="1" applyBorder="1" applyAlignment="1">
      <alignment horizontal="center" wrapText="1"/>
    </xf>
    <xf numFmtId="0" fontId="1" fillId="0" borderId="64" xfId="0" applyNumberFormat="1" applyFont="1" applyFill="1" applyBorder="1" applyAlignment="1">
      <alignment horizontal="center"/>
    </xf>
    <xf numFmtId="164" fontId="1" fillId="0" borderId="64" xfId="0" applyNumberFormat="1" applyFont="1" applyFill="1" applyBorder="1" applyAlignment="1">
      <alignment horizontal="center"/>
    </xf>
    <xf numFmtId="0" fontId="1" fillId="0" borderId="7" xfId="0" applyNumberFormat="1" applyFont="1" applyFill="1" applyBorder="1" applyAlignment="1">
      <alignment horizontal="center"/>
    </xf>
    <xf numFmtId="0" fontId="2" fillId="3" borderId="38" xfId="0" applyNumberFormat="1" applyFont="1" applyFill="1" applyBorder="1" applyAlignment="1">
      <alignment horizontal="center" wrapText="1"/>
    </xf>
    <xf numFmtId="0" fontId="2" fillId="3" borderId="44" xfId="0" applyNumberFormat="1" applyFont="1" applyFill="1" applyBorder="1" applyAlignment="1">
      <alignment horizontal="center" wrapText="1"/>
    </xf>
    <xf numFmtId="0" fontId="2" fillId="3" borderId="65" xfId="0" applyNumberFormat="1" applyFont="1" applyFill="1" applyBorder="1" applyAlignment="1">
      <alignment horizontal="center" wrapText="1"/>
    </xf>
    <xf numFmtId="0" fontId="2" fillId="3" borderId="51" xfId="0" applyNumberFormat="1" applyFont="1" applyFill="1" applyBorder="1" applyAlignment="1">
      <alignment horizontal="center" wrapText="1"/>
    </xf>
    <xf numFmtId="164" fontId="1" fillId="0" borderId="3" xfId="0" applyNumberFormat="1" applyFont="1" applyFill="1" applyBorder="1" applyAlignment="1">
      <alignment horizontal="center" wrapText="1"/>
    </xf>
    <xf numFmtId="0" fontId="1" fillId="4" borderId="46" xfId="0" applyNumberFormat="1" applyFont="1" applyFill="1" applyBorder="1" applyAlignment="1">
      <alignment horizontal="center" vertical="center" wrapText="1"/>
    </xf>
    <xf numFmtId="0" fontId="1" fillId="8" borderId="46" xfId="0" applyNumberFormat="1" applyFont="1" applyFill="1" applyBorder="1" applyAlignment="1">
      <alignment vertical="center" wrapText="1"/>
    </xf>
    <xf numFmtId="0" fontId="1" fillId="4" borderId="46" xfId="0" applyNumberFormat="1" applyFont="1" applyFill="1" applyBorder="1" applyAlignment="1">
      <alignment vertical="center" wrapText="1"/>
    </xf>
    <xf numFmtId="0" fontId="1" fillId="0" borderId="36" xfId="0" applyNumberFormat="1" applyFont="1" applyFill="1" applyBorder="1" applyAlignment="1">
      <alignment horizontal="center"/>
    </xf>
    <xf numFmtId="0" fontId="2" fillId="10" borderId="14" xfId="0" applyNumberFormat="1" applyFont="1" applyFill="1" applyBorder="1" applyAlignment="1">
      <alignment horizontal="center"/>
    </xf>
    <xf numFmtId="0" fontId="2" fillId="12" borderId="14" xfId="0" applyNumberFormat="1" applyFont="1" applyFill="1" applyBorder="1" applyAlignment="1">
      <alignment horizontal="center"/>
    </xf>
    <xf numFmtId="0" fontId="2" fillId="14" borderId="14" xfId="0" applyNumberFormat="1" applyFont="1" applyFill="1" applyBorder="1" applyAlignment="1">
      <alignment horizontal="center"/>
    </xf>
    <xf numFmtId="0" fontId="2" fillId="8" borderId="77" xfId="0" applyNumberFormat="1" applyFont="1" applyFill="1" applyBorder="1" applyAlignment="1">
      <alignment horizontal="center" wrapText="1"/>
    </xf>
    <xf numFmtId="0" fontId="2" fillId="8" borderId="78" xfId="0" applyNumberFormat="1" applyFont="1" applyFill="1" applyBorder="1" applyAlignment="1">
      <alignment horizontal="center"/>
    </xf>
    <xf numFmtId="0" fontId="2" fillId="0" borderId="79" xfId="0" applyNumberFormat="1" applyFont="1" applyFill="1" applyBorder="1" applyAlignment="1">
      <alignment horizontal="center" wrapText="1"/>
    </xf>
    <xf numFmtId="0" fontId="2" fillId="0" borderId="81" xfId="0" applyNumberFormat="1" applyFont="1" applyFill="1" applyBorder="1" applyAlignment="1">
      <alignment horizontal="center" wrapText="1"/>
    </xf>
    <xf numFmtId="0" fontId="1" fillId="4" borderId="68" xfId="0" applyNumberFormat="1" applyFont="1" applyFill="1" applyBorder="1" applyAlignment="1">
      <alignment horizontal="center" vertical="center" wrapText="1"/>
    </xf>
    <xf numFmtId="0" fontId="1" fillId="4" borderId="83" xfId="0" applyNumberFormat="1" applyFont="1" applyFill="1" applyBorder="1" applyAlignment="1">
      <alignment vertical="center" wrapText="1"/>
    </xf>
    <xf numFmtId="0" fontId="1" fillId="0" borderId="17" xfId="0" applyNumberFormat="1" applyFont="1" applyFill="1" applyBorder="1" applyAlignment="1">
      <alignment horizontal="center" vertical="center" wrapText="1"/>
    </xf>
    <xf numFmtId="0" fontId="2" fillId="8" borderId="25" xfId="0" applyNumberFormat="1" applyFont="1" applyFill="1" applyBorder="1" applyAlignment="1">
      <alignment horizontal="center" wrapText="1"/>
    </xf>
    <xf numFmtId="0" fontId="2" fillId="8" borderId="34" xfId="0" applyNumberFormat="1" applyFont="1" applyFill="1" applyBorder="1" applyAlignment="1">
      <alignment horizontal="center"/>
    </xf>
    <xf numFmtId="0" fontId="1" fillId="4" borderId="83" xfId="0" applyNumberFormat="1" applyFont="1" applyFill="1" applyBorder="1" applyAlignment="1">
      <alignment horizontal="center" vertical="center" wrapText="1"/>
    </xf>
    <xf numFmtId="0" fontId="2" fillId="10" borderId="77" xfId="0" applyNumberFormat="1" applyFont="1" applyFill="1" applyBorder="1" applyAlignment="1">
      <alignment horizontal="center" wrapText="1"/>
    </xf>
    <xf numFmtId="0" fontId="2" fillId="10" borderId="78" xfId="0" applyNumberFormat="1" applyFont="1" applyFill="1" applyBorder="1" applyAlignment="1">
      <alignment horizontal="center"/>
    </xf>
    <xf numFmtId="0" fontId="2" fillId="10" borderId="87" xfId="0" applyNumberFormat="1" applyFont="1" applyFill="1" applyBorder="1" applyAlignment="1">
      <alignment horizontal="center" wrapText="1"/>
    </xf>
    <xf numFmtId="0" fontId="2" fillId="12" borderId="77" xfId="0" applyNumberFormat="1" applyFont="1" applyFill="1" applyBorder="1" applyAlignment="1">
      <alignment horizontal="center" wrapText="1"/>
    </xf>
    <xf numFmtId="0" fontId="2" fillId="12" borderId="78" xfId="0" applyNumberFormat="1" applyFont="1" applyFill="1" applyBorder="1" applyAlignment="1">
      <alignment horizontal="center"/>
    </xf>
    <xf numFmtId="0" fontId="2" fillId="12" borderId="87" xfId="0" applyNumberFormat="1" applyFont="1" applyFill="1" applyBorder="1" applyAlignment="1">
      <alignment horizontal="center" wrapText="1"/>
    </xf>
    <xf numFmtId="0" fontId="2" fillId="14" borderId="77" xfId="0" applyNumberFormat="1" applyFont="1" applyFill="1" applyBorder="1" applyAlignment="1">
      <alignment horizontal="center" wrapText="1"/>
    </xf>
    <xf numFmtId="0" fontId="2" fillId="14" borderId="78" xfId="0" applyNumberFormat="1" applyFont="1" applyFill="1" applyBorder="1" applyAlignment="1">
      <alignment horizontal="center"/>
    </xf>
    <xf numFmtId="0" fontId="2" fillId="14" borderId="87" xfId="0" applyNumberFormat="1" applyFont="1" applyFill="1" applyBorder="1" applyAlignment="1">
      <alignment horizontal="center" wrapText="1"/>
    </xf>
    <xf numFmtId="0" fontId="2" fillId="0" borderId="88" xfId="0" applyNumberFormat="1" applyFont="1" applyFill="1" applyBorder="1" applyAlignment="1">
      <alignment horizontal="center" wrapText="1"/>
    </xf>
    <xf numFmtId="0" fontId="2" fillId="0" borderId="89" xfId="0" applyNumberFormat="1" applyFont="1" applyFill="1" applyBorder="1" applyAlignment="1">
      <alignment horizontal="center" wrapText="1"/>
    </xf>
    <xf numFmtId="0" fontId="1" fillId="0" borderId="90" xfId="0" applyNumberFormat="1" applyFont="1" applyFill="1" applyBorder="1" applyAlignment="1">
      <alignment horizontal="center"/>
    </xf>
    <xf numFmtId="164" fontId="1" fillId="0" borderId="91" xfId="0" applyNumberFormat="1" applyFont="1" applyFill="1" applyBorder="1" applyAlignment="1">
      <alignment horizontal="center" wrapText="1"/>
    </xf>
    <xf numFmtId="0" fontId="1" fillId="0" borderId="20" xfId="0" applyNumberFormat="1" applyFont="1" applyFill="1" applyBorder="1" applyAlignment="1">
      <alignment horizontal="center" vertical="center" wrapText="1"/>
    </xf>
    <xf numFmtId="0" fontId="2" fillId="8" borderId="93" xfId="0" applyNumberFormat="1" applyFont="1" applyFill="1" applyBorder="1" applyAlignment="1">
      <alignment horizontal="center" wrapText="1"/>
    </xf>
    <xf numFmtId="164" fontId="2" fillId="8" borderId="94" xfId="0" applyNumberFormat="1" applyFont="1" applyFill="1" applyBorder="1" applyAlignment="1">
      <alignment horizontal="center" wrapText="1"/>
    </xf>
    <xf numFmtId="164" fontId="1" fillId="0" borderId="63" xfId="0" applyNumberFormat="1" applyFont="1" applyFill="1" applyBorder="1" applyAlignment="1">
      <alignment horizontal="center"/>
    </xf>
    <xf numFmtId="164" fontId="1" fillId="0" borderId="62" xfId="0" applyNumberFormat="1" applyFont="1" applyFill="1" applyBorder="1" applyAlignment="1">
      <alignment horizontal="center" wrapText="1"/>
    </xf>
    <xf numFmtId="164" fontId="1" fillId="0" borderId="40" xfId="0" applyNumberFormat="1" applyFont="1" applyFill="1" applyBorder="1" applyAlignment="1">
      <alignment horizontal="center" wrapText="1"/>
    </xf>
    <xf numFmtId="164" fontId="1" fillId="0" borderId="62" xfId="0" applyNumberFormat="1" applyFont="1" applyFill="1" applyBorder="1" applyAlignment="1">
      <alignment horizontal="center"/>
    </xf>
    <xf numFmtId="164" fontId="1" fillId="0" borderId="40" xfId="0" applyNumberFormat="1" applyFont="1" applyFill="1" applyBorder="1" applyAlignment="1">
      <alignment horizontal="center"/>
    </xf>
    <xf numFmtId="164" fontId="1" fillId="0" borderId="44" xfId="0" applyNumberFormat="1" applyFont="1" applyFill="1" applyBorder="1" applyAlignment="1">
      <alignment horizontal="center" wrapText="1"/>
    </xf>
    <xf numFmtId="0" fontId="2" fillId="14" borderId="4" xfId="0" applyNumberFormat="1" applyFont="1" applyFill="1" applyBorder="1" applyAlignment="1">
      <alignment horizontal="center" wrapText="1"/>
    </xf>
    <xf numFmtId="164" fontId="2" fillId="14" borderId="4" xfId="0" applyNumberFormat="1" applyFont="1" applyFill="1" applyBorder="1" applyAlignment="1">
      <alignment horizontal="center" wrapText="1"/>
    </xf>
    <xf numFmtId="164" fontId="1" fillId="0" borderId="38" xfId="0" applyNumberFormat="1" applyFont="1" applyFill="1" applyBorder="1" applyAlignment="1">
      <alignment horizontal="center" wrapText="1"/>
    </xf>
    <xf numFmtId="164" fontId="2" fillId="10" borderId="58" xfId="0" applyNumberFormat="1" applyFont="1" applyFill="1" applyBorder="1" applyAlignment="1">
      <alignment horizontal="center" wrapText="1"/>
    </xf>
    <xf numFmtId="164" fontId="2" fillId="12" borderId="58" xfId="0" applyNumberFormat="1" applyFont="1" applyFill="1" applyBorder="1" applyAlignment="1">
      <alignment horizontal="center" wrapText="1"/>
    </xf>
    <xf numFmtId="0" fontId="2" fillId="8" borderId="35" xfId="0" applyNumberFormat="1" applyFont="1" applyFill="1" applyBorder="1" applyAlignment="1">
      <alignment horizontal="center"/>
    </xf>
    <xf numFmtId="0" fontId="9" fillId="0" borderId="39" xfId="0" applyNumberFormat="1" applyFont="1" applyFill="1" applyBorder="1" applyAlignment="1">
      <alignment horizontal="left" wrapText="1"/>
    </xf>
    <xf numFmtId="0" fontId="2" fillId="8" borderId="95" xfId="0" applyNumberFormat="1" applyFont="1" applyFill="1" applyBorder="1" applyAlignment="1">
      <alignment horizontal="center"/>
    </xf>
    <xf numFmtId="0" fontId="9" fillId="0" borderId="41" xfId="0" applyNumberFormat="1" applyFont="1" applyFill="1" applyBorder="1" applyAlignment="1">
      <alignment horizontal="left" wrapText="1"/>
    </xf>
    <xf numFmtId="0" fontId="2" fillId="10" borderId="95" xfId="0" applyNumberFormat="1" applyFont="1" applyFill="1" applyBorder="1" applyAlignment="1">
      <alignment horizontal="center"/>
    </xf>
    <xf numFmtId="0" fontId="2" fillId="12" borderId="95" xfId="0" applyNumberFormat="1" applyFont="1" applyFill="1" applyBorder="1" applyAlignment="1">
      <alignment horizontal="center"/>
    </xf>
    <xf numFmtId="0" fontId="2" fillId="14" borderId="95" xfId="0" applyNumberFormat="1" applyFont="1" applyFill="1" applyBorder="1" applyAlignment="1">
      <alignment horizontal="center"/>
    </xf>
    <xf numFmtId="2" fontId="15" fillId="0" borderId="53" xfId="1" applyNumberFormat="1" applyFont="1" applyBorder="1" applyAlignment="1" applyProtection="1">
      <alignment horizontal="center"/>
      <protection locked="0"/>
    </xf>
    <xf numFmtId="2" fontId="15" fillId="0" borderId="0" xfId="1" applyNumberFormat="1" applyFont="1" applyBorder="1" applyAlignment="1" applyProtection="1">
      <alignment horizontal="center"/>
      <protection locked="0"/>
    </xf>
    <xf numFmtId="2" fontId="15" fillId="0" borderId="50" xfId="1" applyNumberFormat="1" applyFont="1" applyBorder="1" applyAlignment="1" applyProtection="1">
      <alignment horizontal="center"/>
      <protection locked="0"/>
    </xf>
    <xf numFmtId="2" fontId="15" fillId="0" borderId="54" xfId="1" applyNumberFormat="1" applyFont="1" applyBorder="1" applyAlignment="1" applyProtection="1">
      <alignment horizontal="center"/>
      <protection locked="0"/>
    </xf>
    <xf numFmtId="2" fontId="15" fillId="0" borderId="19" xfId="1" applyNumberFormat="1" applyFont="1" applyBorder="1" applyAlignment="1" applyProtection="1">
      <alignment horizontal="center"/>
      <protection locked="0"/>
    </xf>
    <xf numFmtId="0" fontId="22" fillId="6" borderId="0" xfId="0" applyFont="1" applyFill="1" applyAlignment="1" applyProtection="1">
      <alignment horizontal="left" vertical="top"/>
    </xf>
    <xf numFmtId="0" fontId="16" fillId="17" borderId="0" xfId="1" applyFont="1" applyFill="1"/>
    <xf numFmtId="0" fontId="16" fillId="17" borderId="0" xfId="1" applyFont="1" applyFill="1" applyBorder="1"/>
    <xf numFmtId="0" fontId="16" fillId="17" borderId="19" xfId="1" applyFont="1" applyFill="1" applyBorder="1"/>
    <xf numFmtId="0" fontId="15" fillId="17" borderId="0" xfId="1" applyFont="1" applyFill="1" applyAlignment="1">
      <alignment horizontal="center"/>
    </xf>
    <xf numFmtId="0" fontId="15" fillId="17" borderId="0" xfId="1" applyFont="1" applyFill="1"/>
    <xf numFmtId="0" fontId="15" fillId="17" borderId="19" xfId="1" applyFont="1" applyFill="1" applyBorder="1"/>
    <xf numFmtId="0" fontId="0" fillId="0" borderId="0" xfId="0" applyNumberFormat="1" applyFont="1" applyFill="1" applyBorder="1" applyAlignment="1">
      <alignment wrapText="1"/>
    </xf>
    <xf numFmtId="0" fontId="5" fillId="3" borderId="35" xfId="0" applyNumberFormat="1" applyFont="1" applyFill="1" applyBorder="1" applyAlignment="1">
      <alignment horizontal="right" vertical="top" wrapText="1"/>
    </xf>
    <xf numFmtId="0" fontId="1" fillId="0" borderId="0" xfId="0" applyNumberFormat="1" applyFont="1" applyFill="1" applyBorder="1" applyAlignment="1">
      <alignment vertical="top" wrapText="1"/>
    </xf>
    <xf numFmtId="0" fontId="0" fillId="0" borderId="0" xfId="0" applyNumberFormat="1" applyFont="1" applyFill="1" applyBorder="1" applyAlignment="1">
      <alignment vertical="top"/>
    </xf>
    <xf numFmtId="49" fontId="1" fillId="0" borderId="29" xfId="0" applyNumberFormat="1" applyFont="1" applyFill="1" applyBorder="1" applyAlignment="1">
      <alignment vertical="center" wrapText="1"/>
    </xf>
    <xf numFmtId="49" fontId="1" fillId="0" borderId="24" xfId="0" applyNumberFormat="1" applyFont="1" applyFill="1" applyBorder="1" applyAlignment="1">
      <alignment vertical="center" wrapText="1"/>
    </xf>
    <xf numFmtId="49" fontId="1" fillId="0" borderId="26" xfId="0" applyNumberFormat="1" applyFont="1" applyFill="1" applyBorder="1" applyAlignment="1">
      <alignment vertical="center" wrapText="1"/>
    </xf>
    <xf numFmtId="15" fontId="1" fillId="0" borderId="26" xfId="0" applyNumberFormat="1" applyFont="1" applyFill="1" applyBorder="1" applyAlignment="1">
      <alignment horizontal="left" vertical="center" wrapText="1"/>
    </xf>
    <xf numFmtId="0" fontId="16" fillId="0" borderId="0" xfId="1" applyFont="1" applyAlignment="1">
      <alignment horizontal="left"/>
    </xf>
    <xf numFmtId="14" fontId="16" fillId="0" borderId="0" xfId="1" applyNumberFormat="1" applyFont="1" applyAlignment="1" applyProtection="1">
      <alignment horizontal="left"/>
      <protection locked="0"/>
    </xf>
    <xf numFmtId="0" fontId="1" fillId="0" borderId="0" xfId="0" applyNumberFormat="1" applyFont="1" applyFill="1" applyBorder="1" applyAlignment="1">
      <alignment wrapText="1"/>
    </xf>
    <xf numFmtId="0" fontId="2" fillId="8" borderId="12" xfId="0" applyFont="1" applyFill="1" applyBorder="1" applyAlignment="1">
      <alignment horizontal="center" wrapText="1"/>
    </xf>
    <xf numFmtId="0" fontId="2" fillId="12" borderId="9" xfId="0" applyFont="1" applyFill="1" applyBorder="1" applyAlignment="1">
      <alignment horizontal="center" wrapText="1"/>
    </xf>
    <xf numFmtId="0" fontId="2" fillId="12" borderId="12" xfId="0" applyFont="1" applyFill="1" applyBorder="1" applyAlignment="1">
      <alignment horizontal="center" wrapText="1"/>
    </xf>
    <xf numFmtId="0" fontId="2" fillId="10" borderId="9" xfId="0" applyFont="1" applyFill="1" applyBorder="1" applyAlignment="1">
      <alignment horizontal="center" wrapText="1"/>
    </xf>
    <xf numFmtId="0" fontId="2" fillId="10" borderId="12" xfId="0" applyFont="1" applyFill="1" applyBorder="1" applyAlignment="1">
      <alignment horizontal="center" wrapText="1"/>
    </xf>
    <xf numFmtId="0" fontId="2" fillId="8" borderId="9" xfId="0" applyFont="1" applyFill="1" applyBorder="1" applyAlignment="1">
      <alignment horizontal="center" wrapText="1"/>
    </xf>
    <xf numFmtId="0" fontId="2" fillId="14" borderId="9" xfId="0" applyFont="1" applyFill="1" applyBorder="1" applyAlignment="1">
      <alignment horizontal="center" wrapText="1"/>
    </xf>
    <xf numFmtId="0" fontId="2" fillId="14" borderId="12" xfId="0" applyFont="1" applyFill="1" applyBorder="1" applyAlignment="1">
      <alignment horizontal="center" wrapText="1"/>
    </xf>
    <xf numFmtId="0" fontId="1" fillId="0" borderId="0" xfId="0" applyNumberFormat="1" applyFont="1" applyFill="1" applyBorder="1" applyAlignment="1">
      <alignment wrapText="1"/>
    </xf>
    <xf numFmtId="0" fontId="0" fillId="9" borderId="0" xfId="0" applyNumberFormat="1" applyFont="1" applyFill="1" applyBorder="1" applyAlignment="1">
      <alignment horizontal="center"/>
    </xf>
    <xf numFmtId="0" fontId="0" fillId="18" borderId="0" xfId="0" applyNumberFormat="1" applyFont="1" applyFill="1" applyBorder="1" applyAlignment="1">
      <alignment horizontal="center"/>
    </xf>
    <xf numFmtId="0" fontId="0" fillId="0" borderId="0" xfId="0"/>
    <xf numFmtId="0" fontId="7" fillId="0" borderId="0" xfId="0" applyFont="1"/>
    <xf numFmtId="0" fontId="0" fillId="0" borderId="0" xfId="0" applyAlignment="1">
      <alignment wrapText="1"/>
    </xf>
    <xf numFmtId="0" fontId="7" fillId="0" borderId="0" xfId="0" applyNumberFormat="1" applyFont="1" applyFill="1" applyBorder="1" applyAlignment="1">
      <alignment horizontal="center"/>
    </xf>
    <xf numFmtId="15" fontId="1" fillId="0" borderId="0" xfId="0" applyNumberFormat="1" applyFont="1" applyFill="1" applyBorder="1" applyAlignment="1">
      <alignment horizontal="center" wrapText="1"/>
    </xf>
    <xf numFmtId="0" fontId="2" fillId="0" borderId="15" xfId="0" applyFont="1" applyBorder="1" applyAlignment="1">
      <alignment horizontal="center" wrapText="1"/>
    </xf>
    <xf numFmtId="0" fontId="1" fillId="3" borderId="36" xfId="0" applyNumberFormat="1" applyFont="1" applyFill="1" applyBorder="1" applyAlignment="1">
      <alignment horizontal="center" wrapText="1"/>
    </xf>
    <xf numFmtId="0" fontId="2" fillId="0" borderId="7" xfId="0" applyFont="1" applyBorder="1" applyAlignment="1">
      <alignment horizontal="center" wrapText="1"/>
    </xf>
    <xf numFmtId="0" fontId="0" fillId="0" borderId="0" xfId="0" applyNumberFormat="1" applyFont="1" applyFill="1" applyBorder="1" applyAlignment="1">
      <alignment horizontal="center" wrapText="1"/>
    </xf>
    <xf numFmtId="0" fontId="1" fillId="3" borderId="98" xfId="0" applyNumberFormat="1" applyFont="1" applyFill="1" applyBorder="1" applyAlignment="1">
      <alignment wrapText="1"/>
    </xf>
    <xf numFmtId="0" fontId="1" fillId="3" borderId="99" xfId="0" applyNumberFormat="1" applyFont="1" applyFill="1" applyBorder="1" applyAlignment="1">
      <alignment horizontal="center" wrapText="1"/>
    </xf>
    <xf numFmtId="0" fontId="1" fillId="3" borderId="98" xfId="0" applyNumberFormat="1" applyFont="1" applyFill="1" applyBorder="1" applyAlignment="1">
      <alignment horizontal="center" wrapText="1"/>
    </xf>
    <xf numFmtId="164" fontId="1" fillId="3" borderId="100" xfId="0" applyNumberFormat="1" applyFont="1" applyFill="1" applyBorder="1" applyAlignment="1">
      <alignment horizontal="center"/>
    </xf>
    <xf numFmtId="0" fontId="1" fillId="0" borderId="4" xfId="0" applyNumberFormat="1" applyFont="1" applyFill="1" applyBorder="1" applyAlignment="1">
      <alignment horizontal="center"/>
    </xf>
    <xf numFmtId="0" fontId="5" fillId="3" borderId="103" xfId="0" applyNumberFormat="1" applyFont="1" applyFill="1" applyBorder="1" applyAlignment="1">
      <alignment horizontal="right" vertical="top" wrapText="1"/>
    </xf>
    <xf numFmtId="0" fontId="2" fillId="3" borderId="98" xfId="0" applyNumberFormat="1" applyFont="1" applyFill="1" applyBorder="1" applyAlignment="1">
      <alignment horizontal="center" wrapText="1"/>
    </xf>
    <xf numFmtId="164" fontId="1" fillId="3" borderId="100" xfId="0" applyNumberFormat="1" applyFont="1" applyFill="1" applyBorder="1" applyAlignment="1">
      <alignment horizontal="center" wrapText="1"/>
    </xf>
    <xf numFmtId="0" fontId="2" fillId="18" borderId="12" xfId="0" applyFont="1" applyFill="1" applyBorder="1" applyAlignment="1">
      <alignment horizontal="center" wrapText="1"/>
    </xf>
    <xf numFmtId="0" fontId="2" fillId="18" borderId="2" xfId="0" applyNumberFormat="1" applyFont="1" applyFill="1" applyBorder="1" applyAlignment="1">
      <alignment horizontal="center" wrapText="1"/>
    </xf>
    <xf numFmtId="164" fontId="2" fillId="18" borderId="2" xfId="0" applyNumberFormat="1" applyFont="1" applyFill="1" applyBorder="1" applyAlignment="1">
      <alignment horizontal="center" wrapText="1"/>
    </xf>
    <xf numFmtId="0" fontId="2" fillId="18" borderId="2" xfId="0" applyNumberFormat="1" applyFont="1" applyFill="1" applyBorder="1" applyAlignment="1">
      <alignment horizontal="center"/>
    </xf>
    <xf numFmtId="0" fontId="2" fillId="18" borderId="9" xfId="0" applyFont="1" applyFill="1" applyBorder="1" applyAlignment="1">
      <alignment horizontal="center" wrapText="1"/>
    </xf>
    <xf numFmtId="0" fontId="2" fillId="18" borderId="8" xfId="0" applyNumberFormat="1" applyFont="1" applyFill="1" applyBorder="1" applyAlignment="1">
      <alignment horizontal="center" wrapText="1"/>
    </xf>
    <xf numFmtId="164" fontId="2" fillId="18" borderId="8" xfId="0" applyNumberFormat="1" applyFont="1" applyFill="1" applyBorder="1" applyAlignment="1">
      <alignment horizontal="center" wrapText="1"/>
    </xf>
    <xf numFmtId="0" fontId="1" fillId="3" borderId="99" xfId="0" applyNumberFormat="1" applyFont="1" applyFill="1" applyBorder="1" applyAlignment="1">
      <alignment vertical="top" wrapText="1"/>
    </xf>
    <xf numFmtId="0" fontId="2" fillId="0" borderId="15" xfId="0" applyFont="1" applyBorder="1" applyAlignment="1">
      <alignment horizontal="center" vertical="top" wrapText="1"/>
    </xf>
    <xf numFmtId="0" fontId="1" fillId="0" borderId="6" xfId="0" applyNumberFormat="1" applyFont="1" applyFill="1" applyBorder="1" applyAlignment="1">
      <alignment horizontal="center" vertical="top"/>
    </xf>
    <xf numFmtId="164" fontId="1" fillId="0" borderId="6" xfId="0" applyNumberFormat="1" applyFont="1" applyFill="1" applyBorder="1" applyAlignment="1">
      <alignment horizontal="center" vertical="top" wrapText="1"/>
    </xf>
    <xf numFmtId="0" fontId="1" fillId="3" borderId="99" xfId="0" applyNumberFormat="1" applyFont="1" applyFill="1" applyBorder="1" applyAlignment="1">
      <alignment horizontal="center" vertical="top" wrapText="1"/>
    </xf>
    <xf numFmtId="0" fontId="2" fillId="3" borderId="43" xfId="0" applyNumberFormat="1" applyFont="1" applyFill="1" applyBorder="1" applyAlignment="1">
      <alignment horizontal="center" vertical="top" wrapText="1"/>
    </xf>
    <xf numFmtId="0" fontId="1" fillId="3" borderId="43" xfId="0" applyNumberFormat="1" applyFont="1" applyFill="1" applyBorder="1" applyAlignment="1">
      <alignment horizontal="center" vertical="top" wrapText="1"/>
    </xf>
    <xf numFmtId="164" fontId="1" fillId="3" borderId="44" xfId="0" applyNumberFormat="1" applyFont="1" applyFill="1" applyBorder="1" applyAlignment="1">
      <alignment horizontal="center" vertical="top" wrapText="1"/>
    </xf>
    <xf numFmtId="0" fontId="1" fillId="3" borderId="36" xfId="0" applyNumberFormat="1" applyFont="1" applyFill="1" applyBorder="1" applyAlignment="1">
      <alignment vertical="top" wrapText="1"/>
    </xf>
    <xf numFmtId="0" fontId="32" fillId="0" borderId="0" xfId="0" applyNumberFormat="1" applyFont="1" applyFill="1" applyBorder="1" applyAlignment="1"/>
    <xf numFmtId="0" fontId="2" fillId="0" borderId="101" xfId="0" applyNumberFormat="1" applyFont="1" applyFill="1" applyBorder="1" applyAlignment="1">
      <alignment horizontal="center" wrapText="1"/>
    </xf>
    <xf numFmtId="0" fontId="1" fillId="0" borderId="105" xfId="0" applyNumberFormat="1" applyFont="1" applyFill="1" applyBorder="1" applyAlignment="1">
      <alignment horizontal="center"/>
    </xf>
    <xf numFmtId="164" fontId="1" fillId="0" borderId="105" xfId="0" applyNumberFormat="1" applyFont="1" applyFill="1" applyBorder="1" applyAlignment="1">
      <alignment horizontal="center" wrapText="1"/>
    </xf>
    <xf numFmtId="0" fontId="7" fillId="0" borderId="0" xfId="0" applyNumberFormat="1" applyFont="1" applyFill="1" applyBorder="1" applyAlignment="1">
      <alignment wrapText="1"/>
    </xf>
    <xf numFmtId="0" fontId="2" fillId="0" borderId="98" xfId="0" applyNumberFormat="1" applyFont="1" applyFill="1" applyBorder="1" applyAlignment="1">
      <alignment horizontal="center" wrapText="1"/>
    </xf>
    <xf numFmtId="0" fontId="2" fillId="0" borderId="105" xfId="0" applyNumberFormat="1" applyFont="1" applyFill="1" applyBorder="1" applyAlignment="1">
      <alignment horizontal="center" wrapText="1"/>
    </xf>
    <xf numFmtId="0" fontId="7" fillId="0" borderId="0" xfId="0" applyFont="1" applyAlignment="1">
      <alignment wrapText="1"/>
    </xf>
    <xf numFmtId="0" fontId="2" fillId="0" borderId="101" xfId="0" applyNumberFormat="1" applyFont="1" applyFill="1" applyBorder="1" applyAlignment="1">
      <alignment horizontal="center" vertical="top" wrapText="1"/>
    </xf>
    <xf numFmtId="0" fontId="2" fillId="0" borderId="105" xfId="0" applyNumberFormat="1" applyFont="1" applyFill="1" applyBorder="1" applyAlignment="1">
      <alignment horizontal="center" vertical="top" wrapText="1"/>
    </xf>
    <xf numFmtId="0" fontId="2" fillId="0" borderId="15" xfId="0" applyFont="1" applyBorder="1" applyAlignment="1">
      <alignment vertical="top" wrapText="1"/>
    </xf>
    <xf numFmtId="0" fontId="2" fillId="8" borderId="11" xfId="0" applyFont="1" applyFill="1" applyBorder="1" applyAlignment="1">
      <alignment horizontal="center" wrapText="1"/>
    </xf>
    <xf numFmtId="0" fontId="2" fillId="8" borderId="13" xfId="0" applyFont="1" applyFill="1" applyBorder="1" applyAlignment="1">
      <alignment horizontal="center" wrapText="1"/>
    </xf>
    <xf numFmtId="0" fontId="1" fillId="0" borderId="0" xfId="0" applyNumberFormat="1" applyFont="1" applyFill="1" applyBorder="1" applyAlignment="1">
      <alignment wrapText="1"/>
    </xf>
    <xf numFmtId="0" fontId="2" fillId="8" borderId="11" xfId="0" applyFont="1" applyFill="1" applyBorder="1" applyAlignment="1">
      <alignment wrapText="1"/>
    </xf>
    <xf numFmtId="0" fontId="2" fillId="8" borderId="106" xfId="0" applyFont="1" applyFill="1" applyBorder="1" applyAlignment="1">
      <alignment horizontal="center" wrapText="1"/>
    </xf>
    <xf numFmtId="0" fontId="2" fillId="10" borderId="106" xfId="0" applyFont="1" applyFill="1" applyBorder="1" applyAlignment="1">
      <alignment horizontal="center" wrapText="1"/>
    </xf>
    <xf numFmtId="0" fontId="2" fillId="18" borderId="106" xfId="0" applyFont="1" applyFill="1" applyBorder="1" applyAlignment="1">
      <alignment horizontal="center" wrapText="1"/>
    </xf>
    <xf numFmtId="0" fontId="2" fillId="20" borderId="106" xfId="0" applyFont="1" applyFill="1" applyBorder="1" applyAlignment="1">
      <alignment horizontal="center" vertical="top" wrapText="1"/>
    </xf>
    <xf numFmtId="0" fontId="2" fillId="14" borderId="106" xfId="0" applyFont="1" applyFill="1" applyBorder="1" applyAlignment="1">
      <alignment horizontal="center" vertical="top" wrapText="1"/>
    </xf>
    <xf numFmtId="164" fontId="33" fillId="0" borderId="107" xfId="0" applyNumberFormat="1" applyFont="1" applyFill="1" applyBorder="1" applyAlignment="1">
      <alignment horizontal="center"/>
    </xf>
    <xf numFmtId="164" fontId="33" fillId="22" borderId="109" xfId="0" applyNumberFormat="1" applyFont="1" applyFill="1" applyBorder="1" applyAlignment="1">
      <alignment horizontal="center"/>
    </xf>
    <xf numFmtId="164" fontId="33" fillId="0" borderId="108" xfId="0" applyNumberFormat="1" applyFont="1" applyFill="1" applyBorder="1" applyAlignment="1">
      <alignment horizontal="center" wrapText="1"/>
    </xf>
    <xf numFmtId="0" fontId="35" fillId="0" borderId="0" xfId="0" applyNumberFormat="1" applyFont="1" applyFill="1" applyBorder="1" applyAlignment="1">
      <alignment horizontal="left" wrapText="1"/>
    </xf>
    <xf numFmtId="164" fontId="33" fillId="22" borderId="109" xfId="0" applyNumberFormat="1" applyFont="1" applyFill="1" applyBorder="1" applyAlignment="1">
      <alignment horizontal="center" wrapText="1"/>
    </xf>
    <xf numFmtId="0" fontId="1" fillId="0" borderId="4" xfId="0" applyNumberFormat="1" applyFont="1" applyFill="1" applyBorder="1" applyAlignment="1">
      <alignment horizontal="left" vertical="center"/>
    </xf>
    <xf numFmtId="0" fontId="1" fillId="0" borderId="7" xfId="0" applyNumberFormat="1" applyFont="1" applyFill="1" applyBorder="1" applyAlignment="1">
      <alignment horizontal="left" vertical="center"/>
    </xf>
    <xf numFmtId="2" fontId="12" fillId="8" borderId="4" xfId="0" applyNumberFormat="1" applyFont="1" applyFill="1" applyBorder="1" applyAlignment="1">
      <alignment horizontal="center" vertical="center"/>
    </xf>
    <xf numFmtId="2" fontId="12" fillId="8" borderId="6" xfId="0" applyNumberFormat="1" applyFont="1" applyFill="1" applyBorder="1" applyAlignment="1">
      <alignment horizontal="center" vertical="center"/>
    </xf>
    <xf numFmtId="2" fontId="34" fillId="26" borderId="112" xfId="0" applyNumberFormat="1" applyFont="1" applyFill="1" applyBorder="1" applyAlignment="1">
      <alignment horizontal="center" vertical="center"/>
    </xf>
    <xf numFmtId="2" fontId="34" fillId="26" borderId="108" xfId="0" applyNumberFormat="1" applyFont="1" applyFill="1" applyBorder="1" applyAlignment="1">
      <alignment horizontal="center" vertical="center"/>
    </xf>
    <xf numFmtId="2" fontId="34" fillId="25" borderId="112" xfId="0" applyNumberFormat="1" applyFont="1" applyFill="1" applyBorder="1" applyAlignment="1">
      <alignment horizontal="center" vertical="center"/>
    </xf>
    <xf numFmtId="2" fontId="34" fillId="25" borderId="108" xfId="0" applyNumberFormat="1" applyFont="1" applyFill="1" applyBorder="1" applyAlignment="1">
      <alignment horizontal="center" vertical="center"/>
    </xf>
    <xf numFmtId="2" fontId="34" fillId="24" borderId="112" xfId="0" applyNumberFormat="1" applyFont="1" applyFill="1" applyBorder="1" applyAlignment="1">
      <alignment horizontal="center" vertical="center"/>
    </xf>
    <xf numFmtId="2" fontId="34" fillId="24" borderId="108" xfId="0" applyNumberFormat="1" applyFont="1" applyFill="1" applyBorder="1" applyAlignment="1">
      <alignment horizontal="center" vertical="center"/>
    </xf>
    <xf numFmtId="2" fontId="34" fillId="23" borderId="112" xfId="0" applyNumberFormat="1" applyFont="1" applyFill="1" applyBorder="1" applyAlignment="1">
      <alignment horizontal="center" vertical="center"/>
    </xf>
    <xf numFmtId="2" fontId="34" fillId="23" borderId="108" xfId="0" applyNumberFormat="1" applyFont="1" applyFill="1" applyBorder="1" applyAlignment="1">
      <alignment horizontal="center" vertical="center"/>
    </xf>
    <xf numFmtId="0" fontId="1" fillId="0" borderId="15" xfId="0" applyNumberFormat="1" applyFont="1" applyFill="1" applyBorder="1" applyAlignment="1">
      <alignment horizontal="left" vertical="center"/>
    </xf>
    <xf numFmtId="0" fontId="1" fillId="0" borderId="9" xfId="0" applyNumberFormat="1" applyFont="1" applyFill="1" applyBorder="1" applyAlignment="1">
      <alignment horizontal="left" vertical="center"/>
    </xf>
    <xf numFmtId="0" fontId="33" fillId="0" borderId="113" xfId="0" applyNumberFormat="1" applyFont="1" applyFill="1" applyBorder="1" applyAlignment="1">
      <alignment horizontal="left" vertical="center"/>
    </xf>
    <xf numFmtId="0" fontId="33" fillId="0" borderId="114" xfId="0" applyNumberFormat="1" applyFont="1" applyFill="1" applyBorder="1" applyAlignment="1">
      <alignment horizontal="left" vertical="center"/>
    </xf>
    <xf numFmtId="0" fontId="1" fillId="0" borderId="15" xfId="0" applyNumberFormat="1" applyFont="1" applyFill="1" applyBorder="1" applyAlignment="1">
      <alignment horizontal="left" vertical="top"/>
    </xf>
    <xf numFmtId="0" fontId="1" fillId="0" borderId="9" xfId="0" applyNumberFormat="1" applyFont="1" applyFill="1" applyBorder="1" applyAlignment="1">
      <alignment horizontal="left" vertical="top"/>
    </xf>
    <xf numFmtId="0" fontId="1" fillId="0" borderId="104" xfId="0" applyNumberFormat="1" applyFont="1" applyFill="1" applyBorder="1" applyAlignment="1">
      <alignment horizontal="left" vertical="center"/>
    </xf>
    <xf numFmtId="0" fontId="1" fillId="4" borderId="10" xfId="0" applyNumberFormat="1" applyFont="1" applyFill="1" applyBorder="1" applyAlignment="1">
      <alignment horizontal="center" vertical="top" wrapText="1"/>
    </xf>
    <xf numFmtId="0" fontId="1" fillId="4" borderId="1" xfId="0" applyNumberFormat="1" applyFont="1" applyFill="1" applyBorder="1" applyAlignment="1">
      <alignment horizontal="center" vertical="top" wrapText="1"/>
    </xf>
    <xf numFmtId="0" fontId="1" fillId="4" borderId="9" xfId="0" applyNumberFormat="1" applyFont="1" applyFill="1" applyBorder="1" applyAlignment="1">
      <alignment horizontal="center" vertical="top" wrapText="1"/>
    </xf>
    <xf numFmtId="0" fontId="33" fillId="0" borderId="110" xfId="0" applyNumberFormat="1" applyFont="1" applyFill="1" applyBorder="1" applyAlignment="1">
      <alignment horizontal="left" vertical="center"/>
    </xf>
    <xf numFmtId="0" fontId="33" fillId="0" borderId="111" xfId="0" applyNumberFormat="1" applyFont="1" applyFill="1" applyBorder="1" applyAlignment="1">
      <alignment horizontal="left" vertical="center"/>
    </xf>
    <xf numFmtId="0" fontId="2" fillId="20" borderId="14" xfId="0" applyFont="1" applyFill="1" applyBorder="1" applyAlignment="1">
      <alignment horizontal="center" vertical="center" wrapText="1"/>
    </xf>
    <xf numFmtId="0" fontId="2" fillId="20" borderId="3" xfId="0" applyFont="1" applyFill="1" applyBorder="1" applyAlignment="1">
      <alignment horizontal="center" vertical="center" wrapText="1"/>
    </xf>
    <xf numFmtId="0" fontId="2" fillId="20" borderId="10" xfId="0" applyFont="1" applyFill="1" applyBorder="1" applyAlignment="1">
      <alignment horizontal="center" vertical="center" wrapText="1"/>
    </xf>
    <xf numFmtId="0" fontId="1" fillId="4" borderId="10" xfId="0" applyNumberFormat="1" applyFont="1" applyFill="1" applyBorder="1" applyAlignment="1">
      <alignment horizontal="center" wrapText="1"/>
    </xf>
    <xf numFmtId="0" fontId="1" fillId="4" borderId="1" xfId="0" applyNumberFormat="1" applyFont="1" applyFill="1" applyBorder="1" applyAlignment="1">
      <alignment horizontal="center" wrapText="1"/>
    </xf>
    <xf numFmtId="0" fontId="1" fillId="4" borderId="9" xfId="0" applyNumberFormat="1" applyFont="1" applyFill="1" applyBorder="1" applyAlignment="1">
      <alignment horizontal="center" wrapText="1"/>
    </xf>
    <xf numFmtId="0" fontId="4" fillId="7" borderId="1" xfId="0" applyFont="1" applyFill="1" applyBorder="1" applyAlignment="1">
      <alignment horizontal="center" wrapText="1"/>
    </xf>
    <xf numFmtId="0" fontId="4" fillId="9" borderId="1" xfId="0" applyFont="1" applyFill="1" applyBorder="1" applyAlignment="1">
      <alignment horizontal="center" wrapText="1"/>
    </xf>
    <xf numFmtId="0" fontId="4" fillId="11" borderId="1" xfId="0" applyFont="1" applyFill="1" applyBorder="1" applyAlignment="1">
      <alignment horizontal="center" wrapText="1"/>
    </xf>
    <xf numFmtId="0" fontId="33" fillId="0" borderId="115" xfId="0" applyNumberFormat="1" applyFont="1" applyFill="1" applyBorder="1" applyAlignment="1">
      <alignment horizontal="left" vertical="center"/>
    </xf>
    <xf numFmtId="0" fontId="2" fillId="10" borderId="14" xfId="0" applyFont="1" applyFill="1" applyBorder="1" applyAlignment="1">
      <alignment horizontal="center" vertical="center" wrapText="1"/>
    </xf>
    <xf numFmtId="0" fontId="2" fillId="10" borderId="3" xfId="0" applyFont="1" applyFill="1" applyBorder="1" applyAlignment="1">
      <alignment horizontal="center" vertical="center" wrapText="1"/>
    </xf>
    <xf numFmtId="0" fontId="2" fillId="10" borderId="10" xfId="0" applyFont="1" applyFill="1" applyBorder="1" applyAlignment="1">
      <alignment horizontal="center" vertical="center" wrapText="1"/>
    </xf>
    <xf numFmtId="0" fontId="1" fillId="4" borderId="11" xfId="0" applyNumberFormat="1" applyFont="1" applyFill="1" applyBorder="1" applyAlignment="1">
      <alignment horizontal="center" wrapText="1"/>
    </xf>
    <xf numFmtId="0" fontId="1" fillId="4" borderId="12" xfId="0" applyNumberFormat="1" applyFont="1" applyFill="1" applyBorder="1" applyAlignment="1">
      <alignment horizontal="center" wrapText="1"/>
    </xf>
    <xf numFmtId="0" fontId="2" fillId="18" borderId="14" xfId="0" applyFont="1" applyFill="1" applyBorder="1" applyAlignment="1">
      <alignment horizontal="center" vertical="center" wrapText="1"/>
    </xf>
    <xf numFmtId="0" fontId="2" fillId="18" borderId="3" xfId="0" applyFont="1" applyFill="1" applyBorder="1" applyAlignment="1">
      <alignment horizontal="center" vertical="center" wrapText="1"/>
    </xf>
    <xf numFmtId="0" fontId="2" fillId="18" borderId="10" xfId="0" applyFont="1" applyFill="1" applyBorder="1" applyAlignment="1">
      <alignment horizontal="center" vertical="center" wrapText="1"/>
    </xf>
    <xf numFmtId="0" fontId="3" fillId="0" borderId="0" xfId="0" applyNumberFormat="1" applyFont="1" applyFill="1" applyBorder="1" applyAlignment="1">
      <alignment horizontal="center" wrapText="1"/>
    </xf>
    <xf numFmtId="0" fontId="2" fillId="16" borderId="30" xfId="0" applyFont="1" applyFill="1" applyBorder="1" applyAlignment="1">
      <alignment horizontal="center" wrapText="1"/>
    </xf>
    <xf numFmtId="0" fontId="2" fillId="16" borderId="31" xfId="0" applyFont="1" applyFill="1" applyBorder="1" applyAlignment="1">
      <alignment horizontal="center" wrapText="1"/>
    </xf>
    <xf numFmtId="0" fontId="2" fillId="16" borderId="32" xfId="0" applyFont="1" applyFill="1" applyBorder="1" applyAlignment="1">
      <alignment horizontal="center" wrapText="1"/>
    </xf>
    <xf numFmtId="0" fontId="1" fillId="15" borderId="33" xfId="0" applyFont="1" applyFill="1" applyBorder="1" applyAlignment="1">
      <alignment wrapText="1"/>
    </xf>
    <xf numFmtId="0" fontId="1" fillId="15" borderId="5" xfId="0" applyFont="1" applyFill="1" applyBorder="1" applyAlignment="1">
      <alignment wrapText="1"/>
    </xf>
    <xf numFmtId="0" fontId="1" fillId="15" borderId="34" xfId="0" applyFont="1" applyFill="1" applyBorder="1" applyAlignment="1">
      <alignment wrapText="1"/>
    </xf>
    <xf numFmtId="0" fontId="1" fillId="15" borderId="16" xfId="0" applyFont="1" applyFill="1" applyBorder="1" applyAlignment="1">
      <alignment wrapText="1"/>
    </xf>
    <xf numFmtId="0" fontId="1" fillId="15" borderId="0" xfId="0" applyFont="1" applyFill="1" applyBorder="1" applyAlignment="1">
      <alignment wrapText="1"/>
    </xf>
    <xf numFmtId="0" fontId="1" fillId="15" borderId="17" xfId="0" applyFont="1" applyFill="1" applyBorder="1" applyAlignment="1">
      <alignment wrapText="1"/>
    </xf>
    <xf numFmtId="0" fontId="2" fillId="8" borderId="14" xfId="0" applyNumberFormat="1" applyFont="1" applyFill="1" applyBorder="1" applyAlignment="1">
      <alignment horizontal="center" vertical="center" wrapText="1"/>
    </xf>
    <xf numFmtId="0" fontId="2" fillId="8" borderId="3" xfId="0" applyNumberFormat="1" applyFont="1" applyFill="1" applyBorder="1" applyAlignment="1">
      <alignment horizontal="center" vertical="center" wrapText="1"/>
    </xf>
    <xf numFmtId="0" fontId="2" fillId="8" borderId="102" xfId="0" applyNumberFormat="1" applyFont="1" applyFill="1" applyBorder="1" applyAlignment="1">
      <alignment horizontal="center" vertical="center" wrapText="1"/>
    </xf>
    <xf numFmtId="0" fontId="2" fillId="0" borderId="25" xfId="0" applyNumberFormat="1" applyFont="1" applyFill="1" applyBorder="1" applyAlignment="1">
      <alignment horizontal="right" wrapText="1"/>
    </xf>
    <xf numFmtId="0" fontId="1" fillId="0" borderId="21" xfId="0" applyNumberFormat="1" applyFont="1" applyFill="1" applyBorder="1" applyAlignment="1">
      <alignment horizontal="right" wrapText="1"/>
    </xf>
    <xf numFmtId="0" fontId="2" fillId="0" borderId="21" xfId="0" applyNumberFormat="1" applyFont="1" applyFill="1" applyBorder="1" applyAlignment="1">
      <alignment horizontal="right" wrapText="1"/>
    </xf>
    <xf numFmtId="0" fontId="2" fillId="0" borderId="27" xfId="0" applyNumberFormat="1" applyFont="1" applyFill="1" applyBorder="1" applyAlignment="1">
      <alignment horizontal="right" wrapText="1"/>
    </xf>
    <xf numFmtId="0" fontId="2" fillId="0" borderId="28" xfId="0" applyNumberFormat="1" applyFont="1" applyFill="1" applyBorder="1" applyAlignment="1">
      <alignment horizontal="right" wrapText="1"/>
    </xf>
    <xf numFmtId="0" fontId="1" fillId="15" borderId="18" xfId="0" applyFont="1" applyFill="1" applyBorder="1" applyAlignment="1">
      <alignment wrapText="1"/>
    </xf>
    <xf numFmtId="0" fontId="1" fillId="15" borderId="19" xfId="0" applyFont="1" applyFill="1" applyBorder="1" applyAlignment="1">
      <alignment wrapText="1"/>
    </xf>
    <xf numFmtId="0" fontId="1" fillId="15" borderId="20" xfId="0" applyFont="1" applyFill="1" applyBorder="1" applyAlignment="1">
      <alignment wrapText="1"/>
    </xf>
    <xf numFmtId="0" fontId="2" fillId="0" borderId="22" xfId="0" applyNumberFormat="1" applyFont="1" applyFill="1" applyBorder="1" applyAlignment="1">
      <alignment horizontal="right" wrapText="1"/>
    </xf>
    <xf numFmtId="0" fontId="2" fillId="0" borderId="23" xfId="0" applyNumberFormat="1" applyFont="1" applyFill="1" applyBorder="1" applyAlignment="1">
      <alignment horizontal="right" wrapText="1"/>
    </xf>
    <xf numFmtId="0" fontId="2" fillId="8" borderId="10" xfId="0" applyFont="1" applyFill="1" applyBorder="1" applyAlignment="1">
      <alignment horizontal="center" wrapText="1"/>
    </xf>
    <xf numFmtId="0" fontId="2" fillId="8" borderId="1" xfId="0" applyFont="1" applyFill="1" applyBorder="1" applyAlignment="1">
      <alignment horizontal="center" wrapText="1"/>
    </xf>
    <xf numFmtId="0" fontId="2" fillId="8" borderId="9" xfId="0" applyFont="1" applyFill="1" applyBorder="1" applyAlignment="1">
      <alignment horizontal="center" wrapText="1"/>
    </xf>
    <xf numFmtId="0" fontId="2" fillId="12" borderId="10" xfId="0" applyFont="1" applyFill="1" applyBorder="1" applyAlignment="1">
      <alignment horizontal="center" wrapText="1"/>
    </xf>
    <xf numFmtId="0" fontId="2" fillId="12" borderId="1" xfId="0" applyFont="1" applyFill="1" applyBorder="1" applyAlignment="1">
      <alignment horizontal="center" wrapText="1"/>
    </xf>
    <xf numFmtId="0" fontId="2" fillId="12" borderId="9" xfId="0" applyFont="1" applyFill="1" applyBorder="1" applyAlignment="1">
      <alignment horizontal="center" wrapText="1"/>
    </xf>
    <xf numFmtId="0" fontId="2" fillId="14" borderId="11" xfId="0" applyFont="1" applyFill="1" applyBorder="1" applyAlignment="1">
      <alignment horizontal="center" wrapText="1"/>
    </xf>
    <xf numFmtId="0" fontId="2" fillId="14" borderId="13" xfId="0" applyFont="1" applyFill="1" applyBorder="1" applyAlignment="1">
      <alignment horizontal="center" wrapText="1"/>
    </xf>
    <xf numFmtId="0" fontId="2" fillId="14" borderId="12" xfId="0" applyFont="1" applyFill="1" applyBorder="1" applyAlignment="1">
      <alignment horizontal="center" wrapText="1"/>
    </xf>
    <xf numFmtId="0" fontId="2" fillId="14" borderId="10" xfId="0" applyFont="1" applyFill="1" applyBorder="1" applyAlignment="1">
      <alignment horizontal="center" wrapText="1"/>
    </xf>
    <xf numFmtId="0" fontId="2" fillId="14" borderId="1" xfId="0" applyFont="1" applyFill="1" applyBorder="1" applyAlignment="1">
      <alignment horizontal="center" wrapText="1"/>
    </xf>
    <xf numFmtId="0" fontId="2" fillId="14" borderId="9" xfId="0" applyFont="1" applyFill="1" applyBorder="1" applyAlignment="1">
      <alignment horizontal="center" wrapText="1"/>
    </xf>
    <xf numFmtId="0" fontId="4" fillId="13" borderId="1" xfId="0" applyFont="1" applyFill="1" applyBorder="1" applyAlignment="1">
      <alignment horizontal="center" wrapText="1"/>
    </xf>
    <xf numFmtId="0" fontId="1" fillId="0" borderId="6" xfId="0" applyNumberFormat="1" applyFont="1" applyFill="1" applyBorder="1" applyAlignment="1">
      <alignment horizontal="left" vertical="center"/>
    </xf>
    <xf numFmtId="0" fontId="1" fillId="4" borderId="45" xfId="0" applyNumberFormat="1" applyFont="1" applyFill="1" applyBorder="1" applyAlignment="1">
      <alignment horizontal="center" wrapText="1"/>
    </xf>
    <xf numFmtId="0" fontId="1" fillId="4" borderId="46" xfId="0" applyNumberFormat="1" applyFont="1" applyFill="1" applyBorder="1" applyAlignment="1">
      <alignment horizontal="center" wrapText="1"/>
    </xf>
    <xf numFmtId="0" fontId="1" fillId="4" borderId="47" xfId="0" applyNumberFormat="1" applyFont="1" applyFill="1" applyBorder="1" applyAlignment="1">
      <alignment horizontal="center" wrapText="1"/>
    </xf>
    <xf numFmtId="0" fontId="2" fillId="14" borderId="14" xfId="0" applyFont="1" applyFill="1" applyBorder="1" applyAlignment="1">
      <alignment horizontal="center" vertical="center" wrapText="1"/>
    </xf>
    <xf numFmtId="0" fontId="2" fillId="14" borderId="3" xfId="0" applyFont="1" applyFill="1" applyBorder="1" applyAlignment="1">
      <alignment horizontal="center" vertical="center" wrapText="1"/>
    </xf>
    <xf numFmtId="0" fontId="2" fillId="14" borderId="10" xfId="0" applyFont="1" applyFill="1" applyBorder="1" applyAlignment="1">
      <alignment horizontal="center" vertical="center" wrapText="1"/>
    </xf>
    <xf numFmtId="2" fontId="34" fillId="21" borderId="112" xfId="0" applyNumberFormat="1" applyFont="1" applyFill="1" applyBorder="1" applyAlignment="1">
      <alignment horizontal="center" vertical="center"/>
    </xf>
    <xf numFmtId="2" fontId="34" fillId="21" borderId="108" xfId="0" applyNumberFormat="1" applyFont="1" applyFill="1" applyBorder="1" applyAlignment="1">
      <alignment horizontal="center" vertical="center"/>
    </xf>
    <xf numFmtId="0" fontId="2" fillId="12" borderId="11" xfId="0" applyFont="1" applyFill="1" applyBorder="1" applyAlignment="1">
      <alignment horizontal="center" wrapText="1"/>
    </xf>
    <xf numFmtId="0" fontId="2" fillId="12" borderId="13" xfId="0" applyFont="1" applyFill="1" applyBorder="1" applyAlignment="1">
      <alignment horizontal="center" wrapText="1"/>
    </xf>
    <xf numFmtId="0" fontId="2" fillId="12" borderId="12" xfId="0" applyFont="1" applyFill="1" applyBorder="1" applyAlignment="1">
      <alignment horizontal="center" wrapText="1"/>
    </xf>
    <xf numFmtId="0" fontId="2" fillId="10" borderId="10" xfId="0" applyFont="1" applyFill="1" applyBorder="1" applyAlignment="1">
      <alignment horizontal="center" wrapText="1"/>
    </xf>
    <xf numFmtId="0" fontId="2" fillId="10" borderId="1" xfId="0" applyFont="1" applyFill="1" applyBorder="1" applyAlignment="1">
      <alignment horizontal="center" wrapText="1"/>
    </xf>
    <xf numFmtId="0" fontId="2" fillId="10" borderId="9" xfId="0" applyFont="1" applyFill="1" applyBorder="1" applyAlignment="1">
      <alignment horizontal="center" wrapText="1"/>
    </xf>
    <xf numFmtId="0" fontId="2" fillId="10" borderId="11" xfId="0" applyFont="1" applyFill="1" applyBorder="1" applyAlignment="1">
      <alignment horizontal="center" wrapText="1"/>
    </xf>
    <xf numFmtId="0" fontId="2" fillId="10" borderId="13" xfId="0" applyFont="1" applyFill="1" applyBorder="1" applyAlignment="1">
      <alignment horizontal="center" wrapText="1"/>
    </xf>
    <xf numFmtId="0" fontId="2" fillId="10" borderId="12" xfId="0" applyFont="1" applyFill="1" applyBorder="1" applyAlignment="1">
      <alignment horizontal="center" wrapText="1"/>
    </xf>
    <xf numFmtId="0" fontId="31" fillId="19" borderId="1" xfId="0" applyFont="1" applyFill="1" applyBorder="1" applyAlignment="1">
      <alignment horizontal="center" wrapText="1"/>
    </xf>
    <xf numFmtId="0" fontId="2" fillId="18" borderId="11" xfId="0" applyFont="1" applyFill="1" applyBorder="1" applyAlignment="1">
      <alignment horizontal="center" wrapText="1"/>
    </xf>
    <xf numFmtId="0" fontId="2" fillId="18" borderId="13" xfId="0" applyFont="1" applyFill="1" applyBorder="1" applyAlignment="1">
      <alignment horizontal="center" wrapText="1"/>
    </xf>
    <xf numFmtId="0" fontId="2" fillId="18" borderId="12" xfId="0" applyFont="1" applyFill="1" applyBorder="1" applyAlignment="1">
      <alignment horizontal="center" wrapText="1"/>
    </xf>
    <xf numFmtId="0" fontId="2" fillId="18" borderId="10" xfId="0" applyFont="1" applyFill="1" applyBorder="1" applyAlignment="1">
      <alignment horizontal="center" wrapText="1"/>
    </xf>
    <xf numFmtId="0" fontId="2" fillId="18" borderId="1" xfId="0" applyFont="1" applyFill="1" applyBorder="1" applyAlignment="1">
      <alignment horizontal="center" wrapText="1"/>
    </xf>
    <xf numFmtId="0" fontId="2" fillId="18" borderId="9" xfId="0" applyFont="1" applyFill="1" applyBorder="1" applyAlignment="1">
      <alignment horizontal="center" wrapText="1"/>
    </xf>
    <xf numFmtId="0" fontId="2" fillId="2" borderId="41" xfId="0" applyNumberFormat="1" applyFont="1" applyFill="1" applyBorder="1" applyAlignment="1">
      <alignment horizontal="center" vertical="center" wrapText="1"/>
    </xf>
    <xf numFmtId="0" fontId="2" fillId="2" borderId="50" xfId="0" applyNumberFormat="1" applyFont="1" applyFill="1" applyBorder="1" applyAlignment="1">
      <alignment horizontal="center" vertical="center" wrapText="1"/>
    </xf>
    <xf numFmtId="0" fontId="2" fillId="2" borderId="51" xfId="0" applyNumberFormat="1" applyFont="1" applyFill="1" applyBorder="1" applyAlignment="1">
      <alignment horizontal="center" vertical="center" wrapText="1"/>
    </xf>
    <xf numFmtId="0" fontId="29" fillId="4" borderId="96" xfId="0" applyNumberFormat="1" applyFont="1" applyFill="1" applyBorder="1" applyAlignment="1">
      <alignment horizontal="center" vertical="center" wrapText="1"/>
    </xf>
    <xf numFmtId="0" fontId="29" fillId="4" borderId="52" xfId="0" applyNumberFormat="1" applyFont="1" applyFill="1" applyBorder="1" applyAlignment="1">
      <alignment horizontal="center" vertical="center" wrapText="1"/>
    </xf>
    <xf numFmtId="0" fontId="29" fillId="4" borderId="97" xfId="0" applyNumberFormat="1" applyFont="1" applyFill="1" applyBorder="1" applyAlignment="1">
      <alignment horizontal="center" vertical="center" wrapText="1"/>
    </xf>
    <xf numFmtId="0" fontId="30" fillId="4" borderId="96" xfId="0" applyNumberFormat="1" applyFont="1" applyFill="1" applyBorder="1" applyAlignment="1">
      <alignment horizontal="center" vertical="center"/>
    </xf>
    <xf numFmtId="0" fontId="30" fillId="4" borderId="52" xfId="0" applyNumberFormat="1" applyFont="1" applyFill="1" applyBorder="1" applyAlignment="1">
      <alignment horizontal="center" vertical="center"/>
    </xf>
    <xf numFmtId="0" fontId="30" fillId="4" borderId="97" xfId="0" applyNumberFormat="1" applyFont="1" applyFill="1" applyBorder="1" applyAlignment="1">
      <alignment horizontal="center" vertical="center"/>
    </xf>
    <xf numFmtId="0" fontId="3" fillId="0" borderId="0" xfId="0" applyNumberFormat="1" applyFont="1" applyFill="1" applyBorder="1" applyAlignment="1">
      <alignment horizontal="center" vertical="center" wrapText="1"/>
    </xf>
    <xf numFmtId="0" fontId="6" fillId="0" borderId="0" xfId="0" applyNumberFormat="1" applyFont="1" applyFill="1" applyBorder="1" applyAlignment="1">
      <alignment vertical="center" wrapText="1"/>
    </xf>
    <xf numFmtId="0" fontId="1" fillId="0" borderId="0" xfId="0" applyNumberFormat="1" applyFont="1" applyFill="1" applyBorder="1" applyAlignment="1">
      <alignment vertical="center" wrapText="1"/>
    </xf>
    <xf numFmtId="0" fontId="2" fillId="0" borderId="0" xfId="0" applyNumberFormat="1" applyFont="1" applyFill="1" applyBorder="1" applyAlignment="1">
      <alignment horizontal="right" wrapText="1"/>
    </xf>
    <xf numFmtId="0" fontId="1" fillId="0" borderId="0" xfId="0" applyNumberFormat="1" applyFont="1" applyFill="1" applyBorder="1" applyAlignment="1">
      <alignment wrapText="1"/>
    </xf>
    <xf numFmtId="14" fontId="1" fillId="0" borderId="0" xfId="0" applyNumberFormat="1" applyFont="1" applyFill="1" applyBorder="1" applyAlignment="1">
      <alignment horizontal="left" wrapText="1"/>
    </xf>
    <xf numFmtId="0" fontId="27" fillId="15" borderId="96" xfId="1" applyFont="1" applyFill="1" applyBorder="1" applyAlignment="1">
      <alignment horizontal="left" vertical="center" wrapText="1"/>
    </xf>
    <xf numFmtId="0" fontId="27" fillId="15" borderId="52" xfId="1" applyFont="1" applyFill="1" applyBorder="1" applyAlignment="1">
      <alignment horizontal="left" vertical="center"/>
    </xf>
    <xf numFmtId="0" fontId="27" fillId="15" borderId="97" xfId="1" applyFont="1" applyFill="1" applyBorder="1" applyAlignment="1">
      <alignment horizontal="left" vertical="center"/>
    </xf>
    <xf numFmtId="0" fontId="1" fillId="0" borderId="0" xfId="0" applyNumberFormat="1" applyFont="1" applyFill="1" applyBorder="1" applyAlignment="1">
      <alignment horizontal="left" wrapText="1"/>
    </xf>
    <xf numFmtId="0" fontId="4" fillId="9" borderId="85" xfId="0" applyFont="1" applyFill="1" applyBorder="1" applyAlignment="1">
      <alignment horizontal="center" wrapText="1"/>
    </xf>
    <xf numFmtId="0" fontId="4" fillId="9" borderId="86" xfId="0" applyFont="1" applyFill="1" applyBorder="1" applyAlignment="1">
      <alignment horizontal="center" wrapText="1"/>
    </xf>
    <xf numFmtId="0" fontId="4" fillId="11" borderId="85" xfId="0" applyFont="1" applyFill="1" applyBorder="1" applyAlignment="1">
      <alignment horizontal="center" wrapText="1"/>
    </xf>
    <xf numFmtId="0" fontId="4" fillId="11" borderId="86" xfId="0" applyFont="1" applyFill="1" applyBorder="1" applyAlignment="1">
      <alignment horizontal="center" wrapText="1"/>
    </xf>
    <xf numFmtId="0" fontId="4" fillId="13" borderId="85" xfId="0" applyFont="1" applyFill="1" applyBorder="1" applyAlignment="1">
      <alignment horizontal="center" wrapText="1"/>
    </xf>
    <xf numFmtId="0" fontId="4" fillId="13" borderId="86" xfId="0" applyFont="1" applyFill="1" applyBorder="1" applyAlignment="1">
      <alignment horizontal="center" wrapText="1"/>
    </xf>
    <xf numFmtId="0" fontId="1" fillId="15" borderId="16" xfId="0" applyFont="1" applyFill="1" applyBorder="1" applyAlignment="1">
      <alignment horizontal="center" wrapText="1"/>
    </xf>
    <xf numFmtId="0" fontId="1" fillId="15" borderId="0" xfId="0" applyFont="1" applyFill="1" applyBorder="1" applyAlignment="1">
      <alignment horizontal="center" wrapText="1"/>
    </xf>
    <xf numFmtId="0" fontId="1" fillId="15" borderId="17" xfId="0" applyFont="1" applyFill="1" applyBorder="1" applyAlignment="1">
      <alignment horizontal="center" wrapText="1"/>
    </xf>
    <xf numFmtId="2" fontId="12" fillId="12" borderId="80" xfId="0" applyNumberFormat="1" applyFont="1" applyFill="1" applyBorder="1" applyAlignment="1">
      <alignment horizontal="center" vertical="center"/>
    </xf>
    <xf numFmtId="2" fontId="12" fillId="12" borderId="84" xfId="0" applyNumberFormat="1" applyFont="1" applyFill="1" applyBorder="1" applyAlignment="1">
      <alignment horizontal="center" vertical="center"/>
    </xf>
    <xf numFmtId="0" fontId="4" fillId="7" borderId="30" xfId="0" applyFont="1" applyFill="1" applyBorder="1" applyAlignment="1">
      <alignment horizontal="center" wrapText="1"/>
    </xf>
    <xf numFmtId="0" fontId="4" fillId="7" borderId="31" xfId="0" applyFont="1" applyFill="1" applyBorder="1" applyAlignment="1">
      <alignment horizontal="center" wrapText="1"/>
    </xf>
    <xf numFmtId="0" fontId="4" fillId="7" borderId="32" xfId="0" applyFont="1" applyFill="1" applyBorder="1" applyAlignment="1">
      <alignment horizontal="center" wrapText="1"/>
    </xf>
    <xf numFmtId="2" fontId="12" fillId="8" borderId="80" xfId="0" applyNumberFormat="1" applyFont="1" applyFill="1" applyBorder="1" applyAlignment="1">
      <alignment horizontal="center" vertical="center"/>
    </xf>
    <xf numFmtId="2" fontId="12" fillId="8" borderId="82" xfId="0" applyNumberFormat="1" applyFont="1" applyFill="1" applyBorder="1" applyAlignment="1">
      <alignment horizontal="center" vertical="center"/>
    </xf>
    <xf numFmtId="2" fontId="12" fillId="8" borderId="84" xfId="0" applyNumberFormat="1" applyFont="1" applyFill="1" applyBorder="1" applyAlignment="1">
      <alignment horizontal="center" vertical="center"/>
    </xf>
    <xf numFmtId="0" fontId="4" fillId="7" borderId="0" xfId="0" applyFont="1" applyFill="1" applyBorder="1" applyAlignment="1">
      <alignment horizontal="center" wrapText="1"/>
    </xf>
    <xf numFmtId="2" fontId="12" fillId="14" borderId="80" xfId="0" applyNumberFormat="1" applyFont="1" applyFill="1" applyBorder="1" applyAlignment="1">
      <alignment horizontal="center" vertical="center"/>
    </xf>
    <xf numFmtId="2" fontId="12" fillId="14" borderId="84" xfId="0" applyNumberFormat="1" applyFont="1" applyFill="1" applyBorder="1" applyAlignment="1">
      <alignment horizontal="center" vertical="center"/>
    </xf>
    <xf numFmtId="2" fontId="12" fillId="10" borderId="80" xfId="0" applyNumberFormat="1" applyFont="1" applyFill="1" applyBorder="1" applyAlignment="1">
      <alignment horizontal="center" vertical="center"/>
    </xf>
    <xf numFmtId="2" fontId="12" fillId="10" borderId="84" xfId="0" applyNumberFormat="1" applyFont="1" applyFill="1" applyBorder="1" applyAlignment="1">
      <alignment horizontal="center" vertical="center"/>
    </xf>
    <xf numFmtId="2" fontId="12" fillId="8" borderId="35" xfId="0" applyNumberFormat="1" applyFont="1" applyFill="1" applyBorder="1" applyAlignment="1">
      <alignment horizontal="center" vertical="center"/>
    </xf>
    <xf numFmtId="2" fontId="12" fillId="8" borderId="41" xfId="0" applyNumberFormat="1" applyFont="1" applyFill="1" applyBorder="1" applyAlignment="1">
      <alignment horizontal="center" vertical="center"/>
    </xf>
    <xf numFmtId="0" fontId="2" fillId="3" borderId="3" xfId="0" applyFont="1" applyFill="1" applyBorder="1" applyAlignment="1">
      <alignment wrapText="1"/>
    </xf>
    <xf numFmtId="0" fontId="2" fillId="3" borderId="7" xfId="0" applyFont="1" applyFill="1" applyBorder="1" applyAlignment="1">
      <alignment wrapText="1"/>
    </xf>
    <xf numFmtId="0" fontId="2" fillId="3" borderId="49" xfId="0" applyFont="1" applyFill="1" applyBorder="1" applyAlignment="1">
      <alignment wrapText="1"/>
    </xf>
    <xf numFmtId="0" fontId="2" fillId="3" borderId="42" xfId="0" applyFont="1" applyFill="1" applyBorder="1" applyAlignment="1">
      <alignment wrapText="1"/>
    </xf>
    <xf numFmtId="0" fontId="2" fillId="8" borderId="71" xfId="0" applyNumberFormat="1" applyFont="1" applyFill="1" applyBorder="1" applyAlignment="1">
      <alignment horizontal="center" vertical="center" wrapText="1"/>
    </xf>
    <xf numFmtId="0" fontId="2" fillId="8" borderId="76" xfId="0" applyNumberFormat="1" applyFont="1" applyFill="1" applyBorder="1" applyAlignment="1">
      <alignment horizontal="center" vertical="center" wrapText="1"/>
    </xf>
    <xf numFmtId="0" fontId="2" fillId="8" borderId="72" xfId="0" applyNumberFormat="1" applyFont="1" applyFill="1" applyBorder="1" applyAlignment="1">
      <alignment horizontal="center" vertical="center" wrapText="1"/>
    </xf>
    <xf numFmtId="0" fontId="2" fillId="3" borderId="48" xfId="0" applyFont="1" applyFill="1" applyBorder="1" applyAlignment="1">
      <alignment wrapText="1"/>
    </xf>
    <xf numFmtId="0" fontId="2" fillId="3" borderId="36" xfId="0" applyFont="1" applyFill="1" applyBorder="1" applyAlignment="1">
      <alignment wrapText="1"/>
    </xf>
    <xf numFmtId="0" fontId="11" fillId="3" borderId="49" xfId="0" applyFont="1" applyFill="1" applyBorder="1" applyAlignment="1">
      <alignment wrapText="1"/>
    </xf>
    <xf numFmtId="0" fontId="11" fillId="3" borderId="42" xfId="0" applyFont="1" applyFill="1" applyBorder="1" applyAlignment="1">
      <alignment wrapText="1"/>
    </xf>
    <xf numFmtId="0" fontId="2" fillId="8" borderId="75" xfId="0" applyNumberFormat="1" applyFont="1" applyFill="1" applyBorder="1" applyAlignment="1">
      <alignment horizontal="center" vertical="center" wrapText="1"/>
    </xf>
    <xf numFmtId="0" fontId="2" fillId="3" borderId="14" xfId="0" applyFont="1" applyFill="1" applyBorder="1" applyAlignment="1">
      <alignment wrapText="1"/>
    </xf>
    <xf numFmtId="0" fontId="2" fillId="3" borderId="15" xfId="0" applyFont="1" applyFill="1" applyBorder="1" applyAlignment="1">
      <alignment wrapText="1"/>
    </xf>
    <xf numFmtId="2" fontId="12" fillId="10" borderId="35" xfId="0" applyNumberFormat="1" applyFont="1" applyFill="1" applyBorder="1" applyAlignment="1">
      <alignment horizontal="center" vertical="center"/>
    </xf>
    <xf numFmtId="2" fontId="12" fillId="10" borderId="41" xfId="0" applyNumberFormat="1" applyFont="1" applyFill="1" applyBorder="1" applyAlignment="1">
      <alignment horizontal="center" vertical="center"/>
    </xf>
    <xf numFmtId="2" fontId="12" fillId="12" borderId="35" xfId="0" applyNumberFormat="1" applyFont="1" applyFill="1" applyBorder="1" applyAlignment="1">
      <alignment horizontal="center" vertical="center"/>
    </xf>
    <xf numFmtId="2" fontId="12" fillId="12" borderId="41" xfId="0" applyNumberFormat="1" applyFont="1" applyFill="1" applyBorder="1" applyAlignment="1">
      <alignment horizontal="center" vertical="center"/>
    </xf>
    <xf numFmtId="2" fontId="12" fillId="14" borderId="35" xfId="0" applyNumberFormat="1" applyFont="1" applyFill="1" applyBorder="1" applyAlignment="1">
      <alignment horizontal="center" vertical="center"/>
    </xf>
    <xf numFmtId="2" fontId="12" fillId="14" borderId="41" xfId="0" applyNumberFormat="1" applyFont="1" applyFill="1" applyBorder="1" applyAlignment="1">
      <alignment horizontal="center" vertical="center"/>
    </xf>
    <xf numFmtId="0" fontId="2" fillId="14" borderId="71" xfId="0" applyNumberFormat="1" applyFont="1" applyFill="1" applyBorder="1" applyAlignment="1">
      <alignment horizontal="center" vertical="center" wrapText="1"/>
    </xf>
    <xf numFmtId="0" fontId="2" fillId="14" borderId="72" xfId="0" applyNumberFormat="1" applyFont="1" applyFill="1" applyBorder="1" applyAlignment="1">
      <alignment horizontal="center" vertical="center" wrapText="1"/>
    </xf>
    <xf numFmtId="0" fontId="8" fillId="3" borderId="49" xfId="0" applyFont="1" applyFill="1" applyBorder="1" applyAlignment="1">
      <alignment wrapText="1"/>
    </xf>
    <xf numFmtId="0" fontId="8" fillId="3" borderId="42" xfId="0" applyFont="1" applyFill="1" applyBorder="1" applyAlignment="1">
      <alignment wrapText="1"/>
    </xf>
    <xf numFmtId="0" fontId="2" fillId="14" borderId="45" xfId="0" applyFont="1" applyFill="1" applyBorder="1" applyAlignment="1">
      <alignment horizontal="center" wrapText="1"/>
    </xf>
    <xf numFmtId="0" fontId="2" fillId="14" borderId="46" xfId="0" applyFont="1" applyFill="1" applyBorder="1" applyAlignment="1">
      <alignment horizontal="center" wrapText="1"/>
    </xf>
    <xf numFmtId="0" fontId="2" fillId="14" borderId="59" xfId="0" applyFont="1" applyFill="1" applyBorder="1" applyAlignment="1">
      <alignment horizontal="center" wrapText="1"/>
    </xf>
    <xf numFmtId="0" fontId="8" fillId="3" borderId="48" xfId="0" applyFont="1" applyFill="1" applyBorder="1" applyAlignment="1">
      <alignment wrapText="1"/>
    </xf>
    <xf numFmtId="0" fontId="8" fillId="3" borderId="36" xfId="0" applyFont="1" applyFill="1" applyBorder="1" applyAlignment="1">
      <alignment wrapText="1"/>
    </xf>
    <xf numFmtId="0" fontId="2" fillId="14" borderId="14" xfId="0" applyFont="1" applyFill="1" applyBorder="1" applyAlignment="1">
      <alignment horizontal="center" wrapText="1"/>
    </xf>
    <xf numFmtId="0" fontId="2" fillId="14" borderId="5" xfId="0" applyFont="1" applyFill="1" applyBorder="1" applyAlignment="1">
      <alignment horizontal="center" wrapText="1"/>
    </xf>
    <xf numFmtId="0" fontId="2" fillId="14" borderId="15" xfId="0" applyFont="1" applyFill="1" applyBorder="1" applyAlignment="1">
      <alignment horizontal="center" wrapText="1"/>
    </xf>
    <xf numFmtId="0" fontId="2" fillId="14" borderId="76" xfId="0" applyNumberFormat="1" applyFont="1" applyFill="1" applyBorder="1" applyAlignment="1">
      <alignment horizontal="center" vertical="center" wrapText="1"/>
    </xf>
    <xf numFmtId="0" fontId="2" fillId="12" borderId="37" xfId="0" applyNumberFormat="1" applyFont="1" applyFill="1" applyBorder="1" applyAlignment="1">
      <alignment horizontal="center" vertical="center" wrapText="1"/>
    </xf>
    <xf numFmtId="0" fontId="2" fillId="12" borderId="6" xfId="0" applyNumberFormat="1" applyFont="1" applyFill="1" applyBorder="1" applyAlignment="1">
      <alignment horizontal="center" vertical="center" wrapText="1"/>
    </xf>
    <xf numFmtId="0" fontId="2" fillId="12" borderId="43" xfId="0" applyNumberFormat="1" applyFont="1" applyFill="1" applyBorder="1" applyAlignment="1">
      <alignment horizontal="center" vertical="center" wrapText="1"/>
    </xf>
    <xf numFmtId="0" fontId="2" fillId="12" borderId="45" xfId="0" applyFont="1" applyFill="1" applyBorder="1" applyAlignment="1">
      <alignment horizontal="center" wrapText="1"/>
    </xf>
    <xf numFmtId="0" fontId="2" fillId="12" borderId="46" xfId="0" applyFont="1" applyFill="1" applyBorder="1" applyAlignment="1">
      <alignment horizontal="center" wrapText="1"/>
    </xf>
    <xf numFmtId="0" fontId="2" fillId="12" borderId="59" xfId="0" applyFont="1" applyFill="1" applyBorder="1" applyAlignment="1">
      <alignment horizontal="center" wrapText="1"/>
    </xf>
    <xf numFmtId="0" fontId="2" fillId="12" borderId="38" xfId="0" applyNumberFormat="1" applyFont="1" applyFill="1" applyBorder="1" applyAlignment="1">
      <alignment horizontal="center" vertical="center" wrapText="1"/>
    </xf>
    <xf numFmtId="0" fontId="2" fillId="12" borderId="44" xfId="0" applyNumberFormat="1" applyFont="1" applyFill="1" applyBorder="1" applyAlignment="1">
      <alignment horizontal="center" vertical="center" wrapText="1"/>
    </xf>
    <xf numFmtId="0" fontId="2" fillId="3" borderId="35" xfId="0" applyFont="1" applyFill="1" applyBorder="1" applyAlignment="1">
      <alignment wrapText="1"/>
    </xf>
    <xf numFmtId="0" fontId="2" fillId="3" borderId="41" xfId="0" applyFont="1" applyFill="1" applyBorder="1" applyAlignment="1">
      <alignment wrapText="1"/>
    </xf>
    <xf numFmtId="0" fontId="2" fillId="12" borderId="4" xfId="0" applyNumberFormat="1" applyFont="1" applyFill="1" applyBorder="1" applyAlignment="1">
      <alignment horizontal="center" vertical="center" wrapText="1"/>
    </xf>
    <xf numFmtId="0" fontId="2" fillId="10" borderId="37" xfId="0" applyNumberFormat="1" applyFont="1" applyFill="1" applyBorder="1" applyAlignment="1">
      <alignment horizontal="center" vertical="center" wrapText="1"/>
    </xf>
    <xf numFmtId="0" fontId="2" fillId="10" borderId="6" xfId="0" applyNumberFormat="1" applyFont="1" applyFill="1" applyBorder="1" applyAlignment="1">
      <alignment horizontal="center" vertical="center" wrapText="1"/>
    </xf>
    <xf numFmtId="0" fontId="2" fillId="10" borderId="43" xfId="0" applyNumberFormat="1" applyFont="1" applyFill="1" applyBorder="1" applyAlignment="1">
      <alignment horizontal="center" vertical="center" wrapText="1"/>
    </xf>
    <xf numFmtId="0" fontId="2" fillId="10" borderId="45" xfId="0" applyFont="1" applyFill="1" applyBorder="1" applyAlignment="1">
      <alignment horizontal="center" wrapText="1"/>
    </xf>
    <xf numFmtId="0" fontId="2" fillId="10" borderId="46" xfId="0" applyFont="1" applyFill="1" applyBorder="1" applyAlignment="1">
      <alignment horizontal="center" wrapText="1"/>
    </xf>
    <xf numFmtId="0" fontId="2" fillId="10" borderId="59" xfId="0" applyFont="1" applyFill="1" applyBorder="1" applyAlignment="1">
      <alignment horizontal="center" wrapText="1"/>
    </xf>
    <xf numFmtId="0" fontId="2" fillId="10" borderId="38" xfId="0" applyNumberFormat="1" applyFont="1" applyFill="1" applyBorder="1" applyAlignment="1">
      <alignment horizontal="center" vertical="center" wrapText="1"/>
    </xf>
    <xf numFmtId="0" fontId="2" fillId="10" borderId="44" xfId="0" applyNumberFormat="1" applyFont="1" applyFill="1" applyBorder="1" applyAlignment="1">
      <alignment horizontal="center" vertical="center" wrapText="1"/>
    </xf>
    <xf numFmtId="0" fontId="2" fillId="3" borderId="65" xfId="0" applyFont="1" applyFill="1" applyBorder="1" applyAlignment="1">
      <alignment wrapText="1"/>
    </xf>
    <xf numFmtId="0" fontId="2" fillId="3" borderId="51" xfId="0" applyFont="1" applyFill="1" applyBorder="1" applyAlignment="1">
      <alignment wrapText="1"/>
    </xf>
    <xf numFmtId="0" fontId="2" fillId="10" borderId="4" xfId="0" applyNumberFormat="1" applyFont="1" applyFill="1" applyBorder="1" applyAlignment="1">
      <alignment horizontal="center" vertical="center" wrapText="1"/>
    </xf>
    <xf numFmtId="0" fontId="2" fillId="8" borderId="45" xfId="0" applyFont="1" applyFill="1" applyBorder="1" applyAlignment="1">
      <alignment horizontal="center" wrapText="1"/>
    </xf>
    <xf numFmtId="0" fontId="2" fillId="8" borderId="46" xfId="0" applyFont="1" applyFill="1" applyBorder="1" applyAlignment="1">
      <alignment horizontal="center" wrapText="1"/>
    </xf>
    <xf numFmtId="0" fontId="2" fillId="8" borderId="47" xfId="0" applyFont="1" applyFill="1" applyBorder="1" applyAlignment="1">
      <alignment horizontal="center" wrapText="1"/>
    </xf>
    <xf numFmtId="0" fontId="1" fillId="15" borderId="33" xfId="0" applyFont="1" applyFill="1" applyBorder="1" applyAlignment="1">
      <alignment horizontal="center" wrapText="1"/>
    </xf>
    <xf numFmtId="0" fontId="1" fillId="15" borderId="5" xfId="0" applyFont="1" applyFill="1" applyBorder="1" applyAlignment="1">
      <alignment horizontal="center" wrapText="1"/>
    </xf>
    <xf numFmtId="0" fontId="1" fillId="15" borderId="34" xfId="0" applyFont="1" applyFill="1" applyBorder="1" applyAlignment="1">
      <alignment horizontal="center" wrapText="1"/>
    </xf>
    <xf numFmtId="0" fontId="1" fillId="15" borderId="18" xfId="0" applyFont="1" applyFill="1" applyBorder="1" applyAlignment="1">
      <alignment horizontal="center" wrapText="1"/>
    </xf>
    <xf numFmtId="0" fontId="1" fillId="15" borderId="19" xfId="0" applyFont="1" applyFill="1" applyBorder="1" applyAlignment="1">
      <alignment horizontal="center" wrapText="1"/>
    </xf>
    <xf numFmtId="0" fontId="1" fillId="15" borderId="20" xfId="0" applyFont="1" applyFill="1" applyBorder="1" applyAlignment="1">
      <alignment horizontal="center" wrapText="1"/>
    </xf>
    <xf numFmtId="0" fontId="2" fillId="8" borderId="73" xfId="0" applyFont="1" applyFill="1" applyBorder="1" applyAlignment="1">
      <alignment horizontal="center" wrapText="1"/>
    </xf>
    <xf numFmtId="0" fontId="2" fillId="8" borderId="74" xfId="0" applyFont="1" applyFill="1" applyBorder="1" applyAlignment="1">
      <alignment horizontal="center" wrapText="1"/>
    </xf>
    <xf numFmtId="0" fontId="2" fillId="8" borderId="92" xfId="0" applyFont="1" applyFill="1" applyBorder="1" applyAlignment="1">
      <alignment horizontal="center" wrapText="1"/>
    </xf>
    <xf numFmtId="0" fontId="2" fillId="0" borderId="69" xfId="0" applyNumberFormat="1" applyFont="1" applyFill="1" applyBorder="1" applyAlignment="1">
      <alignment horizontal="right" wrapText="1"/>
    </xf>
    <xf numFmtId="0" fontId="2" fillId="0" borderId="70" xfId="0" applyNumberFormat="1" applyFont="1" applyFill="1" applyBorder="1" applyAlignment="1">
      <alignment horizontal="right" wrapText="1"/>
    </xf>
    <xf numFmtId="0" fontId="2" fillId="0" borderId="68" xfId="0" applyNumberFormat="1" applyFont="1" applyFill="1" applyBorder="1" applyAlignment="1">
      <alignment horizontal="right" wrapText="1"/>
    </xf>
    <xf numFmtId="0" fontId="2" fillId="0" borderId="47" xfId="0" applyNumberFormat="1" applyFont="1" applyFill="1" applyBorder="1" applyAlignment="1">
      <alignment horizontal="right" wrapText="1"/>
    </xf>
    <xf numFmtId="0" fontId="2" fillId="0" borderId="66" xfId="0" applyNumberFormat="1" applyFont="1" applyFill="1" applyBorder="1" applyAlignment="1">
      <alignment horizontal="right" wrapText="1"/>
    </xf>
    <xf numFmtId="0" fontId="2" fillId="0" borderId="67" xfId="0" applyNumberFormat="1" applyFont="1" applyFill="1" applyBorder="1" applyAlignment="1">
      <alignment horizontal="right" wrapText="1"/>
    </xf>
    <xf numFmtId="0" fontId="16" fillId="17" borderId="19" xfId="1" applyFont="1" applyFill="1" applyBorder="1" applyAlignment="1">
      <alignment horizontal="center"/>
    </xf>
    <xf numFmtId="0" fontId="16" fillId="0" borderId="0" xfId="1" applyFont="1" applyAlignment="1" applyProtection="1">
      <alignment horizontal="left"/>
      <protection locked="0"/>
    </xf>
    <xf numFmtId="0" fontId="15" fillId="17" borderId="0" xfId="1" applyFont="1" applyFill="1" applyBorder="1" applyAlignment="1">
      <alignment horizontal="center"/>
    </xf>
    <xf numFmtId="0" fontId="16" fillId="17" borderId="0" xfId="1" applyFont="1" applyFill="1" applyBorder="1" applyAlignment="1">
      <alignment horizontal="center"/>
    </xf>
    <xf numFmtId="0" fontId="0" fillId="3" borderId="0" xfId="0" applyNumberFormat="1" applyFont="1" applyFill="1" applyBorder="1" applyAlignment="1">
      <alignment horizontal="center" vertical="center"/>
    </xf>
    <xf numFmtId="0" fontId="11" fillId="0" borderId="21" xfId="0" applyNumberFormat="1" applyFont="1" applyFill="1" applyBorder="1" applyAlignment="1">
      <alignment horizontal="center"/>
    </xf>
    <xf numFmtId="0" fontId="0" fillId="0" borderId="0" xfId="0" applyNumberFormat="1" applyFont="1" applyFill="1" applyBorder="1" applyAlignment="1">
      <alignment horizontal="center" vertical="center"/>
    </xf>
  </cellXfs>
  <cellStyles count="5">
    <cellStyle name="Followed Hyperlink" xfId="4" builtinId="9" hidden="1"/>
    <cellStyle name="Hyperlink 2" xfId="3" xr:uid="{00000000-0005-0000-0000-000001000000}"/>
    <cellStyle name="Normal" xfId="0" builtinId="0"/>
    <cellStyle name="Normal 2" xfId="1" xr:uid="{00000000-0005-0000-0000-000003000000}"/>
    <cellStyle name="Percent 2" xfId="2" xr:uid="{00000000-0005-0000-0000-000004000000}"/>
  </cellStyles>
  <dxfs count="10">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border>
        <left style="thin">
          <color rgb="FF00B050"/>
        </left>
        <right style="thin">
          <color rgb="FF00B050"/>
        </right>
        <top style="thin">
          <color rgb="FF00B050"/>
        </top>
        <bottom style="thin">
          <color rgb="FF00B050"/>
        </bottom>
      </border>
    </dxf>
    <dxf>
      <fill>
        <gradientFill degree="180">
          <stop position="0">
            <color theme="0"/>
          </stop>
          <stop position="1">
            <color theme="4"/>
          </stop>
        </gradientFill>
      </fill>
    </dxf>
    <dxf>
      <fill>
        <gradientFill degree="180">
          <stop position="0">
            <color theme="0"/>
          </stop>
          <stop position="1">
            <color theme="4"/>
          </stop>
        </gradient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10000"/>
      <rgbColor rgb="00FFFFFF"/>
      <rgbColor rgb="0099CCFF"/>
      <rgbColor rgb="00B3D580"/>
      <rgbColor rgb="00339966"/>
      <rgbColor rgb="00FF0000"/>
      <rgbColor rgb="00003366"/>
      <rgbColor rgb="00FFCC99"/>
      <rgbColor rgb="00FF6600"/>
      <rgbColor rgb="00008000"/>
      <rgbColor rgb="00DDDDDD"/>
      <rgbColor rgb="00E69999"/>
      <rgbColor rgb="00CCFFCC"/>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CC"/>
      <rgbColor rgb="00969696"/>
      <rgbColor rgb="00003366"/>
      <rgbColor rgb="00339966"/>
      <rgbColor rgb="00003300"/>
      <rgbColor rgb="00333300"/>
      <rgbColor rgb="00993300"/>
      <rgbColor rgb="00993366"/>
      <rgbColor rgb="00333399"/>
      <rgbColor rgb="00333333"/>
    </indexedColors>
    <mruColors>
      <color rgb="FFD59E7B"/>
      <color rgb="FFD5D514"/>
      <color rgb="FF8BA988"/>
      <color rgb="FFB07667"/>
      <color rgb="FFBDBF17"/>
      <color rgb="FFB75727"/>
      <color rgb="FF791F17"/>
      <color rgb="FF37793E"/>
      <color rgb="FF3290C4"/>
      <color rgb="FF94BCD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1" Type="http://schemas.openxmlformats.org/officeDocument/2006/relationships/image" Target="../media/image2.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SAMM Current Score</a:t>
            </a:r>
          </a:p>
        </c:rich>
      </c:tx>
      <c:layout>
        <c:manualLayout>
          <c:xMode val="edge"/>
          <c:yMode val="edge"/>
          <c:x val="0.68834891732283499"/>
          <c:y val="0.91054313099041495"/>
        </c:manualLayout>
      </c:layout>
      <c:overlay val="1"/>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radarChart>
        <c:radarStyle val="filled"/>
        <c:varyColors val="0"/>
        <c:ser>
          <c:idx val="4"/>
          <c:order val="0"/>
          <c:tx>
            <c:strRef>
              <c:f>Scorecard!$V$12</c:f>
              <c:strCache>
                <c:ptCount val="1"/>
                <c:pt idx="0">
                  <c:v>Governance</c:v>
                </c:pt>
              </c:strCache>
            </c:strRef>
          </c:tx>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Review</c:v>
                </c:pt>
                <c:pt idx="7">
                  <c:v>Implementation Review</c:v>
                </c:pt>
                <c:pt idx="8">
                  <c:v>Security Testing</c:v>
                </c:pt>
                <c:pt idx="9">
                  <c:v>Issue Management</c:v>
                </c:pt>
                <c:pt idx="10">
                  <c:v>Environment Hardening</c:v>
                </c:pt>
                <c:pt idx="11">
                  <c:v>Operational Enablement</c:v>
                </c:pt>
              </c:strCache>
            </c:strRef>
          </c:cat>
          <c:val>
            <c:numRef>
              <c:f>Scorecard!$V$13:$V$24</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0-6D1C-474B-B425-376F500D9178}"/>
            </c:ext>
          </c:extLst>
        </c:ser>
        <c:ser>
          <c:idx val="5"/>
          <c:order val="1"/>
          <c:tx>
            <c:strRef>
              <c:f>Scorecard!$W$12</c:f>
              <c:strCache>
                <c:ptCount val="1"/>
                <c:pt idx="0">
                  <c:v>Construction</c:v>
                </c:pt>
              </c:strCache>
            </c:strRef>
          </c:tx>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Review</c:v>
                </c:pt>
                <c:pt idx="7">
                  <c:v>Implementation Review</c:v>
                </c:pt>
                <c:pt idx="8">
                  <c:v>Security Testing</c:v>
                </c:pt>
                <c:pt idx="9">
                  <c:v>Issue Management</c:v>
                </c:pt>
                <c:pt idx="10">
                  <c:v>Environment Hardening</c:v>
                </c:pt>
                <c:pt idx="11">
                  <c:v>Operational Enablement</c:v>
                </c:pt>
              </c:strCache>
            </c:strRef>
          </c:cat>
          <c:val>
            <c:numRef>
              <c:f>Scorecard!$W$13:$W$24</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1-6D1C-474B-B425-376F500D9178}"/>
            </c:ext>
          </c:extLst>
        </c:ser>
        <c:ser>
          <c:idx val="6"/>
          <c:order val="2"/>
          <c:tx>
            <c:strRef>
              <c:f>Scorecard!$X$12</c:f>
              <c:strCache>
                <c:ptCount val="1"/>
                <c:pt idx="0">
                  <c:v>Verification</c:v>
                </c:pt>
              </c:strCache>
            </c:strRef>
          </c:tx>
          <c:spPr>
            <a:gradFill rotWithShape="1">
              <a:gsLst>
                <a:gs pos="0">
                  <a:schemeClr val="accent1">
                    <a:lumMod val="60000"/>
                    <a:shade val="51000"/>
                    <a:satMod val="130000"/>
                  </a:schemeClr>
                </a:gs>
                <a:gs pos="80000">
                  <a:schemeClr val="accent1">
                    <a:lumMod val="60000"/>
                    <a:shade val="93000"/>
                    <a:satMod val="130000"/>
                  </a:schemeClr>
                </a:gs>
                <a:gs pos="100000">
                  <a:schemeClr val="accent1">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Review</c:v>
                </c:pt>
                <c:pt idx="7">
                  <c:v>Implementation Review</c:v>
                </c:pt>
                <c:pt idx="8">
                  <c:v>Security Testing</c:v>
                </c:pt>
                <c:pt idx="9">
                  <c:v>Issue Management</c:v>
                </c:pt>
                <c:pt idx="10">
                  <c:v>Environment Hardening</c:v>
                </c:pt>
                <c:pt idx="11">
                  <c:v>Operational Enablement</c:v>
                </c:pt>
              </c:strCache>
            </c:strRef>
          </c:cat>
          <c:val>
            <c:numRef>
              <c:f>Scorecard!$X$13:$X$24</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2-6D1C-474B-B425-376F500D9178}"/>
            </c:ext>
          </c:extLst>
        </c:ser>
        <c:ser>
          <c:idx val="7"/>
          <c:order val="3"/>
          <c:tx>
            <c:strRef>
              <c:f>Scorecard!$Y$12</c:f>
              <c:strCache>
                <c:ptCount val="1"/>
                <c:pt idx="0">
                  <c:v>Operations</c:v>
                </c:pt>
              </c:strCache>
            </c:strRef>
          </c:tx>
          <c:spPr>
            <a:gradFill rotWithShape="1">
              <a:gsLst>
                <a:gs pos="0">
                  <a:schemeClr val="accent2">
                    <a:lumMod val="60000"/>
                    <a:shade val="51000"/>
                    <a:satMod val="130000"/>
                  </a:schemeClr>
                </a:gs>
                <a:gs pos="80000">
                  <a:schemeClr val="accent2">
                    <a:lumMod val="60000"/>
                    <a:shade val="93000"/>
                    <a:satMod val="130000"/>
                  </a:schemeClr>
                </a:gs>
                <a:gs pos="100000">
                  <a:schemeClr val="accent2">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Review</c:v>
                </c:pt>
                <c:pt idx="7">
                  <c:v>Implementation Review</c:v>
                </c:pt>
                <c:pt idx="8">
                  <c:v>Security Testing</c:v>
                </c:pt>
                <c:pt idx="9">
                  <c:v>Issue Management</c:v>
                </c:pt>
                <c:pt idx="10">
                  <c:v>Environment Hardening</c:v>
                </c:pt>
                <c:pt idx="11">
                  <c:v>Operational Enablement</c:v>
                </c:pt>
              </c:strCache>
            </c:strRef>
          </c:cat>
          <c:val>
            <c:numRef>
              <c:f>Scorecard!$Y$13:$Y$24</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3-6D1C-474B-B425-376F500D9178}"/>
            </c:ext>
          </c:extLst>
        </c:ser>
        <c:ser>
          <c:idx val="0"/>
          <c:order val="4"/>
          <c:tx>
            <c:strRef>
              <c:f>Scorecard!$V$12</c:f>
              <c:strCache>
                <c:ptCount val="1"/>
                <c:pt idx="0">
                  <c:v>Governance</c:v>
                </c:pt>
              </c:strCache>
            </c:strRef>
          </c:tx>
          <c:spPr>
            <a:solidFill>
              <a:srgbClr val="3290C4"/>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s>
            <c:dLbl>
              <c:idx val="0"/>
              <c:layout>
                <c:manualLayout>
                  <c:x val="1.03950103950103E-2"/>
                  <c:y val="5.431309904153350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6D1C-474B-B425-376F500D9178}"/>
                </c:ext>
              </c:extLst>
            </c:dLbl>
            <c:dLbl>
              <c:idx val="1"/>
              <c:layout>
                <c:manualLayout>
                  <c:x val="-1.2474012474012501E-2"/>
                  <c:y val="3.514376996805110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6D1C-474B-B425-376F500D9178}"/>
                </c:ext>
              </c:extLst>
            </c:dLbl>
            <c:dLbl>
              <c:idx val="2"/>
              <c:layout>
                <c:manualLayout>
                  <c:x val="-2.0790020790020899E-2"/>
                  <c:y val="2.236421725239609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6D1C-474B-B425-376F500D9178}"/>
                </c:ext>
              </c:extLst>
            </c:dLbl>
            <c:dLbl>
              <c:idx val="3"/>
              <c:delete val="1"/>
              <c:extLst>
                <c:ext xmlns:c15="http://schemas.microsoft.com/office/drawing/2012/chart" uri="{CE6537A1-D6FC-4f65-9D91-7224C49458BB}"/>
                <c:ext xmlns:c16="http://schemas.microsoft.com/office/drawing/2014/chart" uri="{C3380CC4-5D6E-409C-BE32-E72D297353CC}">
                  <c16:uniqueId val="{00000007-6D1C-474B-B425-376F500D9178}"/>
                </c:ext>
              </c:extLst>
            </c:dLbl>
            <c:dLbl>
              <c:idx val="4"/>
              <c:delete val="1"/>
              <c:extLst>
                <c:ext xmlns:c15="http://schemas.microsoft.com/office/drawing/2012/chart" uri="{CE6537A1-D6FC-4f65-9D91-7224C49458BB}"/>
                <c:ext xmlns:c16="http://schemas.microsoft.com/office/drawing/2014/chart" uri="{C3380CC4-5D6E-409C-BE32-E72D297353CC}">
                  <c16:uniqueId val="{00000008-6D1C-474B-B425-376F500D9178}"/>
                </c:ext>
              </c:extLst>
            </c:dLbl>
            <c:dLbl>
              <c:idx val="5"/>
              <c:delete val="1"/>
              <c:extLst>
                <c:ext xmlns:c15="http://schemas.microsoft.com/office/drawing/2012/chart" uri="{CE6537A1-D6FC-4f65-9D91-7224C49458BB}"/>
                <c:ext xmlns:c16="http://schemas.microsoft.com/office/drawing/2014/chart" uri="{C3380CC4-5D6E-409C-BE32-E72D297353CC}">
                  <c16:uniqueId val="{00000009-6D1C-474B-B425-376F500D9178}"/>
                </c:ext>
              </c:extLst>
            </c:dLbl>
            <c:dLbl>
              <c:idx val="6"/>
              <c:delete val="1"/>
              <c:extLst>
                <c:ext xmlns:c15="http://schemas.microsoft.com/office/drawing/2012/chart" uri="{CE6537A1-D6FC-4f65-9D91-7224C49458BB}"/>
                <c:ext xmlns:c16="http://schemas.microsoft.com/office/drawing/2014/chart" uri="{C3380CC4-5D6E-409C-BE32-E72D297353CC}">
                  <c16:uniqueId val="{0000000A-6D1C-474B-B425-376F500D9178}"/>
                </c:ext>
              </c:extLst>
            </c:dLbl>
            <c:dLbl>
              <c:idx val="7"/>
              <c:delete val="1"/>
              <c:extLst>
                <c:ext xmlns:c15="http://schemas.microsoft.com/office/drawing/2012/chart" uri="{CE6537A1-D6FC-4f65-9D91-7224C49458BB}"/>
                <c:ext xmlns:c16="http://schemas.microsoft.com/office/drawing/2014/chart" uri="{C3380CC4-5D6E-409C-BE32-E72D297353CC}">
                  <c16:uniqueId val="{0000000B-6D1C-474B-B425-376F500D9178}"/>
                </c:ext>
              </c:extLst>
            </c:dLbl>
            <c:dLbl>
              <c:idx val="8"/>
              <c:delete val="1"/>
              <c:extLst>
                <c:ext xmlns:c15="http://schemas.microsoft.com/office/drawing/2012/chart" uri="{CE6537A1-D6FC-4f65-9D91-7224C49458BB}"/>
                <c:ext xmlns:c16="http://schemas.microsoft.com/office/drawing/2014/chart" uri="{C3380CC4-5D6E-409C-BE32-E72D297353CC}">
                  <c16:uniqueId val="{0000000C-6D1C-474B-B425-376F500D9178}"/>
                </c:ext>
              </c:extLst>
            </c:dLbl>
            <c:dLbl>
              <c:idx val="9"/>
              <c:delete val="1"/>
              <c:extLst>
                <c:ext xmlns:c15="http://schemas.microsoft.com/office/drawing/2012/chart" uri="{CE6537A1-D6FC-4f65-9D91-7224C49458BB}"/>
                <c:ext xmlns:c16="http://schemas.microsoft.com/office/drawing/2014/chart" uri="{C3380CC4-5D6E-409C-BE32-E72D297353CC}">
                  <c16:uniqueId val="{0000000D-6D1C-474B-B425-376F500D9178}"/>
                </c:ext>
              </c:extLst>
            </c:dLbl>
            <c:dLbl>
              <c:idx val="10"/>
              <c:delete val="1"/>
              <c:extLst>
                <c:ext xmlns:c15="http://schemas.microsoft.com/office/drawing/2012/chart" uri="{CE6537A1-D6FC-4f65-9D91-7224C49458BB}"/>
                <c:ext xmlns:c16="http://schemas.microsoft.com/office/drawing/2014/chart" uri="{C3380CC4-5D6E-409C-BE32-E72D297353CC}">
                  <c16:uniqueId val="{0000000E-6D1C-474B-B425-376F500D9178}"/>
                </c:ext>
              </c:extLst>
            </c:dLbl>
            <c:dLbl>
              <c:idx val="11"/>
              <c:delete val="1"/>
              <c:extLst>
                <c:ext xmlns:c15="http://schemas.microsoft.com/office/drawing/2012/chart" uri="{CE6537A1-D6FC-4f65-9D91-7224C49458BB}"/>
                <c:ext xmlns:c16="http://schemas.microsoft.com/office/drawing/2014/chart" uri="{C3380CC4-5D6E-409C-BE32-E72D297353CC}">
                  <c16:uniqueId val="{0000000F-6D1C-474B-B425-376F500D9178}"/>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Review</c:v>
                </c:pt>
                <c:pt idx="7">
                  <c:v>Implementation Review</c:v>
                </c:pt>
                <c:pt idx="8">
                  <c:v>Security Testing</c:v>
                </c:pt>
                <c:pt idx="9">
                  <c:v>Issue Management</c:v>
                </c:pt>
                <c:pt idx="10">
                  <c:v>Environment Hardening</c:v>
                </c:pt>
                <c:pt idx="11">
                  <c:v>Operational Enablement</c:v>
                </c:pt>
              </c:strCache>
            </c:strRef>
          </c:cat>
          <c:val>
            <c:numRef>
              <c:f>Scorecard!$V$13:$V$24</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10-6D1C-474B-B425-376F500D9178}"/>
            </c:ext>
          </c:extLst>
        </c:ser>
        <c:ser>
          <c:idx val="1"/>
          <c:order val="5"/>
          <c:tx>
            <c:strRef>
              <c:f>Scorecard!$W$12</c:f>
              <c:strCache>
                <c:ptCount val="1"/>
                <c:pt idx="0">
                  <c:v>Construction</c:v>
                </c:pt>
              </c:strCache>
            </c:strRef>
          </c:tx>
          <c:spPr>
            <a:solidFill>
              <a:srgbClr val="B75727"/>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s>
            <c:dLbl>
              <c:idx val="0"/>
              <c:delete val="1"/>
              <c:extLst>
                <c:ext xmlns:c15="http://schemas.microsoft.com/office/drawing/2012/chart" uri="{CE6537A1-D6FC-4f65-9D91-7224C49458BB}"/>
                <c:ext xmlns:c16="http://schemas.microsoft.com/office/drawing/2014/chart" uri="{C3380CC4-5D6E-409C-BE32-E72D297353CC}">
                  <c16:uniqueId val="{00000011-6D1C-474B-B425-376F500D9178}"/>
                </c:ext>
              </c:extLst>
            </c:dLbl>
            <c:dLbl>
              <c:idx val="1"/>
              <c:delete val="1"/>
              <c:extLst>
                <c:ext xmlns:c15="http://schemas.microsoft.com/office/drawing/2012/chart" uri="{CE6537A1-D6FC-4f65-9D91-7224C49458BB}"/>
                <c:ext xmlns:c16="http://schemas.microsoft.com/office/drawing/2014/chart" uri="{C3380CC4-5D6E-409C-BE32-E72D297353CC}">
                  <c16:uniqueId val="{00000012-6D1C-474B-B425-376F500D9178}"/>
                </c:ext>
              </c:extLst>
            </c:dLbl>
            <c:dLbl>
              <c:idx val="2"/>
              <c:delete val="1"/>
              <c:extLst>
                <c:ext xmlns:c15="http://schemas.microsoft.com/office/drawing/2012/chart" uri="{CE6537A1-D6FC-4f65-9D91-7224C49458BB}"/>
                <c:ext xmlns:c16="http://schemas.microsoft.com/office/drawing/2014/chart" uri="{C3380CC4-5D6E-409C-BE32-E72D297353CC}">
                  <c16:uniqueId val="{00000013-6D1C-474B-B425-376F500D9178}"/>
                </c:ext>
              </c:extLst>
            </c:dLbl>
            <c:dLbl>
              <c:idx val="3"/>
              <c:layout>
                <c:manualLayout>
                  <c:x val="-2.9106029106029101E-2"/>
                  <c:y val="-6.3897763578275304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6D1C-474B-B425-376F500D9178}"/>
                </c:ext>
              </c:extLst>
            </c:dLbl>
            <c:dLbl>
              <c:idx val="4"/>
              <c:layout>
                <c:manualLayout>
                  <c:x val="-2.7027027027027101E-2"/>
                  <c:y val="-2.875399361022359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6D1C-474B-B425-376F500D9178}"/>
                </c:ext>
              </c:extLst>
            </c:dLbl>
            <c:dLbl>
              <c:idx val="5"/>
              <c:layout>
                <c:manualLayout>
                  <c:x val="-1.2474012474012501E-2"/>
                  <c:y val="-3.514376996805110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6-6D1C-474B-B425-376F500D9178}"/>
                </c:ext>
              </c:extLst>
            </c:dLbl>
            <c:dLbl>
              <c:idx val="6"/>
              <c:delete val="1"/>
              <c:extLst>
                <c:ext xmlns:c15="http://schemas.microsoft.com/office/drawing/2012/chart" uri="{CE6537A1-D6FC-4f65-9D91-7224C49458BB}"/>
                <c:ext xmlns:c16="http://schemas.microsoft.com/office/drawing/2014/chart" uri="{C3380CC4-5D6E-409C-BE32-E72D297353CC}">
                  <c16:uniqueId val="{00000017-6D1C-474B-B425-376F500D9178}"/>
                </c:ext>
              </c:extLst>
            </c:dLbl>
            <c:dLbl>
              <c:idx val="7"/>
              <c:delete val="1"/>
              <c:extLst>
                <c:ext xmlns:c15="http://schemas.microsoft.com/office/drawing/2012/chart" uri="{CE6537A1-D6FC-4f65-9D91-7224C49458BB}"/>
                <c:ext xmlns:c16="http://schemas.microsoft.com/office/drawing/2014/chart" uri="{C3380CC4-5D6E-409C-BE32-E72D297353CC}">
                  <c16:uniqueId val="{00000018-6D1C-474B-B425-376F500D9178}"/>
                </c:ext>
              </c:extLst>
            </c:dLbl>
            <c:dLbl>
              <c:idx val="8"/>
              <c:delete val="1"/>
              <c:extLst>
                <c:ext xmlns:c15="http://schemas.microsoft.com/office/drawing/2012/chart" uri="{CE6537A1-D6FC-4f65-9D91-7224C49458BB}"/>
                <c:ext xmlns:c16="http://schemas.microsoft.com/office/drawing/2014/chart" uri="{C3380CC4-5D6E-409C-BE32-E72D297353CC}">
                  <c16:uniqueId val="{00000019-6D1C-474B-B425-376F500D9178}"/>
                </c:ext>
              </c:extLst>
            </c:dLbl>
            <c:dLbl>
              <c:idx val="9"/>
              <c:delete val="1"/>
              <c:extLst>
                <c:ext xmlns:c15="http://schemas.microsoft.com/office/drawing/2012/chart" uri="{CE6537A1-D6FC-4f65-9D91-7224C49458BB}"/>
                <c:ext xmlns:c16="http://schemas.microsoft.com/office/drawing/2014/chart" uri="{C3380CC4-5D6E-409C-BE32-E72D297353CC}">
                  <c16:uniqueId val="{0000001A-6D1C-474B-B425-376F500D9178}"/>
                </c:ext>
              </c:extLst>
            </c:dLbl>
            <c:dLbl>
              <c:idx val="10"/>
              <c:delete val="1"/>
              <c:extLst>
                <c:ext xmlns:c15="http://schemas.microsoft.com/office/drawing/2012/chart" uri="{CE6537A1-D6FC-4f65-9D91-7224C49458BB}"/>
                <c:ext xmlns:c16="http://schemas.microsoft.com/office/drawing/2014/chart" uri="{C3380CC4-5D6E-409C-BE32-E72D297353CC}">
                  <c16:uniqueId val="{0000001B-6D1C-474B-B425-376F500D9178}"/>
                </c:ext>
              </c:extLst>
            </c:dLbl>
            <c:dLbl>
              <c:idx val="11"/>
              <c:delete val="1"/>
              <c:extLst>
                <c:ext xmlns:c15="http://schemas.microsoft.com/office/drawing/2012/chart" uri="{CE6537A1-D6FC-4f65-9D91-7224C49458BB}"/>
                <c:ext xmlns:c16="http://schemas.microsoft.com/office/drawing/2014/chart" uri="{C3380CC4-5D6E-409C-BE32-E72D297353CC}">
                  <c16:uniqueId val="{0000001C-6D1C-474B-B425-376F500D9178}"/>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Review</c:v>
                </c:pt>
                <c:pt idx="7">
                  <c:v>Implementation Review</c:v>
                </c:pt>
                <c:pt idx="8">
                  <c:v>Security Testing</c:v>
                </c:pt>
                <c:pt idx="9">
                  <c:v>Issue Management</c:v>
                </c:pt>
                <c:pt idx="10">
                  <c:v>Environment Hardening</c:v>
                </c:pt>
                <c:pt idx="11">
                  <c:v>Operational Enablement</c:v>
                </c:pt>
              </c:strCache>
            </c:strRef>
          </c:cat>
          <c:val>
            <c:numRef>
              <c:f>Scorecard!$W$13:$W$24</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1D-6D1C-474B-B425-376F500D9178}"/>
            </c:ext>
          </c:extLst>
        </c:ser>
        <c:ser>
          <c:idx val="2"/>
          <c:order val="6"/>
          <c:tx>
            <c:strRef>
              <c:f>Scorecard!$X$12</c:f>
              <c:strCache>
                <c:ptCount val="1"/>
                <c:pt idx="0">
                  <c:v>Verification</c:v>
                </c:pt>
              </c:strCache>
            </c:strRef>
          </c:tx>
          <c:spPr>
            <a:solidFill>
              <a:srgbClr val="37793E"/>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s>
            <c:dLbl>
              <c:idx val="0"/>
              <c:delete val="1"/>
              <c:extLst>
                <c:ext xmlns:c15="http://schemas.microsoft.com/office/drawing/2012/chart" uri="{CE6537A1-D6FC-4f65-9D91-7224C49458BB}"/>
                <c:ext xmlns:c16="http://schemas.microsoft.com/office/drawing/2014/chart" uri="{C3380CC4-5D6E-409C-BE32-E72D297353CC}">
                  <c16:uniqueId val="{0000001E-6D1C-474B-B425-376F500D9178}"/>
                </c:ext>
              </c:extLst>
            </c:dLbl>
            <c:dLbl>
              <c:idx val="1"/>
              <c:delete val="1"/>
              <c:extLst>
                <c:ext xmlns:c15="http://schemas.microsoft.com/office/drawing/2012/chart" uri="{CE6537A1-D6FC-4f65-9D91-7224C49458BB}"/>
                <c:ext xmlns:c16="http://schemas.microsoft.com/office/drawing/2014/chart" uri="{C3380CC4-5D6E-409C-BE32-E72D297353CC}">
                  <c16:uniqueId val="{0000001F-6D1C-474B-B425-376F500D9178}"/>
                </c:ext>
              </c:extLst>
            </c:dLbl>
            <c:dLbl>
              <c:idx val="2"/>
              <c:delete val="1"/>
              <c:extLst>
                <c:ext xmlns:c15="http://schemas.microsoft.com/office/drawing/2012/chart" uri="{CE6537A1-D6FC-4f65-9D91-7224C49458BB}"/>
                <c:ext xmlns:c16="http://schemas.microsoft.com/office/drawing/2014/chart" uri="{C3380CC4-5D6E-409C-BE32-E72D297353CC}">
                  <c16:uniqueId val="{00000020-6D1C-474B-B425-376F500D9178}"/>
                </c:ext>
              </c:extLst>
            </c:dLbl>
            <c:dLbl>
              <c:idx val="3"/>
              <c:delete val="1"/>
              <c:extLst>
                <c:ext xmlns:c15="http://schemas.microsoft.com/office/drawing/2012/chart" uri="{CE6537A1-D6FC-4f65-9D91-7224C49458BB}"/>
                <c:ext xmlns:c16="http://schemas.microsoft.com/office/drawing/2014/chart" uri="{C3380CC4-5D6E-409C-BE32-E72D297353CC}">
                  <c16:uniqueId val="{00000021-6D1C-474B-B425-376F500D9178}"/>
                </c:ext>
              </c:extLst>
            </c:dLbl>
            <c:dLbl>
              <c:idx val="4"/>
              <c:delete val="1"/>
              <c:extLst>
                <c:ext xmlns:c15="http://schemas.microsoft.com/office/drawing/2012/chart" uri="{CE6537A1-D6FC-4f65-9D91-7224C49458BB}"/>
                <c:ext xmlns:c16="http://schemas.microsoft.com/office/drawing/2014/chart" uri="{C3380CC4-5D6E-409C-BE32-E72D297353CC}">
                  <c16:uniqueId val="{00000022-6D1C-474B-B425-376F500D9178}"/>
                </c:ext>
              </c:extLst>
            </c:dLbl>
            <c:dLbl>
              <c:idx val="5"/>
              <c:delete val="1"/>
              <c:extLst>
                <c:ext xmlns:c15="http://schemas.microsoft.com/office/drawing/2012/chart" uri="{CE6537A1-D6FC-4f65-9D91-7224C49458BB}"/>
                <c:ext xmlns:c16="http://schemas.microsoft.com/office/drawing/2014/chart" uri="{C3380CC4-5D6E-409C-BE32-E72D297353CC}">
                  <c16:uniqueId val="{00000023-6D1C-474B-B425-376F500D9178}"/>
                </c:ext>
              </c:extLst>
            </c:dLbl>
            <c:dLbl>
              <c:idx val="6"/>
              <c:layout>
                <c:manualLayout>
                  <c:x val="-7.6229195623904006E-17"/>
                  <c:y val="-6.389776357827470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6D1C-474B-B425-376F500D9178}"/>
                </c:ext>
              </c:extLst>
            </c:dLbl>
            <c:dLbl>
              <c:idx val="7"/>
              <c:layout>
                <c:manualLayout>
                  <c:x val="1.03950103950103E-2"/>
                  <c:y val="-4.153354632587859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6D1C-474B-B425-376F500D9178}"/>
                </c:ext>
              </c:extLst>
            </c:dLbl>
            <c:dLbl>
              <c:idx val="8"/>
              <c:layout>
                <c:manualLayout>
                  <c:x val="2.2869022869022902E-2"/>
                  <c:y val="-1.9169329073482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6D1C-474B-B425-376F500D9178}"/>
                </c:ext>
              </c:extLst>
            </c:dLbl>
            <c:dLbl>
              <c:idx val="9"/>
              <c:delete val="1"/>
              <c:extLst>
                <c:ext xmlns:c15="http://schemas.microsoft.com/office/drawing/2012/chart" uri="{CE6537A1-D6FC-4f65-9D91-7224C49458BB}"/>
                <c:ext xmlns:c16="http://schemas.microsoft.com/office/drawing/2014/chart" uri="{C3380CC4-5D6E-409C-BE32-E72D297353CC}">
                  <c16:uniqueId val="{00000027-6D1C-474B-B425-376F500D9178}"/>
                </c:ext>
              </c:extLst>
            </c:dLbl>
            <c:dLbl>
              <c:idx val="10"/>
              <c:delete val="1"/>
              <c:extLst>
                <c:ext xmlns:c15="http://schemas.microsoft.com/office/drawing/2012/chart" uri="{CE6537A1-D6FC-4f65-9D91-7224C49458BB}"/>
                <c:ext xmlns:c16="http://schemas.microsoft.com/office/drawing/2014/chart" uri="{C3380CC4-5D6E-409C-BE32-E72D297353CC}">
                  <c16:uniqueId val="{00000028-6D1C-474B-B425-376F500D9178}"/>
                </c:ext>
              </c:extLst>
            </c:dLbl>
            <c:dLbl>
              <c:idx val="11"/>
              <c:delete val="1"/>
              <c:extLst>
                <c:ext xmlns:c15="http://schemas.microsoft.com/office/drawing/2012/chart" uri="{CE6537A1-D6FC-4f65-9D91-7224C49458BB}"/>
                <c:ext xmlns:c16="http://schemas.microsoft.com/office/drawing/2014/chart" uri="{C3380CC4-5D6E-409C-BE32-E72D297353CC}">
                  <c16:uniqueId val="{00000029-6D1C-474B-B425-376F500D9178}"/>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Review</c:v>
                </c:pt>
                <c:pt idx="7">
                  <c:v>Implementation Review</c:v>
                </c:pt>
                <c:pt idx="8">
                  <c:v>Security Testing</c:v>
                </c:pt>
                <c:pt idx="9">
                  <c:v>Issue Management</c:v>
                </c:pt>
                <c:pt idx="10">
                  <c:v>Environment Hardening</c:v>
                </c:pt>
                <c:pt idx="11">
                  <c:v>Operational Enablement</c:v>
                </c:pt>
              </c:strCache>
            </c:strRef>
          </c:cat>
          <c:val>
            <c:numRef>
              <c:f>Scorecard!$X$13:$X$24</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2A-6D1C-474B-B425-376F500D9178}"/>
            </c:ext>
          </c:extLst>
        </c:ser>
        <c:ser>
          <c:idx val="3"/>
          <c:order val="7"/>
          <c:tx>
            <c:strRef>
              <c:f>Scorecard!$Y$12</c:f>
              <c:strCache>
                <c:ptCount val="1"/>
                <c:pt idx="0">
                  <c:v>Operations</c:v>
                </c:pt>
              </c:strCache>
            </c:strRef>
          </c:tx>
          <c:spPr>
            <a:solidFill>
              <a:srgbClr val="791F17"/>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s>
            <c:dLbl>
              <c:idx val="0"/>
              <c:delete val="1"/>
              <c:extLst>
                <c:ext xmlns:c15="http://schemas.microsoft.com/office/drawing/2012/chart" uri="{CE6537A1-D6FC-4f65-9D91-7224C49458BB}"/>
                <c:ext xmlns:c16="http://schemas.microsoft.com/office/drawing/2014/chart" uri="{C3380CC4-5D6E-409C-BE32-E72D297353CC}">
                  <c16:uniqueId val="{0000002B-6D1C-474B-B425-376F500D9178}"/>
                </c:ext>
              </c:extLst>
            </c:dLbl>
            <c:dLbl>
              <c:idx val="1"/>
              <c:delete val="1"/>
              <c:extLst>
                <c:ext xmlns:c15="http://schemas.microsoft.com/office/drawing/2012/chart" uri="{CE6537A1-D6FC-4f65-9D91-7224C49458BB}"/>
                <c:ext xmlns:c16="http://schemas.microsoft.com/office/drawing/2014/chart" uri="{C3380CC4-5D6E-409C-BE32-E72D297353CC}">
                  <c16:uniqueId val="{0000002C-6D1C-474B-B425-376F500D9178}"/>
                </c:ext>
              </c:extLst>
            </c:dLbl>
            <c:dLbl>
              <c:idx val="2"/>
              <c:delete val="1"/>
              <c:extLst>
                <c:ext xmlns:c15="http://schemas.microsoft.com/office/drawing/2012/chart" uri="{CE6537A1-D6FC-4f65-9D91-7224C49458BB}"/>
                <c:ext xmlns:c16="http://schemas.microsoft.com/office/drawing/2014/chart" uri="{C3380CC4-5D6E-409C-BE32-E72D297353CC}">
                  <c16:uniqueId val="{0000002D-6D1C-474B-B425-376F500D9178}"/>
                </c:ext>
              </c:extLst>
            </c:dLbl>
            <c:dLbl>
              <c:idx val="3"/>
              <c:delete val="1"/>
              <c:extLst>
                <c:ext xmlns:c15="http://schemas.microsoft.com/office/drawing/2012/chart" uri="{CE6537A1-D6FC-4f65-9D91-7224C49458BB}"/>
                <c:ext xmlns:c16="http://schemas.microsoft.com/office/drawing/2014/chart" uri="{C3380CC4-5D6E-409C-BE32-E72D297353CC}">
                  <c16:uniqueId val="{0000002E-6D1C-474B-B425-376F500D9178}"/>
                </c:ext>
              </c:extLst>
            </c:dLbl>
            <c:dLbl>
              <c:idx val="4"/>
              <c:delete val="1"/>
              <c:extLst>
                <c:ext xmlns:c15="http://schemas.microsoft.com/office/drawing/2012/chart" uri="{CE6537A1-D6FC-4f65-9D91-7224C49458BB}"/>
                <c:ext xmlns:c16="http://schemas.microsoft.com/office/drawing/2014/chart" uri="{C3380CC4-5D6E-409C-BE32-E72D297353CC}">
                  <c16:uniqueId val="{0000002F-6D1C-474B-B425-376F500D9178}"/>
                </c:ext>
              </c:extLst>
            </c:dLbl>
            <c:dLbl>
              <c:idx val="5"/>
              <c:delete val="1"/>
              <c:extLst>
                <c:ext xmlns:c15="http://schemas.microsoft.com/office/drawing/2012/chart" uri="{CE6537A1-D6FC-4f65-9D91-7224C49458BB}"/>
                <c:ext xmlns:c16="http://schemas.microsoft.com/office/drawing/2014/chart" uri="{C3380CC4-5D6E-409C-BE32-E72D297353CC}">
                  <c16:uniqueId val="{00000030-6D1C-474B-B425-376F500D9178}"/>
                </c:ext>
              </c:extLst>
            </c:dLbl>
            <c:dLbl>
              <c:idx val="6"/>
              <c:delete val="1"/>
              <c:extLst>
                <c:ext xmlns:c15="http://schemas.microsoft.com/office/drawing/2012/chart" uri="{CE6537A1-D6FC-4f65-9D91-7224C49458BB}"/>
                <c:ext xmlns:c16="http://schemas.microsoft.com/office/drawing/2014/chart" uri="{C3380CC4-5D6E-409C-BE32-E72D297353CC}">
                  <c16:uniqueId val="{00000031-6D1C-474B-B425-376F500D9178}"/>
                </c:ext>
              </c:extLst>
            </c:dLbl>
            <c:dLbl>
              <c:idx val="7"/>
              <c:delete val="1"/>
              <c:extLst>
                <c:ext xmlns:c15="http://schemas.microsoft.com/office/drawing/2012/chart" uri="{CE6537A1-D6FC-4f65-9D91-7224C49458BB}"/>
                <c:ext xmlns:c16="http://schemas.microsoft.com/office/drawing/2014/chart" uri="{C3380CC4-5D6E-409C-BE32-E72D297353CC}">
                  <c16:uniqueId val="{00000032-6D1C-474B-B425-376F500D9178}"/>
                </c:ext>
              </c:extLst>
            </c:dLbl>
            <c:dLbl>
              <c:idx val="8"/>
              <c:delete val="1"/>
              <c:extLst>
                <c:ext xmlns:c15="http://schemas.microsoft.com/office/drawing/2012/chart" uri="{CE6537A1-D6FC-4f65-9D91-7224C49458BB}"/>
                <c:ext xmlns:c16="http://schemas.microsoft.com/office/drawing/2014/chart" uri="{C3380CC4-5D6E-409C-BE32-E72D297353CC}">
                  <c16:uniqueId val="{00000033-6D1C-474B-B425-376F500D9178}"/>
                </c:ext>
              </c:extLst>
            </c:dLbl>
            <c:dLbl>
              <c:idx val="9"/>
              <c:layout>
                <c:manualLayout>
                  <c:x val="4.3659043659043599E-2"/>
                  <c:y val="1.9169329073482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6D1C-474B-B425-376F500D9178}"/>
                </c:ext>
              </c:extLst>
            </c:dLbl>
            <c:dLbl>
              <c:idx val="10"/>
              <c:layout>
                <c:manualLayout>
                  <c:x val="2.2869022869022902E-2"/>
                  <c:y val="1.9169329073482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6D1C-474B-B425-376F500D9178}"/>
                </c:ext>
              </c:extLst>
            </c:dLbl>
            <c:dLbl>
              <c:idx val="11"/>
              <c:layout>
                <c:manualLayout>
                  <c:x val="8.3160083160082401E-3"/>
                  <c:y val="3.1948881789137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6D1C-474B-B425-376F500D9178}"/>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Review</c:v>
                </c:pt>
                <c:pt idx="7">
                  <c:v>Implementation Review</c:v>
                </c:pt>
                <c:pt idx="8">
                  <c:v>Security Testing</c:v>
                </c:pt>
                <c:pt idx="9">
                  <c:v>Issue Management</c:v>
                </c:pt>
                <c:pt idx="10">
                  <c:v>Environment Hardening</c:v>
                </c:pt>
                <c:pt idx="11">
                  <c:v>Operational Enablement</c:v>
                </c:pt>
              </c:strCache>
            </c:strRef>
          </c:cat>
          <c:val>
            <c:numRef>
              <c:f>Scorecard!$Y$13:$Y$24</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37-6D1C-474B-B425-376F500D9178}"/>
            </c:ext>
          </c:extLst>
        </c:ser>
        <c:dLbls>
          <c:showLegendKey val="0"/>
          <c:showVal val="0"/>
          <c:showCatName val="0"/>
          <c:showSerName val="0"/>
          <c:showPercent val="0"/>
          <c:showBubbleSize val="0"/>
        </c:dLbls>
        <c:axId val="-1853951552"/>
        <c:axId val="-1733289472"/>
      </c:radarChart>
      <c:catAx>
        <c:axId val="-185395155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3289472"/>
        <c:crosses val="autoZero"/>
        <c:auto val="1"/>
        <c:lblAlgn val="ctr"/>
        <c:lblOffset val="100"/>
        <c:noMultiLvlLbl val="0"/>
      </c:catAx>
      <c:valAx>
        <c:axId val="-1733289472"/>
        <c:scaling>
          <c:orientation val="minMax"/>
          <c:max val="3"/>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395155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453555370854797E-2"/>
          <c:y val="0.158227848101266"/>
          <c:w val="0.92047529424983898"/>
          <c:h val="0.645569620253165"/>
        </c:manualLayout>
      </c:layout>
      <c:areaChart>
        <c:grouping val="standard"/>
        <c:varyColors val="0"/>
        <c:ser>
          <c:idx val="0"/>
          <c:order val="0"/>
          <c:spPr>
            <a:solidFill>
              <a:srgbClr val="B75727"/>
            </a:solidFill>
            <a:ln w="25400">
              <a:noFill/>
            </a:ln>
          </c:spPr>
          <c:val>
            <c:numRef>
              <c:f>'Roadmap Chart'!$B$15:$J$15</c:f>
              <c:numCache>
                <c:formatCode>0.00</c:formatCode>
                <c:ptCount val="9"/>
                <c:pt idx="0">
                  <c:v>0</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90F6-46BF-A6D0-6EDA868CD3FB}"/>
            </c:ext>
          </c:extLst>
        </c:ser>
        <c:dLbls>
          <c:showLegendKey val="0"/>
          <c:showVal val="0"/>
          <c:showCatName val="0"/>
          <c:showSerName val="0"/>
          <c:showPercent val="0"/>
          <c:showBubbleSize val="0"/>
        </c:dLbls>
        <c:axId val="-1734317040"/>
        <c:axId val="-1757680912"/>
      </c:areaChart>
      <c:catAx>
        <c:axId val="-1734317040"/>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en-US"/>
          </a:p>
        </c:txPr>
        <c:crossAx val="-1757680912"/>
        <c:crosses val="autoZero"/>
        <c:auto val="1"/>
        <c:lblAlgn val="ctr"/>
        <c:lblOffset val="100"/>
        <c:tickLblSkip val="9"/>
        <c:tickMarkSkip val="9"/>
        <c:noMultiLvlLbl val="0"/>
      </c:catAx>
      <c:valAx>
        <c:axId val="-1757680912"/>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en-US"/>
          </a:p>
        </c:txPr>
        <c:crossAx val="-1734317040"/>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453555370854797E-2"/>
          <c:y val="0.158227848101266"/>
          <c:w val="0.92047529424983898"/>
          <c:h val="0.645569620253165"/>
        </c:manualLayout>
      </c:layout>
      <c:areaChart>
        <c:grouping val="standard"/>
        <c:varyColors val="0"/>
        <c:ser>
          <c:idx val="0"/>
          <c:order val="0"/>
          <c:spPr>
            <a:solidFill>
              <a:srgbClr val="B75727"/>
            </a:solidFill>
            <a:ln w="25400">
              <a:noFill/>
            </a:ln>
          </c:spPr>
          <c:val>
            <c:numRef>
              <c:f>'Roadmap Chart'!$B$16:$J$16</c:f>
              <c:numCache>
                <c:formatCode>0.00</c:formatCode>
                <c:ptCount val="9"/>
                <c:pt idx="0">
                  <c:v>0</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AEBC-4D66-A4F6-E9E8112D96DC}"/>
            </c:ext>
          </c:extLst>
        </c:ser>
        <c:dLbls>
          <c:showLegendKey val="0"/>
          <c:showVal val="0"/>
          <c:showCatName val="0"/>
          <c:showSerName val="0"/>
          <c:showPercent val="0"/>
          <c:showBubbleSize val="0"/>
        </c:dLbls>
        <c:axId val="-1708566064"/>
        <c:axId val="-1757587024"/>
      </c:areaChart>
      <c:catAx>
        <c:axId val="-1708566064"/>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en-US"/>
          </a:p>
        </c:txPr>
        <c:crossAx val="-1757587024"/>
        <c:crosses val="autoZero"/>
        <c:auto val="1"/>
        <c:lblAlgn val="ctr"/>
        <c:lblOffset val="100"/>
        <c:tickLblSkip val="9"/>
        <c:tickMarkSkip val="9"/>
        <c:noMultiLvlLbl val="0"/>
      </c:catAx>
      <c:valAx>
        <c:axId val="-1757587024"/>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en-US"/>
          </a:p>
        </c:txPr>
        <c:crossAx val="-1708566064"/>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364908055410102E-2"/>
          <c:y val="0.15723367011639"/>
          <c:w val="0.92060886742575798"/>
          <c:h val="0.64780272087952595"/>
        </c:manualLayout>
      </c:layout>
      <c:areaChart>
        <c:grouping val="standard"/>
        <c:varyColors val="0"/>
        <c:ser>
          <c:idx val="0"/>
          <c:order val="0"/>
          <c:spPr>
            <a:solidFill>
              <a:srgbClr val="B75727"/>
            </a:solidFill>
            <a:ln w="25400">
              <a:noFill/>
            </a:ln>
          </c:spPr>
          <c:val>
            <c:numRef>
              <c:f>'Roadmap Chart'!$B$17:$J$17</c:f>
              <c:numCache>
                <c:formatCode>0.00</c:formatCode>
                <c:ptCount val="9"/>
                <c:pt idx="0">
                  <c:v>0</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1CAD-4BBC-AB04-539BAD828096}"/>
            </c:ext>
          </c:extLst>
        </c:ser>
        <c:dLbls>
          <c:showLegendKey val="0"/>
          <c:showVal val="0"/>
          <c:showCatName val="0"/>
          <c:showSerName val="0"/>
          <c:showPercent val="0"/>
          <c:showBubbleSize val="0"/>
        </c:dLbls>
        <c:axId val="-1734342896"/>
        <c:axId val="-1734340576"/>
      </c:areaChart>
      <c:catAx>
        <c:axId val="-1734342896"/>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en-US"/>
          </a:p>
        </c:txPr>
        <c:crossAx val="-1734340576"/>
        <c:crosses val="autoZero"/>
        <c:auto val="1"/>
        <c:lblAlgn val="ctr"/>
        <c:lblOffset val="100"/>
        <c:tickLblSkip val="9"/>
        <c:tickMarkSkip val="9"/>
        <c:noMultiLvlLbl val="0"/>
      </c:catAx>
      <c:valAx>
        <c:axId val="-1734340576"/>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en-US"/>
          </a:p>
        </c:txPr>
        <c:crossAx val="-1734342896"/>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453555370854797E-2"/>
          <c:y val="0.15625047683861301"/>
          <c:w val="0.92047529424983898"/>
          <c:h val="0.65000198364863204"/>
        </c:manualLayout>
      </c:layout>
      <c:areaChart>
        <c:grouping val="standard"/>
        <c:varyColors val="0"/>
        <c:ser>
          <c:idx val="0"/>
          <c:order val="0"/>
          <c:spPr>
            <a:solidFill>
              <a:srgbClr val="37793E"/>
            </a:solidFill>
            <a:ln w="25400">
              <a:noFill/>
            </a:ln>
          </c:spPr>
          <c:val>
            <c:numRef>
              <c:f>'Roadmap Chart'!$B$18:$J$18</c:f>
              <c:numCache>
                <c:formatCode>0.00</c:formatCode>
                <c:ptCount val="9"/>
                <c:pt idx="0">
                  <c:v>0</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A766-4434-9D8C-312C28E6E1F1}"/>
            </c:ext>
          </c:extLst>
        </c:ser>
        <c:dLbls>
          <c:showLegendKey val="0"/>
          <c:showVal val="0"/>
          <c:showCatName val="0"/>
          <c:showSerName val="0"/>
          <c:showPercent val="0"/>
          <c:showBubbleSize val="0"/>
        </c:dLbls>
        <c:axId val="-1734308736"/>
        <c:axId val="-1734306416"/>
      </c:areaChart>
      <c:catAx>
        <c:axId val="-1734308736"/>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en-US"/>
          </a:p>
        </c:txPr>
        <c:crossAx val="-1734306416"/>
        <c:crosses val="autoZero"/>
        <c:auto val="1"/>
        <c:lblAlgn val="ctr"/>
        <c:lblOffset val="100"/>
        <c:tickLblSkip val="9"/>
        <c:tickMarkSkip val="9"/>
        <c:noMultiLvlLbl val="0"/>
      </c:catAx>
      <c:valAx>
        <c:axId val="-1734306416"/>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en-US"/>
          </a:p>
        </c:txPr>
        <c:crossAx val="-1734308736"/>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364908055410102E-2"/>
          <c:y val="0.15527950310558999"/>
          <c:w val="0.92060886742575798"/>
          <c:h val="0.65217391304347905"/>
        </c:manualLayout>
      </c:layout>
      <c:areaChart>
        <c:grouping val="standard"/>
        <c:varyColors val="0"/>
        <c:ser>
          <c:idx val="0"/>
          <c:order val="0"/>
          <c:spPr>
            <a:solidFill>
              <a:srgbClr val="37793E"/>
            </a:solidFill>
            <a:ln w="25400">
              <a:noFill/>
            </a:ln>
          </c:spPr>
          <c:val>
            <c:numRef>
              <c:f>'Roadmap Chart'!$B$19:$J$19</c:f>
              <c:numCache>
                <c:formatCode>0.00</c:formatCode>
                <c:ptCount val="9"/>
                <c:pt idx="0">
                  <c:v>0</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A7BA-4A3D-8CF8-482269D47B74}"/>
            </c:ext>
          </c:extLst>
        </c:ser>
        <c:dLbls>
          <c:showLegendKey val="0"/>
          <c:showVal val="0"/>
          <c:showCatName val="0"/>
          <c:showSerName val="0"/>
          <c:showPercent val="0"/>
          <c:showBubbleSize val="0"/>
        </c:dLbls>
        <c:axId val="-1730467536"/>
        <c:axId val="-1757796352"/>
      </c:areaChart>
      <c:catAx>
        <c:axId val="-1730467536"/>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en-US"/>
          </a:p>
        </c:txPr>
        <c:crossAx val="-1757796352"/>
        <c:crosses val="autoZero"/>
        <c:auto val="1"/>
        <c:lblAlgn val="ctr"/>
        <c:lblOffset val="100"/>
        <c:tickLblSkip val="9"/>
        <c:tickMarkSkip val="9"/>
        <c:noMultiLvlLbl val="0"/>
      </c:catAx>
      <c:valAx>
        <c:axId val="-1757796352"/>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en-US"/>
          </a:p>
        </c:txPr>
        <c:crossAx val="-1730467536"/>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542372881355902E-2"/>
          <c:y val="0.15527950310558999"/>
          <c:w val="0.92033898305084705"/>
          <c:h val="0.65217391304347905"/>
        </c:manualLayout>
      </c:layout>
      <c:areaChart>
        <c:grouping val="standard"/>
        <c:varyColors val="0"/>
        <c:ser>
          <c:idx val="0"/>
          <c:order val="0"/>
          <c:spPr>
            <a:solidFill>
              <a:srgbClr val="37793E"/>
            </a:solidFill>
            <a:ln w="25400">
              <a:noFill/>
            </a:ln>
          </c:spPr>
          <c:val>
            <c:numRef>
              <c:f>'Roadmap Chart'!$B$20:$J$20</c:f>
              <c:numCache>
                <c:formatCode>0.00</c:formatCode>
                <c:ptCount val="9"/>
                <c:pt idx="0">
                  <c:v>0</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9EA7-44E3-A7C9-332FF630466A}"/>
            </c:ext>
          </c:extLst>
        </c:ser>
        <c:dLbls>
          <c:showLegendKey val="0"/>
          <c:showVal val="0"/>
          <c:showCatName val="0"/>
          <c:showSerName val="0"/>
          <c:showPercent val="0"/>
          <c:showBubbleSize val="0"/>
        </c:dLbls>
        <c:axId val="-1757435280"/>
        <c:axId val="-1757432960"/>
      </c:areaChart>
      <c:catAx>
        <c:axId val="-1757435280"/>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en-US"/>
          </a:p>
        </c:txPr>
        <c:crossAx val="-1757432960"/>
        <c:crosses val="autoZero"/>
        <c:auto val="1"/>
        <c:lblAlgn val="ctr"/>
        <c:lblOffset val="100"/>
        <c:tickLblSkip val="9"/>
        <c:tickMarkSkip val="9"/>
        <c:noMultiLvlLbl val="0"/>
      </c:catAx>
      <c:valAx>
        <c:axId val="-1757432960"/>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en-US"/>
          </a:p>
        </c:txPr>
        <c:crossAx val="-1757435280"/>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453555370854797E-2"/>
          <c:y val="0.15432191793208599"/>
          <c:w val="0.92047529424983898"/>
          <c:h val="0.654324932032046"/>
        </c:manualLayout>
      </c:layout>
      <c:areaChart>
        <c:grouping val="standard"/>
        <c:varyColors val="0"/>
        <c:ser>
          <c:idx val="0"/>
          <c:order val="0"/>
          <c:spPr>
            <a:solidFill>
              <a:srgbClr val="791F17"/>
            </a:solidFill>
            <a:ln w="25400">
              <a:noFill/>
            </a:ln>
          </c:spPr>
          <c:val>
            <c:numRef>
              <c:f>'Roadmap Chart'!$B$21:$J$21</c:f>
              <c:numCache>
                <c:formatCode>0.00</c:formatCode>
                <c:ptCount val="9"/>
                <c:pt idx="0">
                  <c:v>0</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AB2F-4148-B1E2-C3E071367C71}"/>
            </c:ext>
          </c:extLst>
        </c:ser>
        <c:dLbls>
          <c:showLegendKey val="0"/>
          <c:showVal val="0"/>
          <c:showCatName val="0"/>
          <c:showSerName val="0"/>
          <c:showPercent val="0"/>
          <c:showBubbleSize val="0"/>
        </c:dLbls>
        <c:axId val="-1757543872"/>
        <c:axId val="-1733835056"/>
      </c:areaChart>
      <c:catAx>
        <c:axId val="-1757543872"/>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en-US"/>
          </a:p>
        </c:txPr>
        <c:crossAx val="-1733835056"/>
        <c:crosses val="autoZero"/>
        <c:auto val="1"/>
        <c:lblAlgn val="ctr"/>
        <c:lblOffset val="100"/>
        <c:tickLblSkip val="9"/>
        <c:tickMarkSkip val="9"/>
        <c:noMultiLvlLbl val="0"/>
      </c:catAx>
      <c:valAx>
        <c:axId val="-1733835056"/>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en-US"/>
          </a:p>
        </c:txPr>
        <c:crossAx val="-1757543872"/>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364908055410102E-2"/>
          <c:y val="0.15337469257660499"/>
          <c:w val="0.92060886742575798"/>
          <c:h val="0.65644368422786903"/>
        </c:manualLayout>
      </c:layout>
      <c:areaChart>
        <c:grouping val="standard"/>
        <c:varyColors val="0"/>
        <c:ser>
          <c:idx val="0"/>
          <c:order val="0"/>
          <c:spPr>
            <a:solidFill>
              <a:srgbClr val="791F17"/>
            </a:solidFill>
            <a:ln w="25400">
              <a:noFill/>
            </a:ln>
          </c:spPr>
          <c:val>
            <c:numRef>
              <c:f>'Roadmap Chart'!$B$22:$J$22</c:f>
              <c:numCache>
                <c:formatCode>0.00</c:formatCode>
                <c:ptCount val="9"/>
                <c:pt idx="0">
                  <c:v>0</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F070-44D2-89E0-142AC72699B2}"/>
            </c:ext>
          </c:extLst>
        </c:ser>
        <c:dLbls>
          <c:showLegendKey val="0"/>
          <c:showVal val="0"/>
          <c:showCatName val="0"/>
          <c:showSerName val="0"/>
          <c:showPercent val="0"/>
          <c:showBubbleSize val="0"/>
        </c:dLbls>
        <c:axId val="-1708151760"/>
        <c:axId val="-1708149440"/>
      </c:areaChart>
      <c:catAx>
        <c:axId val="-1708151760"/>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en-US"/>
          </a:p>
        </c:txPr>
        <c:crossAx val="-1708149440"/>
        <c:crosses val="autoZero"/>
        <c:auto val="1"/>
        <c:lblAlgn val="ctr"/>
        <c:lblOffset val="100"/>
        <c:tickLblSkip val="9"/>
        <c:tickMarkSkip val="9"/>
        <c:noMultiLvlLbl val="0"/>
      </c:catAx>
      <c:valAx>
        <c:axId val="-1708149440"/>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en-US"/>
          </a:p>
        </c:txPr>
        <c:crossAx val="-1708151760"/>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364908055410102E-2"/>
          <c:y val="0.15337469257660499"/>
          <c:w val="0.92060886742575798"/>
          <c:h val="0.65644368422786903"/>
        </c:manualLayout>
      </c:layout>
      <c:areaChart>
        <c:grouping val="standard"/>
        <c:varyColors val="0"/>
        <c:ser>
          <c:idx val="0"/>
          <c:order val="0"/>
          <c:spPr>
            <a:solidFill>
              <a:srgbClr val="791F17"/>
            </a:solidFill>
            <a:ln w="25400">
              <a:noFill/>
            </a:ln>
          </c:spPr>
          <c:val>
            <c:numRef>
              <c:f>'Roadmap Chart'!$B$23:$J$23</c:f>
              <c:numCache>
                <c:formatCode>0.00</c:formatCode>
                <c:ptCount val="9"/>
                <c:pt idx="0">
                  <c:v>0</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738E-4145-9B06-670AEB96F08E}"/>
            </c:ext>
          </c:extLst>
        </c:ser>
        <c:dLbls>
          <c:showLegendKey val="0"/>
          <c:showVal val="0"/>
          <c:showCatName val="0"/>
          <c:showSerName val="0"/>
          <c:showPercent val="0"/>
          <c:showBubbleSize val="0"/>
        </c:dLbls>
        <c:axId val="-1757456832"/>
        <c:axId val="-1757454512"/>
      </c:areaChart>
      <c:catAx>
        <c:axId val="-1757456832"/>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en-US"/>
          </a:p>
        </c:txPr>
        <c:crossAx val="-1757454512"/>
        <c:crosses val="autoZero"/>
        <c:auto val="1"/>
        <c:lblAlgn val="ctr"/>
        <c:lblOffset val="100"/>
        <c:tickLblSkip val="9"/>
        <c:tickMarkSkip val="9"/>
        <c:noMultiLvlLbl val="0"/>
      </c:catAx>
      <c:valAx>
        <c:axId val="-1757454512"/>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en-US"/>
          </a:p>
        </c:txPr>
        <c:crossAx val="-1757456832"/>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radarChart>
        <c:radarStyle val="filled"/>
        <c:varyColors val="0"/>
        <c:ser>
          <c:idx val="0"/>
          <c:order val="0"/>
          <c:tx>
            <c:strRef>
              <c:f>'Roadmap Chart'!$AA$11</c:f>
              <c:strCache>
                <c:ptCount val="1"/>
                <c:pt idx="0">
                  <c:v>Phase 4</c:v>
                </c:pt>
              </c:strCache>
            </c:strRef>
          </c:tx>
          <c:spPr>
            <a:solidFill>
              <a:schemeClr val="accent3"/>
            </a:solidFill>
            <a:ln>
              <a:solidFill>
                <a:schemeClr val="accent3"/>
              </a:solidFill>
            </a:ln>
          </c:spPr>
          <c:cat>
            <c:strRef>
              <c:f>'Roadmap Chart'!$Z$12:$Z$23</c:f>
              <c:strCache>
                <c:ptCount val="12"/>
                <c:pt idx="0">
                  <c:v>Strategy &amp; metrics</c:v>
                </c:pt>
                <c:pt idx="1">
                  <c:v>Policy &amp; Compliance</c:v>
                </c:pt>
                <c:pt idx="2">
                  <c:v>Education &amp; Guidance</c:v>
                </c:pt>
                <c:pt idx="3">
                  <c:v>Threat Assessment</c:v>
                </c:pt>
                <c:pt idx="4">
                  <c:v>Security Requirements</c:v>
                </c:pt>
                <c:pt idx="5">
                  <c:v>Secure Architecture</c:v>
                </c:pt>
                <c:pt idx="6">
                  <c:v>Design Review</c:v>
                </c:pt>
                <c:pt idx="7">
                  <c:v>Implementation Review</c:v>
                </c:pt>
                <c:pt idx="8">
                  <c:v>Security Testing</c:v>
                </c:pt>
                <c:pt idx="9">
                  <c:v>Issue Management</c:v>
                </c:pt>
                <c:pt idx="10">
                  <c:v>Environment Hardening</c:v>
                </c:pt>
                <c:pt idx="11">
                  <c:v>Operational Enablement</c:v>
                </c:pt>
              </c:strCache>
            </c:strRef>
          </c:cat>
          <c:val>
            <c:numRef>
              <c:f>'Roadmap Chart'!$AA$12:$AA$23</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0-47DE-45B4-A333-13B34FC5CC07}"/>
            </c:ext>
          </c:extLst>
        </c:ser>
        <c:ser>
          <c:idx val="1"/>
          <c:order val="1"/>
          <c:tx>
            <c:strRef>
              <c:f>'Roadmap Chart'!$AB$11</c:f>
              <c:strCache>
                <c:ptCount val="1"/>
                <c:pt idx="0">
                  <c:v>Phase 3</c:v>
                </c:pt>
              </c:strCache>
            </c:strRef>
          </c:tx>
          <c:spPr>
            <a:solidFill>
              <a:srgbClr val="00B0F0"/>
            </a:solidFill>
          </c:spPr>
          <c:cat>
            <c:strRef>
              <c:f>'Roadmap Chart'!$Z$12:$Z$23</c:f>
              <c:strCache>
                <c:ptCount val="12"/>
                <c:pt idx="0">
                  <c:v>Strategy &amp; metrics</c:v>
                </c:pt>
                <c:pt idx="1">
                  <c:v>Policy &amp; Compliance</c:v>
                </c:pt>
                <c:pt idx="2">
                  <c:v>Education &amp; Guidance</c:v>
                </c:pt>
                <c:pt idx="3">
                  <c:v>Threat Assessment</c:v>
                </c:pt>
                <c:pt idx="4">
                  <c:v>Security Requirements</c:v>
                </c:pt>
                <c:pt idx="5">
                  <c:v>Secure Architecture</c:v>
                </c:pt>
                <c:pt idx="6">
                  <c:v>Design Review</c:v>
                </c:pt>
                <c:pt idx="7">
                  <c:v>Implementation Review</c:v>
                </c:pt>
                <c:pt idx="8">
                  <c:v>Security Testing</c:v>
                </c:pt>
                <c:pt idx="9">
                  <c:v>Issue Management</c:v>
                </c:pt>
                <c:pt idx="10">
                  <c:v>Environment Hardening</c:v>
                </c:pt>
                <c:pt idx="11">
                  <c:v>Operational Enablement</c:v>
                </c:pt>
              </c:strCache>
            </c:strRef>
          </c:cat>
          <c:val>
            <c:numRef>
              <c:f>'Roadmap Chart'!$AB$12:$AB$23</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1-47DE-45B4-A333-13B34FC5CC07}"/>
            </c:ext>
          </c:extLst>
        </c:ser>
        <c:ser>
          <c:idx val="2"/>
          <c:order val="2"/>
          <c:tx>
            <c:strRef>
              <c:f>'Roadmap Chart'!$AC$11</c:f>
              <c:strCache>
                <c:ptCount val="1"/>
                <c:pt idx="0">
                  <c:v>Phase 2</c:v>
                </c:pt>
              </c:strCache>
            </c:strRef>
          </c:tx>
          <c:spPr>
            <a:solidFill>
              <a:srgbClr val="FFC000"/>
            </a:solidFill>
          </c:spPr>
          <c:cat>
            <c:strRef>
              <c:f>'Roadmap Chart'!$Z$12:$Z$23</c:f>
              <c:strCache>
                <c:ptCount val="12"/>
                <c:pt idx="0">
                  <c:v>Strategy &amp; metrics</c:v>
                </c:pt>
                <c:pt idx="1">
                  <c:v>Policy &amp; Compliance</c:v>
                </c:pt>
                <c:pt idx="2">
                  <c:v>Education &amp; Guidance</c:v>
                </c:pt>
                <c:pt idx="3">
                  <c:v>Threat Assessment</c:v>
                </c:pt>
                <c:pt idx="4">
                  <c:v>Security Requirements</c:v>
                </c:pt>
                <c:pt idx="5">
                  <c:v>Secure Architecture</c:v>
                </c:pt>
                <c:pt idx="6">
                  <c:v>Design Review</c:v>
                </c:pt>
                <c:pt idx="7">
                  <c:v>Implementation Review</c:v>
                </c:pt>
                <c:pt idx="8">
                  <c:v>Security Testing</c:v>
                </c:pt>
                <c:pt idx="9">
                  <c:v>Issue Management</c:v>
                </c:pt>
                <c:pt idx="10">
                  <c:v>Environment Hardening</c:v>
                </c:pt>
                <c:pt idx="11">
                  <c:v>Operational Enablement</c:v>
                </c:pt>
              </c:strCache>
            </c:strRef>
          </c:cat>
          <c:val>
            <c:numRef>
              <c:f>'Roadmap Chart'!$AC$12:$AC$23</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2-47DE-45B4-A333-13B34FC5CC07}"/>
            </c:ext>
          </c:extLst>
        </c:ser>
        <c:ser>
          <c:idx val="3"/>
          <c:order val="3"/>
          <c:tx>
            <c:strRef>
              <c:f>'Roadmap Chart'!$AD$11</c:f>
              <c:strCache>
                <c:ptCount val="1"/>
                <c:pt idx="0">
                  <c:v>Phase 1</c:v>
                </c:pt>
              </c:strCache>
            </c:strRef>
          </c:tx>
          <c:spPr>
            <a:solidFill>
              <a:schemeClr val="accent2"/>
            </a:solidFill>
            <a:ln>
              <a:solidFill>
                <a:schemeClr val="accent2"/>
              </a:solidFill>
            </a:ln>
          </c:spPr>
          <c:cat>
            <c:strRef>
              <c:f>'Roadmap Chart'!$Z$12:$Z$23</c:f>
              <c:strCache>
                <c:ptCount val="12"/>
                <c:pt idx="0">
                  <c:v>Strategy &amp; metrics</c:v>
                </c:pt>
                <c:pt idx="1">
                  <c:v>Policy &amp; Compliance</c:v>
                </c:pt>
                <c:pt idx="2">
                  <c:v>Education &amp; Guidance</c:v>
                </c:pt>
                <c:pt idx="3">
                  <c:v>Threat Assessment</c:v>
                </c:pt>
                <c:pt idx="4">
                  <c:v>Security Requirements</c:v>
                </c:pt>
                <c:pt idx="5">
                  <c:v>Secure Architecture</c:v>
                </c:pt>
                <c:pt idx="6">
                  <c:v>Design Review</c:v>
                </c:pt>
                <c:pt idx="7">
                  <c:v>Implementation Review</c:v>
                </c:pt>
                <c:pt idx="8">
                  <c:v>Security Testing</c:v>
                </c:pt>
                <c:pt idx="9">
                  <c:v>Issue Management</c:v>
                </c:pt>
                <c:pt idx="10">
                  <c:v>Environment Hardening</c:v>
                </c:pt>
                <c:pt idx="11">
                  <c:v>Operational Enablement</c:v>
                </c:pt>
              </c:strCache>
            </c:strRef>
          </c:cat>
          <c:val>
            <c:numRef>
              <c:f>'Roadmap Chart'!$AD$12:$AD$23</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3-47DE-45B4-A333-13B34FC5CC07}"/>
            </c:ext>
          </c:extLst>
        </c:ser>
        <c:ser>
          <c:idx val="4"/>
          <c:order val="4"/>
          <c:tx>
            <c:strRef>
              <c:f>'Roadmap Chart'!$AE$11</c:f>
              <c:strCache>
                <c:ptCount val="1"/>
                <c:pt idx="0">
                  <c:v>Start</c:v>
                </c:pt>
              </c:strCache>
            </c:strRef>
          </c:tx>
          <c:spPr>
            <a:solidFill>
              <a:schemeClr val="bg2">
                <a:lumMod val="90000"/>
              </a:schemeClr>
            </a:solidFill>
          </c:spPr>
          <c:cat>
            <c:strRef>
              <c:f>'Roadmap Chart'!$Z$12:$Z$23</c:f>
              <c:strCache>
                <c:ptCount val="12"/>
                <c:pt idx="0">
                  <c:v>Strategy &amp; metrics</c:v>
                </c:pt>
                <c:pt idx="1">
                  <c:v>Policy &amp; Compliance</c:v>
                </c:pt>
                <c:pt idx="2">
                  <c:v>Education &amp; Guidance</c:v>
                </c:pt>
                <c:pt idx="3">
                  <c:v>Threat Assessment</c:v>
                </c:pt>
                <c:pt idx="4">
                  <c:v>Security Requirements</c:v>
                </c:pt>
                <c:pt idx="5">
                  <c:v>Secure Architecture</c:v>
                </c:pt>
                <c:pt idx="6">
                  <c:v>Design Review</c:v>
                </c:pt>
                <c:pt idx="7">
                  <c:v>Implementation Review</c:v>
                </c:pt>
                <c:pt idx="8">
                  <c:v>Security Testing</c:v>
                </c:pt>
                <c:pt idx="9">
                  <c:v>Issue Management</c:v>
                </c:pt>
                <c:pt idx="10">
                  <c:v>Environment Hardening</c:v>
                </c:pt>
                <c:pt idx="11">
                  <c:v>Operational Enablement</c:v>
                </c:pt>
              </c:strCache>
            </c:strRef>
          </c:cat>
          <c:val>
            <c:numRef>
              <c:f>'Roadmap Chart'!$AE$12:$AE$23</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0-6BE1-4C0A-80AB-A8DC500F7FEA}"/>
            </c:ext>
          </c:extLst>
        </c:ser>
        <c:dLbls>
          <c:showLegendKey val="0"/>
          <c:showVal val="0"/>
          <c:showCatName val="0"/>
          <c:showSerName val="0"/>
          <c:showPercent val="0"/>
          <c:showBubbleSize val="0"/>
        </c:dLbls>
        <c:axId val="-1708641200"/>
        <c:axId val="-1708638880"/>
      </c:radarChart>
      <c:catAx>
        <c:axId val="-1708641200"/>
        <c:scaling>
          <c:orientation val="minMax"/>
        </c:scaling>
        <c:delete val="0"/>
        <c:axPos val="b"/>
        <c:majorGridlines/>
        <c:numFmt formatCode="General" sourceLinked="0"/>
        <c:majorTickMark val="out"/>
        <c:minorTickMark val="none"/>
        <c:tickLblPos val="nextTo"/>
        <c:txPr>
          <a:bodyPr/>
          <a:lstStyle/>
          <a:p>
            <a:pPr>
              <a:defRPr b="1"/>
            </a:pPr>
            <a:endParaRPr lang="en-US"/>
          </a:p>
        </c:txPr>
        <c:crossAx val="-1708638880"/>
        <c:crosses val="autoZero"/>
        <c:auto val="1"/>
        <c:lblAlgn val="ctr"/>
        <c:lblOffset val="100"/>
        <c:noMultiLvlLbl val="0"/>
      </c:catAx>
      <c:valAx>
        <c:axId val="-1708638880"/>
        <c:scaling>
          <c:orientation val="minMax"/>
        </c:scaling>
        <c:delete val="0"/>
        <c:axPos val="l"/>
        <c:majorGridlines/>
        <c:numFmt formatCode="0.00" sourceLinked="1"/>
        <c:majorTickMark val="cross"/>
        <c:minorTickMark val="none"/>
        <c:tickLblPos val="nextTo"/>
        <c:txPr>
          <a:bodyPr/>
          <a:lstStyle/>
          <a:p>
            <a:pPr>
              <a:defRPr sz="1100" b="0">
                <a:latin typeface="+mj-lt"/>
              </a:defRPr>
            </a:pPr>
            <a:endParaRPr lang="en-US"/>
          </a:p>
        </c:txPr>
        <c:crossAx val="-1708641200"/>
        <c:crosses val="autoZero"/>
        <c:crossBetween val="between"/>
        <c:majorUnit val="1"/>
      </c:valAx>
    </c:plotArea>
    <c:legend>
      <c:legendPos val="r"/>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SAMM Phase 2 Score</a:t>
            </a:r>
          </a:p>
        </c:rich>
      </c:tx>
      <c:layout>
        <c:manualLayout>
          <c:xMode val="edge"/>
          <c:yMode val="edge"/>
          <c:x val="0.68583333333333296"/>
          <c:y val="0.91373801916932895"/>
        </c:manualLayout>
      </c:layout>
      <c:overlay val="1"/>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radarChart>
        <c:radarStyle val="filled"/>
        <c:varyColors val="0"/>
        <c:ser>
          <c:idx val="4"/>
          <c:order val="0"/>
          <c:tx>
            <c:strRef>
              <c:f>Scorecard!$V$46</c:f>
              <c:strCache>
                <c:ptCount val="1"/>
                <c:pt idx="0">
                  <c:v>Governance</c:v>
                </c:pt>
              </c:strCache>
            </c:strRef>
          </c:tx>
          <c:spPr>
            <a:solidFill>
              <a:srgbClr val="3290C4"/>
            </a:solidFill>
            <a:ln>
              <a:solidFill>
                <a:srgbClr val="3290C4"/>
              </a:solid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s>
            <c:dLbl>
              <c:idx val="0"/>
              <c:layout>
                <c:manualLayout>
                  <c:x val="1.8749999999999999E-2"/>
                  <c:y val="5.750798722044719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47C7-4F81-AE6A-F33F59DA5C48}"/>
                </c:ext>
              </c:extLst>
            </c:dLbl>
            <c:dLbl>
              <c:idx val="1"/>
              <c:layout>
                <c:manualLayout>
                  <c:x val="-1.4583333333333399E-2"/>
                  <c:y val="3.833865814696479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47C7-4F81-AE6A-F33F59DA5C48}"/>
                </c:ext>
              </c:extLst>
            </c:dLbl>
            <c:dLbl>
              <c:idx val="2"/>
              <c:layout>
                <c:manualLayout>
                  <c:x val="-3.5416666666666798E-2"/>
                  <c:y val="6.3897763578274697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47C7-4F81-AE6A-F33F59DA5C48}"/>
                </c:ext>
              </c:extLst>
            </c:dLbl>
            <c:dLbl>
              <c:idx val="3"/>
              <c:delete val="1"/>
              <c:extLst>
                <c:ext xmlns:c15="http://schemas.microsoft.com/office/drawing/2012/chart" uri="{CE6537A1-D6FC-4f65-9D91-7224C49458BB}"/>
                <c:ext xmlns:c16="http://schemas.microsoft.com/office/drawing/2014/chart" uri="{C3380CC4-5D6E-409C-BE32-E72D297353CC}">
                  <c16:uniqueId val="{00000003-47C7-4F81-AE6A-F33F59DA5C48}"/>
                </c:ext>
              </c:extLst>
            </c:dLbl>
            <c:dLbl>
              <c:idx val="4"/>
              <c:delete val="1"/>
              <c:extLst>
                <c:ext xmlns:c15="http://schemas.microsoft.com/office/drawing/2012/chart" uri="{CE6537A1-D6FC-4f65-9D91-7224C49458BB}"/>
                <c:ext xmlns:c16="http://schemas.microsoft.com/office/drawing/2014/chart" uri="{C3380CC4-5D6E-409C-BE32-E72D297353CC}">
                  <c16:uniqueId val="{00000004-47C7-4F81-AE6A-F33F59DA5C48}"/>
                </c:ext>
              </c:extLst>
            </c:dLbl>
            <c:dLbl>
              <c:idx val="5"/>
              <c:delete val="1"/>
              <c:extLst>
                <c:ext xmlns:c15="http://schemas.microsoft.com/office/drawing/2012/chart" uri="{CE6537A1-D6FC-4f65-9D91-7224C49458BB}"/>
                <c:ext xmlns:c16="http://schemas.microsoft.com/office/drawing/2014/chart" uri="{C3380CC4-5D6E-409C-BE32-E72D297353CC}">
                  <c16:uniqueId val="{00000005-47C7-4F81-AE6A-F33F59DA5C48}"/>
                </c:ext>
              </c:extLst>
            </c:dLbl>
            <c:dLbl>
              <c:idx val="6"/>
              <c:delete val="1"/>
              <c:extLst>
                <c:ext xmlns:c15="http://schemas.microsoft.com/office/drawing/2012/chart" uri="{CE6537A1-D6FC-4f65-9D91-7224C49458BB}"/>
                <c:ext xmlns:c16="http://schemas.microsoft.com/office/drawing/2014/chart" uri="{C3380CC4-5D6E-409C-BE32-E72D297353CC}">
                  <c16:uniqueId val="{00000006-47C7-4F81-AE6A-F33F59DA5C48}"/>
                </c:ext>
              </c:extLst>
            </c:dLbl>
            <c:dLbl>
              <c:idx val="7"/>
              <c:delete val="1"/>
              <c:extLst>
                <c:ext xmlns:c15="http://schemas.microsoft.com/office/drawing/2012/chart" uri="{CE6537A1-D6FC-4f65-9D91-7224C49458BB}"/>
                <c:ext xmlns:c16="http://schemas.microsoft.com/office/drawing/2014/chart" uri="{C3380CC4-5D6E-409C-BE32-E72D297353CC}">
                  <c16:uniqueId val="{00000007-47C7-4F81-AE6A-F33F59DA5C48}"/>
                </c:ext>
              </c:extLst>
            </c:dLbl>
            <c:dLbl>
              <c:idx val="8"/>
              <c:delete val="1"/>
              <c:extLst>
                <c:ext xmlns:c15="http://schemas.microsoft.com/office/drawing/2012/chart" uri="{CE6537A1-D6FC-4f65-9D91-7224C49458BB}"/>
                <c:ext xmlns:c16="http://schemas.microsoft.com/office/drawing/2014/chart" uri="{C3380CC4-5D6E-409C-BE32-E72D297353CC}">
                  <c16:uniqueId val="{00000008-47C7-4F81-AE6A-F33F59DA5C48}"/>
                </c:ext>
              </c:extLst>
            </c:dLbl>
            <c:dLbl>
              <c:idx val="9"/>
              <c:delete val="1"/>
              <c:extLst>
                <c:ext xmlns:c15="http://schemas.microsoft.com/office/drawing/2012/chart" uri="{CE6537A1-D6FC-4f65-9D91-7224C49458BB}"/>
                <c:ext xmlns:c16="http://schemas.microsoft.com/office/drawing/2014/chart" uri="{C3380CC4-5D6E-409C-BE32-E72D297353CC}">
                  <c16:uniqueId val="{00000009-47C7-4F81-AE6A-F33F59DA5C48}"/>
                </c:ext>
              </c:extLst>
            </c:dLbl>
            <c:dLbl>
              <c:idx val="10"/>
              <c:delete val="1"/>
              <c:extLst>
                <c:ext xmlns:c15="http://schemas.microsoft.com/office/drawing/2012/chart" uri="{CE6537A1-D6FC-4f65-9D91-7224C49458BB}"/>
                <c:ext xmlns:c16="http://schemas.microsoft.com/office/drawing/2014/chart" uri="{C3380CC4-5D6E-409C-BE32-E72D297353CC}">
                  <c16:uniqueId val="{0000000A-47C7-4F81-AE6A-F33F59DA5C48}"/>
                </c:ext>
              </c:extLst>
            </c:dLbl>
            <c:dLbl>
              <c:idx val="11"/>
              <c:delete val="1"/>
              <c:extLst>
                <c:ext xmlns:c15="http://schemas.microsoft.com/office/drawing/2012/chart" uri="{CE6537A1-D6FC-4f65-9D91-7224C49458BB}"/>
                <c:ext xmlns:c16="http://schemas.microsoft.com/office/drawing/2014/chart" uri="{C3380CC4-5D6E-409C-BE32-E72D297353CC}">
                  <c16:uniqueId val="{0000000B-47C7-4F81-AE6A-F33F59DA5C48}"/>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Review</c:v>
                </c:pt>
                <c:pt idx="7">
                  <c:v>Implementation Review</c:v>
                </c:pt>
                <c:pt idx="8">
                  <c:v>Security Testing</c:v>
                </c:pt>
                <c:pt idx="9">
                  <c:v>Issue Management</c:v>
                </c:pt>
                <c:pt idx="10">
                  <c:v>Environment Hardening</c:v>
                </c:pt>
                <c:pt idx="11">
                  <c:v>Operational Enablement</c:v>
                </c:pt>
              </c:strCache>
            </c:strRef>
          </c:cat>
          <c:val>
            <c:numRef>
              <c:f>Scorecard!$V$47:$V$58</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C-47C7-4F81-AE6A-F33F59DA5C48}"/>
            </c:ext>
          </c:extLst>
        </c:ser>
        <c:ser>
          <c:idx val="5"/>
          <c:order val="1"/>
          <c:tx>
            <c:strRef>
              <c:f>Scorecard!$W$46</c:f>
              <c:strCache>
                <c:ptCount val="1"/>
                <c:pt idx="0">
                  <c:v>Construction</c:v>
                </c:pt>
              </c:strCache>
            </c:strRef>
          </c:tx>
          <c:spPr>
            <a:solidFill>
              <a:srgbClr val="B75727"/>
            </a:solidFill>
            <a:ln>
              <a:solidFill>
                <a:srgbClr val="B75727"/>
              </a:solid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s>
            <c:dLbl>
              <c:idx val="0"/>
              <c:delete val="1"/>
              <c:extLst>
                <c:ext xmlns:c15="http://schemas.microsoft.com/office/drawing/2012/chart" uri="{CE6537A1-D6FC-4f65-9D91-7224C49458BB}"/>
                <c:ext xmlns:c16="http://schemas.microsoft.com/office/drawing/2014/chart" uri="{C3380CC4-5D6E-409C-BE32-E72D297353CC}">
                  <c16:uniqueId val="{0000000D-47C7-4F81-AE6A-F33F59DA5C48}"/>
                </c:ext>
              </c:extLst>
            </c:dLbl>
            <c:dLbl>
              <c:idx val="1"/>
              <c:delete val="1"/>
              <c:extLst>
                <c:ext xmlns:c15="http://schemas.microsoft.com/office/drawing/2012/chart" uri="{CE6537A1-D6FC-4f65-9D91-7224C49458BB}"/>
                <c:ext xmlns:c16="http://schemas.microsoft.com/office/drawing/2014/chart" uri="{C3380CC4-5D6E-409C-BE32-E72D297353CC}">
                  <c16:uniqueId val="{0000000E-47C7-4F81-AE6A-F33F59DA5C48}"/>
                </c:ext>
              </c:extLst>
            </c:dLbl>
            <c:dLbl>
              <c:idx val="2"/>
              <c:delete val="1"/>
              <c:extLst>
                <c:ext xmlns:c15="http://schemas.microsoft.com/office/drawing/2012/chart" uri="{CE6537A1-D6FC-4f65-9D91-7224C49458BB}"/>
                <c:ext xmlns:c16="http://schemas.microsoft.com/office/drawing/2014/chart" uri="{C3380CC4-5D6E-409C-BE32-E72D297353CC}">
                  <c16:uniqueId val="{0000000F-47C7-4F81-AE6A-F33F59DA5C48}"/>
                </c:ext>
              </c:extLst>
            </c:dLbl>
            <c:dLbl>
              <c:idx val="3"/>
              <c:layout>
                <c:manualLayout>
                  <c:x val="-2.7083333333333501E-2"/>
                  <c:y val="6.3897763578274697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47C7-4F81-AE6A-F33F59DA5C48}"/>
                </c:ext>
              </c:extLst>
            </c:dLbl>
            <c:dLbl>
              <c:idx val="4"/>
              <c:layout>
                <c:manualLayout>
                  <c:x val="-2.5000000000000099E-2"/>
                  <c:y val="-1.9169329073482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47C7-4F81-AE6A-F33F59DA5C48}"/>
                </c:ext>
              </c:extLst>
            </c:dLbl>
            <c:dLbl>
              <c:idx val="5"/>
              <c:layout>
                <c:manualLayout>
                  <c:x val="-1.8749999999999999E-2"/>
                  <c:y val="-4.792332268370610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47C7-4F81-AE6A-F33F59DA5C48}"/>
                </c:ext>
              </c:extLst>
            </c:dLbl>
            <c:dLbl>
              <c:idx val="6"/>
              <c:delete val="1"/>
              <c:extLst>
                <c:ext xmlns:c15="http://schemas.microsoft.com/office/drawing/2012/chart" uri="{CE6537A1-D6FC-4f65-9D91-7224C49458BB}"/>
                <c:ext xmlns:c16="http://schemas.microsoft.com/office/drawing/2014/chart" uri="{C3380CC4-5D6E-409C-BE32-E72D297353CC}">
                  <c16:uniqueId val="{00000013-47C7-4F81-AE6A-F33F59DA5C48}"/>
                </c:ext>
              </c:extLst>
            </c:dLbl>
            <c:dLbl>
              <c:idx val="7"/>
              <c:delete val="1"/>
              <c:extLst>
                <c:ext xmlns:c15="http://schemas.microsoft.com/office/drawing/2012/chart" uri="{CE6537A1-D6FC-4f65-9D91-7224C49458BB}"/>
                <c:ext xmlns:c16="http://schemas.microsoft.com/office/drawing/2014/chart" uri="{C3380CC4-5D6E-409C-BE32-E72D297353CC}">
                  <c16:uniqueId val="{00000014-47C7-4F81-AE6A-F33F59DA5C48}"/>
                </c:ext>
              </c:extLst>
            </c:dLbl>
            <c:dLbl>
              <c:idx val="8"/>
              <c:delete val="1"/>
              <c:extLst>
                <c:ext xmlns:c15="http://schemas.microsoft.com/office/drawing/2012/chart" uri="{CE6537A1-D6FC-4f65-9D91-7224C49458BB}"/>
                <c:ext xmlns:c16="http://schemas.microsoft.com/office/drawing/2014/chart" uri="{C3380CC4-5D6E-409C-BE32-E72D297353CC}">
                  <c16:uniqueId val="{00000015-47C7-4F81-AE6A-F33F59DA5C48}"/>
                </c:ext>
              </c:extLst>
            </c:dLbl>
            <c:dLbl>
              <c:idx val="9"/>
              <c:delete val="1"/>
              <c:extLst>
                <c:ext xmlns:c15="http://schemas.microsoft.com/office/drawing/2012/chart" uri="{CE6537A1-D6FC-4f65-9D91-7224C49458BB}"/>
                <c:ext xmlns:c16="http://schemas.microsoft.com/office/drawing/2014/chart" uri="{C3380CC4-5D6E-409C-BE32-E72D297353CC}">
                  <c16:uniqueId val="{00000016-47C7-4F81-AE6A-F33F59DA5C48}"/>
                </c:ext>
              </c:extLst>
            </c:dLbl>
            <c:dLbl>
              <c:idx val="10"/>
              <c:delete val="1"/>
              <c:extLst>
                <c:ext xmlns:c15="http://schemas.microsoft.com/office/drawing/2012/chart" uri="{CE6537A1-D6FC-4f65-9D91-7224C49458BB}"/>
                <c:ext xmlns:c16="http://schemas.microsoft.com/office/drawing/2014/chart" uri="{C3380CC4-5D6E-409C-BE32-E72D297353CC}">
                  <c16:uniqueId val="{00000017-47C7-4F81-AE6A-F33F59DA5C48}"/>
                </c:ext>
              </c:extLst>
            </c:dLbl>
            <c:dLbl>
              <c:idx val="11"/>
              <c:delete val="1"/>
              <c:extLst>
                <c:ext xmlns:c15="http://schemas.microsoft.com/office/drawing/2012/chart" uri="{CE6537A1-D6FC-4f65-9D91-7224C49458BB}"/>
                <c:ext xmlns:c16="http://schemas.microsoft.com/office/drawing/2014/chart" uri="{C3380CC4-5D6E-409C-BE32-E72D297353CC}">
                  <c16:uniqueId val="{00000018-47C7-4F81-AE6A-F33F59DA5C48}"/>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Review</c:v>
                </c:pt>
                <c:pt idx="7">
                  <c:v>Implementation Review</c:v>
                </c:pt>
                <c:pt idx="8">
                  <c:v>Security Testing</c:v>
                </c:pt>
                <c:pt idx="9">
                  <c:v>Issue Management</c:v>
                </c:pt>
                <c:pt idx="10">
                  <c:v>Environment Hardening</c:v>
                </c:pt>
                <c:pt idx="11">
                  <c:v>Operational Enablement</c:v>
                </c:pt>
              </c:strCache>
            </c:strRef>
          </c:cat>
          <c:val>
            <c:numRef>
              <c:f>Scorecard!$W$47:$W$58</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19-47C7-4F81-AE6A-F33F59DA5C48}"/>
            </c:ext>
          </c:extLst>
        </c:ser>
        <c:ser>
          <c:idx val="6"/>
          <c:order val="2"/>
          <c:tx>
            <c:strRef>
              <c:f>Scorecard!$X$46</c:f>
              <c:strCache>
                <c:ptCount val="1"/>
                <c:pt idx="0">
                  <c:v>Verification</c:v>
                </c:pt>
              </c:strCache>
            </c:strRef>
          </c:tx>
          <c:spPr>
            <a:solidFill>
              <a:srgbClr val="37793E"/>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s>
            <c:dLbl>
              <c:idx val="0"/>
              <c:delete val="1"/>
              <c:extLst>
                <c:ext xmlns:c15="http://schemas.microsoft.com/office/drawing/2012/chart" uri="{CE6537A1-D6FC-4f65-9D91-7224C49458BB}"/>
                <c:ext xmlns:c16="http://schemas.microsoft.com/office/drawing/2014/chart" uri="{C3380CC4-5D6E-409C-BE32-E72D297353CC}">
                  <c16:uniqueId val="{0000001A-47C7-4F81-AE6A-F33F59DA5C48}"/>
                </c:ext>
              </c:extLst>
            </c:dLbl>
            <c:dLbl>
              <c:idx val="1"/>
              <c:delete val="1"/>
              <c:extLst>
                <c:ext xmlns:c15="http://schemas.microsoft.com/office/drawing/2012/chart" uri="{CE6537A1-D6FC-4f65-9D91-7224C49458BB}"/>
                <c:ext xmlns:c16="http://schemas.microsoft.com/office/drawing/2014/chart" uri="{C3380CC4-5D6E-409C-BE32-E72D297353CC}">
                  <c16:uniqueId val="{0000001B-47C7-4F81-AE6A-F33F59DA5C48}"/>
                </c:ext>
              </c:extLst>
            </c:dLbl>
            <c:dLbl>
              <c:idx val="2"/>
              <c:delete val="1"/>
              <c:extLst>
                <c:ext xmlns:c15="http://schemas.microsoft.com/office/drawing/2012/chart" uri="{CE6537A1-D6FC-4f65-9D91-7224C49458BB}"/>
                <c:ext xmlns:c16="http://schemas.microsoft.com/office/drawing/2014/chart" uri="{C3380CC4-5D6E-409C-BE32-E72D297353CC}">
                  <c16:uniqueId val="{0000001C-47C7-4F81-AE6A-F33F59DA5C48}"/>
                </c:ext>
              </c:extLst>
            </c:dLbl>
            <c:dLbl>
              <c:idx val="3"/>
              <c:delete val="1"/>
              <c:extLst>
                <c:ext xmlns:c15="http://schemas.microsoft.com/office/drawing/2012/chart" uri="{CE6537A1-D6FC-4f65-9D91-7224C49458BB}"/>
                <c:ext xmlns:c16="http://schemas.microsoft.com/office/drawing/2014/chart" uri="{C3380CC4-5D6E-409C-BE32-E72D297353CC}">
                  <c16:uniqueId val="{0000001D-47C7-4F81-AE6A-F33F59DA5C48}"/>
                </c:ext>
              </c:extLst>
            </c:dLbl>
            <c:dLbl>
              <c:idx val="4"/>
              <c:delete val="1"/>
              <c:extLst>
                <c:ext xmlns:c15="http://schemas.microsoft.com/office/drawing/2012/chart" uri="{CE6537A1-D6FC-4f65-9D91-7224C49458BB}"/>
                <c:ext xmlns:c16="http://schemas.microsoft.com/office/drawing/2014/chart" uri="{C3380CC4-5D6E-409C-BE32-E72D297353CC}">
                  <c16:uniqueId val="{0000001E-47C7-4F81-AE6A-F33F59DA5C48}"/>
                </c:ext>
              </c:extLst>
            </c:dLbl>
            <c:dLbl>
              <c:idx val="5"/>
              <c:delete val="1"/>
              <c:extLst>
                <c:ext xmlns:c15="http://schemas.microsoft.com/office/drawing/2012/chart" uri="{CE6537A1-D6FC-4f65-9D91-7224C49458BB}"/>
                <c:ext xmlns:c16="http://schemas.microsoft.com/office/drawing/2014/chart" uri="{C3380CC4-5D6E-409C-BE32-E72D297353CC}">
                  <c16:uniqueId val="{0000001F-47C7-4F81-AE6A-F33F59DA5C48}"/>
                </c:ext>
              </c:extLst>
            </c:dLbl>
            <c:dLbl>
              <c:idx val="6"/>
              <c:layout>
                <c:manualLayout>
                  <c:x val="-4.1666666666666701E-3"/>
                  <c:y val="-5.750798722044730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47C7-4F81-AE6A-F33F59DA5C48}"/>
                </c:ext>
              </c:extLst>
            </c:dLbl>
            <c:dLbl>
              <c:idx val="7"/>
              <c:layout>
                <c:manualLayout>
                  <c:x val="1.0416666666666701E-2"/>
                  <c:y val="-3.1948881789137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47C7-4F81-AE6A-F33F59DA5C48}"/>
                </c:ext>
              </c:extLst>
            </c:dLbl>
            <c:dLbl>
              <c:idx val="8"/>
              <c:layout>
                <c:manualLayout>
                  <c:x val="2.2916666666666599E-2"/>
                  <c:y val="-3.1948881789137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47C7-4F81-AE6A-F33F59DA5C48}"/>
                </c:ext>
              </c:extLst>
            </c:dLbl>
            <c:dLbl>
              <c:idx val="9"/>
              <c:delete val="1"/>
              <c:extLst>
                <c:ext xmlns:c15="http://schemas.microsoft.com/office/drawing/2012/chart" uri="{CE6537A1-D6FC-4f65-9D91-7224C49458BB}"/>
                <c:ext xmlns:c16="http://schemas.microsoft.com/office/drawing/2014/chart" uri="{C3380CC4-5D6E-409C-BE32-E72D297353CC}">
                  <c16:uniqueId val="{00000023-47C7-4F81-AE6A-F33F59DA5C48}"/>
                </c:ext>
              </c:extLst>
            </c:dLbl>
            <c:dLbl>
              <c:idx val="10"/>
              <c:delete val="1"/>
              <c:extLst>
                <c:ext xmlns:c15="http://schemas.microsoft.com/office/drawing/2012/chart" uri="{CE6537A1-D6FC-4f65-9D91-7224C49458BB}"/>
                <c:ext xmlns:c16="http://schemas.microsoft.com/office/drawing/2014/chart" uri="{C3380CC4-5D6E-409C-BE32-E72D297353CC}">
                  <c16:uniqueId val="{00000024-47C7-4F81-AE6A-F33F59DA5C48}"/>
                </c:ext>
              </c:extLst>
            </c:dLbl>
            <c:dLbl>
              <c:idx val="11"/>
              <c:delete val="1"/>
              <c:extLst>
                <c:ext xmlns:c15="http://schemas.microsoft.com/office/drawing/2012/chart" uri="{CE6537A1-D6FC-4f65-9D91-7224C49458BB}"/>
                <c:ext xmlns:c16="http://schemas.microsoft.com/office/drawing/2014/chart" uri="{C3380CC4-5D6E-409C-BE32-E72D297353CC}">
                  <c16:uniqueId val="{00000025-47C7-4F81-AE6A-F33F59DA5C48}"/>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Review</c:v>
                </c:pt>
                <c:pt idx="7">
                  <c:v>Implementation Review</c:v>
                </c:pt>
                <c:pt idx="8">
                  <c:v>Security Testing</c:v>
                </c:pt>
                <c:pt idx="9">
                  <c:v>Issue Management</c:v>
                </c:pt>
                <c:pt idx="10">
                  <c:v>Environment Hardening</c:v>
                </c:pt>
                <c:pt idx="11">
                  <c:v>Operational Enablement</c:v>
                </c:pt>
              </c:strCache>
            </c:strRef>
          </c:cat>
          <c:val>
            <c:numRef>
              <c:f>Scorecard!$X$47:$X$58</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26-47C7-4F81-AE6A-F33F59DA5C48}"/>
            </c:ext>
          </c:extLst>
        </c:ser>
        <c:ser>
          <c:idx val="7"/>
          <c:order val="3"/>
          <c:tx>
            <c:strRef>
              <c:f>Scorecard!$Y$46</c:f>
              <c:strCache>
                <c:ptCount val="1"/>
                <c:pt idx="0">
                  <c:v>Operations</c:v>
                </c:pt>
              </c:strCache>
            </c:strRef>
          </c:tx>
          <c:spPr>
            <a:solidFill>
              <a:srgbClr val="791F17"/>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s>
            <c:dLbl>
              <c:idx val="0"/>
              <c:delete val="1"/>
              <c:extLst>
                <c:ext xmlns:c15="http://schemas.microsoft.com/office/drawing/2012/chart" uri="{CE6537A1-D6FC-4f65-9D91-7224C49458BB}"/>
                <c:ext xmlns:c16="http://schemas.microsoft.com/office/drawing/2014/chart" uri="{C3380CC4-5D6E-409C-BE32-E72D297353CC}">
                  <c16:uniqueId val="{00000027-47C7-4F81-AE6A-F33F59DA5C48}"/>
                </c:ext>
              </c:extLst>
            </c:dLbl>
            <c:dLbl>
              <c:idx val="1"/>
              <c:delete val="1"/>
              <c:extLst>
                <c:ext xmlns:c15="http://schemas.microsoft.com/office/drawing/2012/chart" uri="{CE6537A1-D6FC-4f65-9D91-7224C49458BB}"/>
                <c:ext xmlns:c16="http://schemas.microsoft.com/office/drawing/2014/chart" uri="{C3380CC4-5D6E-409C-BE32-E72D297353CC}">
                  <c16:uniqueId val="{00000028-47C7-4F81-AE6A-F33F59DA5C48}"/>
                </c:ext>
              </c:extLst>
            </c:dLbl>
            <c:dLbl>
              <c:idx val="2"/>
              <c:delete val="1"/>
              <c:extLst>
                <c:ext xmlns:c15="http://schemas.microsoft.com/office/drawing/2012/chart" uri="{CE6537A1-D6FC-4f65-9D91-7224C49458BB}"/>
                <c:ext xmlns:c16="http://schemas.microsoft.com/office/drawing/2014/chart" uri="{C3380CC4-5D6E-409C-BE32-E72D297353CC}">
                  <c16:uniqueId val="{00000029-47C7-4F81-AE6A-F33F59DA5C48}"/>
                </c:ext>
              </c:extLst>
            </c:dLbl>
            <c:dLbl>
              <c:idx val="3"/>
              <c:delete val="1"/>
              <c:extLst>
                <c:ext xmlns:c15="http://schemas.microsoft.com/office/drawing/2012/chart" uri="{CE6537A1-D6FC-4f65-9D91-7224C49458BB}"/>
                <c:ext xmlns:c16="http://schemas.microsoft.com/office/drawing/2014/chart" uri="{C3380CC4-5D6E-409C-BE32-E72D297353CC}">
                  <c16:uniqueId val="{0000002A-47C7-4F81-AE6A-F33F59DA5C48}"/>
                </c:ext>
              </c:extLst>
            </c:dLbl>
            <c:dLbl>
              <c:idx val="4"/>
              <c:delete val="1"/>
              <c:extLst>
                <c:ext xmlns:c15="http://schemas.microsoft.com/office/drawing/2012/chart" uri="{CE6537A1-D6FC-4f65-9D91-7224C49458BB}"/>
                <c:ext xmlns:c16="http://schemas.microsoft.com/office/drawing/2014/chart" uri="{C3380CC4-5D6E-409C-BE32-E72D297353CC}">
                  <c16:uniqueId val="{0000002B-47C7-4F81-AE6A-F33F59DA5C48}"/>
                </c:ext>
              </c:extLst>
            </c:dLbl>
            <c:dLbl>
              <c:idx val="5"/>
              <c:delete val="1"/>
              <c:extLst>
                <c:ext xmlns:c15="http://schemas.microsoft.com/office/drawing/2012/chart" uri="{CE6537A1-D6FC-4f65-9D91-7224C49458BB}"/>
                <c:ext xmlns:c16="http://schemas.microsoft.com/office/drawing/2014/chart" uri="{C3380CC4-5D6E-409C-BE32-E72D297353CC}">
                  <c16:uniqueId val="{0000002C-47C7-4F81-AE6A-F33F59DA5C48}"/>
                </c:ext>
              </c:extLst>
            </c:dLbl>
            <c:dLbl>
              <c:idx val="6"/>
              <c:delete val="1"/>
              <c:extLst>
                <c:ext xmlns:c15="http://schemas.microsoft.com/office/drawing/2012/chart" uri="{CE6537A1-D6FC-4f65-9D91-7224C49458BB}"/>
                <c:ext xmlns:c16="http://schemas.microsoft.com/office/drawing/2014/chart" uri="{C3380CC4-5D6E-409C-BE32-E72D297353CC}">
                  <c16:uniqueId val="{0000002D-47C7-4F81-AE6A-F33F59DA5C48}"/>
                </c:ext>
              </c:extLst>
            </c:dLbl>
            <c:dLbl>
              <c:idx val="7"/>
              <c:delete val="1"/>
              <c:extLst>
                <c:ext xmlns:c15="http://schemas.microsoft.com/office/drawing/2012/chart" uri="{CE6537A1-D6FC-4f65-9D91-7224C49458BB}"/>
                <c:ext xmlns:c16="http://schemas.microsoft.com/office/drawing/2014/chart" uri="{C3380CC4-5D6E-409C-BE32-E72D297353CC}">
                  <c16:uniqueId val="{0000002E-47C7-4F81-AE6A-F33F59DA5C48}"/>
                </c:ext>
              </c:extLst>
            </c:dLbl>
            <c:dLbl>
              <c:idx val="8"/>
              <c:delete val="1"/>
              <c:extLst>
                <c:ext xmlns:c15="http://schemas.microsoft.com/office/drawing/2012/chart" uri="{CE6537A1-D6FC-4f65-9D91-7224C49458BB}"/>
                <c:ext xmlns:c16="http://schemas.microsoft.com/office/drawing/2014/chart" uri="{C3380CC4-5D6E-409C-BE32-E72D297353CC}">
                  <c16:uniqueId val="{0000002F-47C7-4F81-AE6A-F33F59DA5C48}"/>
                </c:ext>
              </c:extLst>
            </c:dLbl>
            <c:dLbl>
              <c:idx val="9"/>
              <c:layout>
                <c:manualLayout>
                  <c:x val="3.9583333333333297E-2"/>
                  <c:y val="-2.8753993610223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47C7-4F81-AE6A-F33F59DA5C48}"/>
                </c:ext>
              </c:extLst>
            </c:dLbl>
            <c:dLbl>
              <c:idx val="10"/>
              <c:layout>
                <c:manualLayout>
                  <c:x val="1.6666666666666701E-2"/>
                  <c:y val="2.875399361022359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47C7-4F81-AE6A-F33F59DA5C48}"/>
                </c:ext>
              </c:extLst>
            </c:dLbl>
            <c:dLbl>
              <c:idx val="11"/>
              <c:layout>
                <c:manualLayout>
                  <c:x val="2.0833333333333298E-3"/>
                  <c:y val="5.111821086261979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47C7-4F81-AE6A-F33F59DA5C48}"/>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Review</c:v>
                </c:pt>
                <c:pt idx="7">
                  <c:v>Implementation Review</c:v>
                </c:pt>
                <c:pt idx="8">
                  <c:v>Security Testing</c:v>
                </c:pt>
                <c:pt idx="9">
                  <c:v>Issue Management</c:v>
                </c:pt>
                <c:pt idx="10">
                  <c:v>Environment Hardening</c:v>
                </c:pt>
                <c:pt idx="11">
                  <c:v>Operational Enablement</c:v>
                </c:pt>
              </c:strCache>
            </c:strRef>
          </c:cat>
          <c:val>
            <c:numRef>
              <c:f>Scorecard!$Y$47:$Y$58</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33-47C7-4F81-AE6A-F33F59DA5C48}"/>
            </c:ext>
          </c:extLst>
        </c:ser>
        <c:dLbls>
          <c:showLegendKey val="0"/>
          <c:showVal val="0"/>
          <c:showCatName val="0"/>
          <c:showSerName val="0"/>
          <c:showPercent val="0"/>
          <c:showBubbleSize val="0"/>
        </c:dLbls>
        <c:axId val="-1708433856"/>
        <c:axId val="-1708432080"/>
      </c:radarChart>
      <c:catAx>
        <c:axId val="-1708433856"/>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8432080"/>
        <c:crosses val="autoZero"/>
        <c:auto val="1"/>
        <c:lblAlgn val="ctr"/>
        <c:lblOffset val="100"/>
        <c:noMultiLvlLbl val="0"/>
      </c:catAx>
      <c:valAx>
        <c:axId val="-1708432080"/>
        <c:scaling>
          <c:orientation val="minMax"/>
          <c:max val="3"/>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843385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SAMM Phase 1 Score</a:t>
            </a:r>
          </a:p>
        </c:rich>
      </c:tx>
      <c:layout>
        <c:manualLayout>
          <c:xMode val="edge"/>
          <c:yMode val="edge"/>
          <c:x val="0.68583333333333296"/>
          <c:y val="0.91373801916932895"/>
        </c:manualLayout>
      </c:layout>
      <c:overlay val="1"/>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radarChart>
        <c:radarStyle val="filled"/>
        <c:varyColors val="0"/>
        <c:ser>
          <c:idx val="4"/>
          <c:order val="0"/>
          <c:tx>
            <c:strRef>
              <c:f>Scorecard!$V$46</c:f>
              <c:strCache>
                <c:ptCount val="1"/>
                <c:pt idx="0">
                  <c:v>Governance</c:v>
                </c:pt>
              </c:strCache>
            </c:strRef>
          </c:tx>
          <c:spPr>
            <a:solidFill>
              <a:srgbClr val="3290C4"/>
            </a:solidFill>
            <a:ln>
              <a:solidFill>
                <a:srgbClr val="3290C4"/>
              </a:solid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s>
            <c:dLbl>
              <c:idx val="0"/>
              <c:layout>
                <c:manualLayout>
                  <c:x val="1.8749999999999999E-2"/>
                  <c:y val="5.750798722044719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9C73-B641-85CD-2B9E9836A305}"/>
                </c:ext>
              </c:extLst>
            </c:dLbl>
            <c:dLbl>
              <c:idx val="1"/>
              <c:layout>
                <c:manualLayout>
                  <c:x val="-1.4583333333333399E-2"/>
                  <c:y val="3.833865814696479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9C73-B641-85CD-2B9E9836A305}"/>
                </c:ext>
              </c:extLst>
            </c:dLbl>
            <c:dLbl>
              <c:idx val="2"/>
              <c:layout>
                <c:manualLayout>
                  <c:x val="-3.5416666666666798E-2"/>
                  <c:y val="6.3897763578274697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9C73-B641-85CD-2B9E9836A305}"/>
                </c:ext>
              </c:extLst>
            </c:dLbl>
            <c:dLbl>
              <c:idx val="3"/>
              <c:delete val="1"/>
              <c:extLst>
                <c:ext xmlns:c15="http://schemas.microsoft.com/office/drawing/2012/chart" uri="{CE6537A1-D6FC-4f65-9D91-7224C49458BB}"/>
                <c:ext xmlns:c16="http://schemas.microsoft.com/office/drawing/2014/chart" uri="{C3380CC4-5D6E-409C-BE32-E72D297353CC}">
                  <c16:uniqueId val="{00000003-9C73-B641-85CD-2B9E9836A305}"/>
                </c:ext>
              </c:extLst>
            </c:dLbl>
            <c:dLbl>
              <c:idx val="4"/>
              <c:delete val="1"/>
              <c:extLst>
                <c:ext xmlns:c15="http://schemas.microsoft.com/office/drawing/2012/chart" uri="{CE6537A1-D6FC-4f65-9D91-7224C49458BB}"/>
                <c:ext xmlns:c16="http://schemas.microsoft.com/office/drawing/2014/chart" uri="{C3380CC4-5D6E-409C-BE32-E72D297353CC}">
                  <c16:uniqueId val="{00000004-9C73-B641-85CD-2B9E9836A305}"/>
                </c:ext>
              </c:extLst>
            </c:dLbl>
            <c:dLbl>
              <c:idx val="5"/>
              <c:delete val="1"/>
              <c:extLst>
                <c:ext xmlns:c15="http://schemas.microsoft.com/office/drawing/2012/chart" uri="{CE6537A1-D6FC-4f65-9D91-7224C49458BB}"/>
                <c:ext xmlns:c16="http://schemas.microsoft.com/office/drawing/2014/chart" uri="{C3380CC4-5D6E-409C-BE32-E72D297353CC}">
                  <c16:uniqueId val="{00000005-9C73-B641-85CD-2B9E9836A305}"/>
                </c:ext>
              </c:extLst>
            </c:dLbl>
            <c:dLbl>
              <c:idx val="6"/>
              <c:delete val="1"/>
              <c:extLst>
                <c:ext xmlns:c15="http://schemas.microsoft.com/office/drawing/2012/chart" uri="{CE6537A1-D6FC-4f65-9D91-7224C49458BB}"/>
                <c:ext xmlns:c16="http://schemas.microsoft.com/office/drawing/2014/chart" uri="{C3380CC4-5D6E-409C-BE32-E72D297353CC}">
                  <c16:uniqueId val="{00000006-9C73-B641-85CD-2B9E9836A305}"/>
                </c:ext>
              </c:extLst>
            </c:dLbl>
            <c:dLbl>
              <c:idx val="7"/>
              <c:delete val="1"/>
              <c:extLst>
                <c:ext xmlns:c15="http://schemas.microsoft.com/office/drawing/2012/chart" uri="{CE6537A1-D6FC-4f65-9D91-7224C49458BB}"/>
                <c:ext xmlns:c16="http://schemas.microsoft.com/office/drawing/2014/chart" uri="{C3380CC4-5D6E-409C-BE32-E72D297353CC}">
                  <c16:uniqueId val="{00000007-9C73-B641-85CD-2B9E9836A305}"/>
                </c:ext>
              </c:extLst>
            </c:dLbl>
            <c:dLbl>
              <c:idx val="8"/>
              <c:delete val="1"/>
              <c:extLst>
                <c:ext xmlns:c15="http://schemas.microsoft.com/office/drawing/2012/chart" uri="{CE6537A1-D6FC-4f65-9D91-7224C49458BB}"/>
                <c:ext xmlns:c16="http://schemas.microsoft.com/office/drawing/2014/chart" uri="{C3380CC4-5D6E-409C-BE32-E72D297353CC}">
                  <c16:uniqueId val="{00000008-9C73-B641-85CD-2B9E9836A305}"/>
                </c:ext>
              </c:extLst>
            </c:dLbl>
            <c:dLbl>
              <c:idx val="9"/>
              <c:delete val="1"/>
              <c:extLst>
                <c:ext xmlns:c15="http://schemas.microsoft.com/office/drawing/2012/chart" uri="{CE6537A1-D6FC-4f65-9D91-7224C49458BB}"/>
                <c:ext xmlns:c16="http://schemas.microsoft.com/office/drawing/2014/chart" uri="{C3380CC4-5D6E-409C-BE32-E72D297353CC}">
                  <c16:uniqueId val="{00000009-9C73-B641-85CD-2B9E9836A305}"/>
                </c:ext>
              </c:extLst>
            </c:dLbl>
            <c:dLbl>
              <c:idx val="10"/>
              <c:delete val="1"/>
              <c:extLst>
                <c:ext xmlns:c15="http://schemas.microsoft.com/office/drawing/2012/chart" uri="{CE6537A1-D6FC-4f65-9D91-7224C49458BB}"/>
                <c:ext xmlns:c16="http://schemas.microsoft.com/office/drawing/2014/chart" uri="{C3380CC4-5D6E-409C-BE32-E72D297353CC}">
                  <c16:uniqueId val="{0000000A-9C73-B641-85CD-2B9E9836A305}"/>
                </c:ext>
              </c:extLst>
            </c:dLbl>
            <c:dLbl>
              <c:idx val="11"/>
              <c:delete val="1"/>
              <c:extLst>
                <c:ext xmlns:c15="http://schemas.microsoft.com/office/drawing/2012/chart" uri="{CE6537A1-D6FC-4f65-9D91-7224C49458BB}"/>
                <c:ext xmlns:c16="http://schemas.microsoft.com/office/drawing/2014/chart" uri="{C3380CC4-5D6E-409C-BE32-E72D297353CC}">
                  <c16:uniqueId val="{0000000B-9C73-B641-85CD-2B9E9836A305}"/>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Review</c:v>
                </c:pt>
                <c:pt idx="7">
                  <c:v>Implementation Review</c:v>
                </c:pt>
                <c:pt idx="8">
                  <c:v>Security Testing</c:v>
                </c:pt>
                <c:pt idx="9">
                  <c:v>Issue Management</c:v>
                </c:pt>
                <c:pt idx="10">
                  <c:v>Environment Hardening</c:v>
                </c:pt>
                <c:pt idx="11">
                  <c:v>Operational Enablement</c:v>
                </c:pt>
              </c:strCache>
            </c:strRef>
          </c:cat>
          <c:val>
            <c:numRef>
              <c:f>Scorecard!$V$47:$V$58</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C-9C73-B641-85CD-2B9E9836A305}"/>
            </c:ext>
          </c:extLst>
        </c:ser>
        <c:ser>
          <c:idx val="5"/>
          <c:order val="1"/>
          <c:tx>
            <c:strRef>
              <c:f>Scorecard!$W$46</c:f>
              <c:strCache>
                <c:ptCount val="1"/>
                <c:pt idx="0">
                  <c:v>Construction</c:v>
                </c:pt>
              </c:strCache>
            </c:strRef>
          </c:tx>
          <c:spPr>
            <a:solidFill>
              <a:srgbClr val="B75727"/>
            </a:solidFill>
            <a:ln>
              <a:solidFill>
                <a:srgbClr val="B75727"/>
              </a:solid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s>
            <c:dLbl>
              <c:idx val="0"/>
              <c:delete val="1"/>
              <c:extLst>
                <c:ext xmlns:c15="http://schemas.microsoft.com/office/drawing/2012/chart" uri="{CE6537A1-D6FC-4f65-9D91-7224C49458BB}"/>
                <c:ext xmlns:c16="http://schemas.microsoft.com/office/drawing/2014/chart" uri="{C3380CC4-5D6E-409C-BE32-E72D297353CC}">
                  <c16:uniqueId val="{0000000D-9C73-B641-85CD-2B9E9836A305}"/>
                </c:ext>
              </c:extLst>
            </c:dLbl>
            <c:dLbl>
              <c:idx val="1"/>
              <c:delete val="1"/>
              <c:extLst>
                <c:ext xmlns:c15="http://schemas.microsoft.com/office/drawing/2012/chart" uri="{CE6537A1-D6FC-4f65-9D91-7224C49458BB}"/>
                <c:ext xmlns:c16="http://schemas.microsoft.com/office/drawing/2014/chart" uri="{C3380CC4-5D6E-409C-BE32-E72D297353CC}">
                  <c16:uniqueId val="{0000000E-9C73-B641-85CD-2B9E9836A305}"/>
                </c:ext>
              </c:extLst>
            </c:dLbl>
            <c:dLbl>
              <c:idx val="2"/>
              <c:delete val="1"/>
              <c:extLst>
                <c:ext xmlns:c15="http://schemas.microsoft.com/office/drawing/2012/chart" uri="{CE6537A1-D6FC-4f65-9D91-7224C49458BB}"/>
                <c:ext xmlns:c16="http://schemas.microsoft.com/office/drawing/2014/chart" uri="{C3380CC4-5D6E-409C-BE32-E72D297353CC}">
                  <c16:uniqueId val="{0000000F-9C73-B641-85CD-2B9E9836A305}"/>
                </c:ext>
              </c:extLst>
            </c:dLbl>
            <c:dLbl>
              <c:idx val="3"/>
              <c:layout>
                <c:manualLayout>
                  <c:x val="-2.7083333333333501E-2"/>
                  <c:y val="6.3897763578274697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9C73-B641-85CD-2B9E9836A305}"/>
                </c:ext>
              </c:extLst>
            </c:dLbl>
            <c:dLbl>
              <c:idx val="4"/>
              <c:layout>
                <c:manualLayout>
                  <c:x val="-2.5000000000000099E-2"/>
                  <c:y val="-1.9169329073482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9C73-B641-85CD-2B9E9836A305}"/>
                </c:ext>
              </c:extLst>
            </c:dLbl>
            <c:dLbl>
              <c:idx val="5"/>
              <c:layout>
                <c:manualLayout>
                  <c:x val="-1.8749999999999999E-2"/>
                  <c:y val="-4.792332268370610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9C73-B641-85CD-2B9E9836A305}"/>
                </c:ext>
              </c:extLst>
            </c:dLbl>
            <c:dLbl>
              <c:idx val="6"/>
              <c:delete val="1"/>
              <c:extLst>
                <c:ext xmlns:c15="http://schemas.microsoft.com/office/drawing/2012/chart" uri="{CE6537A1-D6FC-4f65-9D91-7224C49458BB}"/>
                <c:ext xmlns:c16="http://schemas.microsoft.com/office/drawing/2014/chart" uri="{C3380CC4-5D6E-409C-BE32-E72D297353CC}">
                  <c16:uniqueId val="{00000013-9C73-B641-85CD-2B9E9836A305}"/>
                </c:ext>
              </c:extLst>
            </c:dLbl>
            <c:dLbl>
              <c:idx val="7"/>
              <c:delete val="1"/>
              <c:extLst>
                <c:ext xmlns:c15="http://schemas.microsoft.com/office/drawing/2012/chart" uri="{CE6537A1-D6FC-4f65-9D91-7224C49458BB}"/>
                <c:ext xmlns:c16="http://schemas.microsoft.com/office/drawing/2014/chart" uri="{C3380CC4-5D6E-409C-BE32-E72D297353CC}">
                  <c16:uniqueId val="{00000014-9C73-B641-85CD-2B9E9836A305}"/>
                </c:ext>
              </c:extLst>
            </c:dLbl>
            <c:dLbl>
              <c:idx val="8"/>
              <c:delete val="1"/>
              <c:extLst>
                <c:ext xmlns:c15="http://schemas.microsoft.com/office/drawing/2012/chart" uri="{CE6537A1-D6FC-4f65-9D91-7224C49458BB}"/>
                <c:ext xmlns:c16="http://schemas.microsoft.com/office/drawing/2014/chart" uri="{C3380CC4-5D6E-409C-BE32-E72D297353CC}">
                  <c16:uniqueId val="{00000015-9C73-B641-85CD-2B9E9836A305}"/>
                </c:ext>
              </c:extLst>
            </c:dLbl>
            <c:dLbl>
              <c:idx val="9"/>
              <c:delete val="1"/>
              <c:extLst>
                <c:ext xmlns:c15="http://schemas.microsoft.com/office/drawing/2012/chart" uri="{CE6537A1-D6FC-4f65-9D91-7224C49458BB}"/>
                <c:ext xmlns:c16="http://schemas.microsoft.com/office/drawing/2014/chart" uri="{C3380CC4-5D6E-409C-BE32-E72D297353CC}">
                  <c16:uniqueId val="{00000016-9C73-B641-85CD-2B9E9836A305}"/>
                </c:ext>
              </c:extLst>
            </c:dLbl>
            <c:dLbl>
              <c:idx val="10"/>
              <c:delete val="1"/>
              <c:extLst>
                <c:ext xmlns:c15="http://schemas.microsoft.com/office/drawing/2012/chart" uri="{CE6537A1-D6FC-4f65-9D91-7224C49458BB}"/>
                <c:ext xmlns:c16="http://schemas.microsoft.com/office/drawing/2014/chart" uri="{C3380CC4-5D6E-409C-BE32-E72D297353CC}">
                  <c16:uniqueId val="{00000017-9C73-B641-85CD-2B9E9836A305}"/>
                </c:ext>
              </c:extLst>
            </c:dLbl>
            <c:dLbl>
              <c:idx val="11"/>
              <c:delete val="1"/>
              <c:extLst>
                <c:ext xmlns:c15="http://schemas.microsoft.com/office/drawing/2012/chart" uri="{CE6537A1-D6FC-4f65-9D91-7224C49458BB}"/>
                <c:ext xmlns:c16="http://schemas.microsoft.com/office/drawing/2014/chart" uri="{C3380CC4-5D6E-409C-BE32-E72D297353CC}">
                  <c16:uniqueId val="{00000018-9C73-B641-85CD-2B9E9836A305}"/>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Review</c:v>
                </c:pt>
                <c:pt idx="7">
                  <c:v>Implementation Review</c:v>
                </c:pt>
                <c:pt idx="8">
                  <c:v>Security Testing</c:v>
                </c:pt>
                <c:pt idx="9">
                  <c:v>Issue Management</c:v>
                </c:pt>
                <c:pt idx="10">
                  <c:v>Environment Hardening</c:v>
                </c:pt>
                <c:pt idx="11">
                  <c:v>Operational Enablement</c:v>
                </c:pt>
              </c:strCache>
            </c:strRef>
          </c:cat>
          <c:val>
            <c:numRef>
              <c:f>Scorecard!$W$47:$W$58</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19-9C73-B641-85CD-2B9E9836A305}"/>
            </c:ext>
          </c:extLst>
        </c:ser>
        <c:ser>
          <c:idx val="6"/>
          <c:order val="2"/>
          <c:tx>
            <c:strRef>
              <c:f>Scorecard!$X$46</c:f>
              <c:strCache>
                <c:ptCount val="1"/>
                <c:pt idx="0">
                  <c:v>Verification</c:v>
                </c:pt>
              </c:strCache>
            </c:strRef>
          </c:tx>
          <c:spPr>
            <a:solidFill>
              <a:srgbClr val="37793E"/>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s>
            <c:dLbl>
              <c:idx val="0"/>
              <c:delete val="1"/>
              <c:extLst>
                <c:ext xmlns:c15="http://schemas.microsoft.com/office/drawing/2012/chart" uri="{CE6537A1-D6FC-4f65-9D91-7224C49458BB}"/>
                <c:ext xmlns:c16="http://schemas.microsoft.com/office/drawing/2014/chart" uri="{C3380CC4-5D6E-409C-BE32-E72D297353CC}">
                  <c16:uniqueId val="{0000001A-9C73-B641-85CD-2B9E9836A305}"/>
                </c:ext>
              </c:extLst>
            </c:dLbl>
            <c:dLbl>
              <c:idx val="1"/>
              <c:delete val="1"/>
              <c:extLst>
                <c:ext xmlns:c15="http://schemas.microsoft.com/office/drawing/2012/chart" uri="{CE6537A1-D6FC-4f65-9D91-7224C49458BB}"/>
                <c:ext xmlns:c16="http://schemas.microsoft.com/office/drawing/2014/chart" uri="{C3380CC4-5D6E-409C-BE32-E72D297353CC}">
                  <c16:uniqueId val="{0000001B-9C73-B641-85CD-2B9E9836A305}"/>
                </c:ext>
              </c:extLst>
            </c:dLbl>
            <c:dLbl>
              <c:idx val="2"/>
              <c:delete val="1"/>
              <c:extLst>
                <c:ext xmlns:c15="http://schemas.microsoft.com/office/drawing/2012/chart" uri="{CE6537A1-D6FC-4f65-9D91-7224C49458BB}"/>
                <c:ext xmlns:c16="http://schemas.microsoft.com/office/drawing/2014/chart" uri="{C3380CC4-5D6E-409C-BE32-E72D297353CC}">
                  <c16:uniqueId val="{0000001C-9C73-B641-85CD-2B9E9836A305}"/>
                </c:ext>
              </c:extLst>
            </c:dLbl>
            <c:dLbl>
              <c:idx val="3"/>
              <c:delete val="1"/>
              <c:extLst>
                <c:ext xmlns:c15="http://schemas.microsoft.com/office/drawing/2012/chart" uri="{CE6537A1-D6FC-4f65-9D91-7224C49458BB}"/>
                <c:ext xmlns:c16="http://schemas.microsoft.com/office/drawing/2014/chart" uri="{C3380CC4-5D6E-409C-BE32-E72D297353CC}">
                  <c16:uniqueId val="{0000001D-9C73-B641-85CD-2B9E9836A305}"/>
                </c:ext>
              </c:extLst>
            </c:dLbl>
            <c:dLbl>
              <c:idx val="4"/>
              <c:delete val="1"/>
              <c:extLst>
                <c:ext xmlns:c15="http://schemas.microsoft.com/office/drawing/2012/chart" uri="{CE6537A1-D6FC-4f65-9D91-7224C49458BB}"/>
                <c:ext xmlns:c16="http://schemas.microsoft.com/office/drawing/2014/chart" uri="{C3380CC4-5D6E-409C-BE32-E72D297353CC}">
                  <c16:uniqueId val="{0000001E-9C73-B641-85CD-2B9E9836A305}"/>
                </c:ext>
              </c:extLst>
            </c:dLbl>
            <c:dLbl>
              <c:idx val="5"/>
              <c:delete val="1"/>
              <c:extLst>
                <c:ext xmlns:c15="http://schemas.microsoft.com/office/drawing/2012/chart" uri="{CE6537A1-D6FC-4f65-9D91-7224C49458BB}"/>
                <c:ext xmlns:c16="http://schemas.microsoft.com/office/drawing/2014/chart" uri="{C3380CC4-5D6E-409C-BE32-E72D297353CC}">
                  <c16:uniqueId val="{0000001F-9C73-B641-85CD-2B9E9836A305}"/>
                </c:ext>
              </c:extLst>
            </c:dLbl>
            <c:dLbl>
              <c:idx val="6"/>
              <c:layout>
                <c:manualLayout>
                  <c:x val="-4.1666666666666701E-3"/>
                  <c:y val="-5.750798722044730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9C73-B641-85CD-2B9E9836A305}"/>
                </c:ext>
              </c:extLst>
            </c:dLbl>
            <c:dLbl>
              <c:idx val="7"/>
              <c:layout>
                <c:manualLayout>
                  <c:x val="1.0416666666666701E-2"/>
                  <c:y val="-3.1948881789137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9C73-B641-85CD-2B9E9836A305}"/>
                </c:ext>
              </c:extLst>
            </c:dLbl>
            <c:dLbl>
              <c:idx val="8"/>
              <c:layout>
                <c:manualLayout>
                  <c:x val="2.2916666666666599E-2"/>
                  <c:y val="-3.1948881789137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9C73-B641-85CD-2B9E9836A305}"/>
                </c:ext>
              </c:extLst>
            </c:dLbl>
            <c:dLbl>
              <c:idx val="9"/>
              <c:delete val="1"/>
              <c:extLst>
                <c:ext xmlns:c15="http://schemas.microsoft.com/office/drawing/2012/chart" uri="{CE6537A1-D6FC-4f65-9D91-7224C49458BB}"/>
                <c:ext xmlns:c16="http://schemas.microsoft.com/office/drawing/2014/chart" uri="{C3380CC4-5D6E-409C-BE32-E72D297353CC}">
                  <c16:uniqueId val="{00000023-9C73-B641-85CD-2B9E9836A305}"/>
                </c:ext>
              </c:extLst>
            </c:dLbl>
            <c:dLbl>
              <c:idx val="10"/>
              <c:delete val="1"/>
              <c:extLst>
                <c:ext xmlns:c15="http://schemas.microsoft.com/office/drawing/2012/chart" uri="{CE6537A1-D6FC-4f65-9D91-7224C49458BB}"/>
                <c:ext xmlns:c16="http://schemas.microsoft.com/office/drawing/2014/chart" uri="{C3380CC4-5D6E-409C-BE32-E72D297353CC}">
                  <c16:uniqueId val="{00000024-9C73-B641-85CD-2B9E9836A305}"/>
                </c:ext>
              </c:extLst>
            </c:dLbl>
            <c:dLbl>
              <c:idx val="11"/>
              <c:delete val="1"/>
              <c:extLst>
                <c:ext xmlns:c15="http://schemas.microsoft.com/office/drawing/2012/chart" uri="{CE6537A1-D6FC-4f65-9D91-7224C49458BB}"/>
                <c:ext xmlns:c16="http://schemas.microsoft.com/office/drawing/2014/chart" uri="{C3380CC4-5D6E-409C-BE32-E72D297353CC}">
                  <c16:uniqueId val="{00000025-9C73-B641-85CD-2B9E9836A305}"/>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Review</c:v>
                </c:pt>
                <c:pt idx="7">
                  <c:v>Implementation Review</c:v>
                </c:pt>
                <c:pt idx="8">
                  <c:v>Security Testing</c:v>
                </c:pt>
                <c:pt idx="9">
                  <c:v>Issue Management</c:v>
                </c:pt>
                <c:pt idx="10">
                  <c:v>Environment Hardening</c:v>
                </c:pt>
                <c:pt idx="11">
                  <c:v>Operational Enablement</c:v>
                </c:pt>
              </c:strCache>
            </c:strRef>
          </c:cat>
          <c:val>
            <c:numRef>
              <c:f>Scorecard!$X$47:$X$58</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26-9C73-B641-85CD-2B9E9836A305}"/>
            </c:ext>
          </c:extLst>
        </c:ser>
        <c:ser>
          <c:idx val="7"/>
          <c:order val="3"/>
          <c:tx>
            <c:strRef>
              <c:f>Scorecard!$Y$46</c:f>
              <c:strCache>
                <c:ptCount val="1"/>
                <c:pt idx="0">
                  <c:v>Operations</c:v>
                </c:pt>
              </c:strCache>
            </c:strRef>
          </c:tx>
          <c:spPr>
            <a:solidFill>
              <a:srgbClr val="791F17"/>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s>
            <c:dLbl>
              <c:idx val="0"/>
              <c:delete val="1"/>
              <c:extLst>
                <c:ext xmlns:c15="http://schemas.microsoft.com/office/drawing/2012/chart" uri="{CE6537A1-D6FC-4f65-9D91-7224C49458BB}"/>
                <c:ext xmlns:c16="http://schemas.microsoft.com/office/drawing/2014/chart" uri="{C3380CC4-5D6E-409C-BE32-E72D297353CC}">
                  <c16:uniqueId val="{00000027-9C73-B641-85CD-2B9E9836A305}"/>
                </c:ext>
              </c:extLst>
            </c:dLbl>
            <c:dLbl>
              <c:idx val="1"/>
              <c:delete val="1"/>
              <c:extLst>
                <c:ext xmlns:c15="http://schemas.microsoft.com/office/drawing/2012/chart" uri="{CE6537A1-D6FC-4f65-9D91-7224C49458BB}"/>
                <c:ext xmlns:c16="http://schemas.microsoft.com/office/drawing/2014/chart" uri="{C3380CC4-5D6E-409C-BE32-E72D297353CC}">
                  <c16:uniqueId val="{00000028-9C73-B641-85CD-2B9E9836A305}"/>
                </c:ext>
              </c:extLst>
            </c:dLbl>
            <c:dLbl>
              <c:idx val="2"/>
              <c:delete val="1"/>
              <c:extLst>
                <c:ext xmlns:c15="http://schemas.microsoft.com/office/drawing/2012/chart" uri="{CE6537A1-D6FC-4f65-9D91-7224C49458BB}"/>
                <c:ext xmlns:c16="http://schemas.microsoft.com/office/drawing/2014/chart" uri="{C3380CC4-5D6E-409C-BE32-E72D297353CC}">
                  <c16:uniqueId val="{00000029-9C73-B641-85CD-2B9E9836A305}"/>
                </c:ext>
              </c:extLst>
            </c:dLbl>
            <c:dLbl>
              <c:idx val="3"/>
              <c:delete val="1"/>
              <c:extLst>
                <c:ext xmlns:c15="http://schemas.microsoft.com/office/drawing/2012/chart" uri="{CE6537A1-D6FC-4f65-9D91-7224C49458BB}"/>
                <c:ext xmlns:c16="http://schemas.microsoft.com/office/drawing/2014/chart" uri="{C3380CC4-5D6E-409C-BE32-E72D297353CC}">
                  <c16:uniqueId val="{0000002A-9C73-B641-85CD-2B9E9836A305}"/>
                </c:ext>
              </c:extLst>
            </c:dLbl>
            <c:dLbl>
              <c:idx val="4"/>
              <c:delete val="1"/>
              <c:extLst>
                <c:ext xmlns:c15="http://schemas.microsoft.com/office/drawing/2012/chart" uri="{CE6537A1-D6FC-4f65-9D91-7224C49458BB}"/>
                <c:ext xmlns:c16="http://schemas.microsoft.com/office/drawing/2014/chart" uri="{C3380CC4-5D6E-409C-BE32-E72D297353CC}">
                  <c16:uniqueId val="{0000002B-9C73-B641-85CD-2B9E9836A305}"/>
                </c:ext>
              </c:extLst>
            </c:dLbl>
            <c:dLbl>
              <c:idx val="5"/>
              <c:delete val="1"/>
              <c:extLst>
                <c:ext xmlns:c15="http://schemas.microsoft.com/office/drawing/2012/chart" uri="{CE6537A1-D6FC-4f65-9D91-7224C49458BB}"/>
                <c:ext xmlns:c16="http://schemas.microsoft.com/office/drawing/2014/chart" uri="{C3380CC4-5D6E-409C-BE32-E72D297353CC}">
                  <c16:uniqueId val="{0000002C-9C73-B641-85CD-2B9E9836A305}"/>
                </c:ext>
              </c:extLst>
            </c:dLbl>
            <c:dLbl>
              <c:idx val="6"/>
              <c:delete val="1"/>
              <c:extLst>
                <c:ext xmlns:c15="http://schemas.microsoft.com/office/drawing/2012/chart" uri="{CE6537A1-D6FC-4f65-9D91-7224C49458BB}"/>
                <c:ext xmlns:c16="http://schemas.microsoft.com/office/drawing/2014/chart" uri="{C3380CC4-5D6E-409C-BE32-E72D297353CC}">
                  <c16:uniqueId val="{0000002D-9C73-B641-85CD-2B9E9836A305}"/>
                </c:ext>
              </c:extLst>
            </c:dLbl>
            <c:dLbl>
              <c:idx val="7"/>
              <c:delete val="1"/>
              <c:extLst>
                <c:ext xmlns:c15="http://schemas.microsoft.com/office/drawing/2012/chart" uri="{CE6537A1-D6FC-4f65-9D91-7224C49458BB}"/>
                <c:ext xmlns:c16="http://schemas.microsoft.com/office/drawing/2014/chart" uri="{C3380CC4-5D6E-409C-BE32-E72D297353CC}">
                  <c16:uniqueId val="{0000002E-9C73-B641-85CD-2B9E9836A305}"/>
                </c:ext>
              </c:extLst>
            </c:dLbl>
            <c:dLbl>
              <c:idx val="8"/>
              <c:delete val="1"/>
              <c:extLst>
                <c:ext xmlns:c15="http://schemas.microsoft.com/office/drawing/2012/chart" uri="{CE6537A1-D6FC-4f65-9D91-7224C49458BB}"/>
                <c:ext xmlns:c16="http://schemas.microsoft.com/office/drawing/2014/chart" uri="{C3380CC4-5D6E-409C-BE32-E72D297353CC}">
                  <c16:uniqueId val="{0000002F-9C73-B641-85CD-2B9E9836A305}"/>
                </c:ext>
              </c:extLst>
            </c:dLbl>
            <c:dLbl>
              <c:idx val="9"/>
              <c:layout>
                <c:manualLayout>
                  <c:x val="3.9583333333333297E-2"/>
                  <c:y val="-2.8753993610223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9C73-B641-85CD-2B9E9836A305}"/>
                </c:ext>
              </c:extLst>
            </c:dLbl>
            <c:dLbl>
              <c:idx val="10"/>
              <c:layout>
                <c:manualLayout>
                  <c:x val="1.6666666666666701E-2"/>
                  <c:y val="2.875399361022359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9C73-B641-85CD-2B9E9836A305}"/>
                </c:ext>
              </c:extLst>
            </c:dLbl>
            <c:dLbl>
              <c:idx val="11"/>
              <c:layout>
                <c:manualLayout>
                  <c:x val="2.0833333333333298E-3"/>
                  <c:y val="5.111821086261979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9C73-B641-85CD-2B9E9836A305}"/>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Review</c:v>
                </c:pt>
                <c:pt idx="7">
                  <c:v>Implementation Review</c:v>
                </c:pt>
                <c:pt idx="8">
                  <c:v>Security Testing</c:v>
                </c:pt>
                <c:pt idx="9">
                  <c:v>Issue Management</c:v>
                </c:pt>
                <c:pt idx="10">
                  <c:v>Environment Hardening</c:v>
                </c:pt>
                <c:pt idx="11">
                  <c:v>Operational Enablement</c:v>
                </c:pt>
              </c:strCache>
            </c:strRef>
          </c:cat>
          <c:val>
            <c:numRef>
              <c:f>Scorecard!$Y$47:$Y$58</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33-9C73-B641-85CD-2B9E9836A305}"/>
            </c:ext>
          </c:extLst>
        </c:ser>
        <c:dLbls>
          <c:showLegendKey val="0"/>
          <c:showVal val="0"/>
          <c:showCatName val="0"/>
          <c:showSerName val="0"/>
          <c:showPercent val="0"/>
          <c:showBubbleSize val="0"/>
        </c:dLbls>
        <c:axId val="-1708433856"/>
        <c:axId val="-1708432080"/>
      </c:radarChart>
      <c:catAx>
        <c:axId val="-1708433856"/>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8432080"/>
        <c:crosses val="autoZero"/>
        <c:auto val="1"/>
        <c:lblAlgn val="ctr"/>
        <c:lblOffset val="100"/>
        <c:noMultiLvlLbl val="0"/>
      </c:catAx>
      <c:valAx>
        <c:axId val="-1708432080"/>
        <c:scaling>
          <c:orientation val="minMax"/>
          <c:max val="3"/>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843385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SAMM Phase 4 Score</a:t>
            </a:r>
          </a:p>
        </c:rich>
      </c:tx>
      <c:layout>
        <c:manualLayout>
          <c:xMode val="edge"/>
          <c:yMode val="edge"/>
          <c:x val="0.68583333333333296"/>
          <c:y val="0.91373801916932895"/>
        </c:manualLayout>
      </c:layout>
      <c:overlay val="1"/>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radarChart>
        <c:radarStyle val="filled"/>
        <c:varyColors val="0"/>
        <c:ser>
          <c:idx val="4"/>
          <c:order val="0"/>
          <c:tx>
            <c:strRef>
              <c:f>Scorecard!$V$46</c:f>
              <c:strCache>
                <c:ptCount val="1"/>
                <c:pt idx="0">
                  <c:v>Governance</c:v>
                </c:pt>
              </c:strCache>
            </c:strRef>
          </c:tx>
          <c:spPr>
            <a:solidFill>
              <a:srgbClr val="3290C4"/>
            </a:solidFill>
            <a:ln>
              <a:solidFill>
                <a:srgbClr val="3290C4"/>
              </a:solid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s>
            <c:dLbl>
              <c:idx val="0"/>
              <c:layout>
                <c:manualLayout>
                  <c:x val="1.8749999999999999E-2"/>
                  <c:y val="5.750798722044719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12E1-7B44-B8BC-09C825297852}"/>
                </c:ext>
              </c:extLst>
            </c:dLbl>
            <c:dLbl>
              <c:idx val="1"/>
              <c:layout>
                <c:manualLayout>
                  <c:x val="-1.4583333333333399E-2"/>
                  <c:y val="3.833865814696479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12E1-7B44-B8BC-09C825297852}"/>
                </c:ext>
              </c:extLst>
            </c:dLbl>
            <c:dLbl>
              <c:idx val="2"/>
              <c:layout>
                <c:manualLayout>
                  <c:x val="-3.5416666666666798E-2"/>
                  <c:y val="6.3897763578274697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12E1-7B44-B8BC-09C825297852}"/>
                </c:ext>
              </c:extLst>
            </c:dLbl>
            <c:dLbl>
              <c:idx val="3"/>
              <c:delete val="1"/>
              <c:extLst>
                <c:ext xmlns:c15="http://schemas.microsoft.com/office/drawing/2012/chart" uri="{CE6537A1-D6FC-4f65-9D91-7224C49458BB}"/>
                <c:ext xmlns:c16="http://schemas.microsoft.com/office/drawing/2014/chart" uri="{C3380CC4-5D6E-409C-BE32-E72D297353CC}">
                  <c16:uniqueId val="{00000003-12E1-7B44-B8BC-09C825297852}"/>
                </c:ext>
              </c:extLst>
            </c:dLbl>
            <c:dLbl>
              <c:idx val="4"/>
              <c:delete val="1"/>
              <c:extLst>
                <c:ext xmlns:c15="http://schemas.microsoft.com/office/drawing/2012/chart" uri="{CE6537A1-D6FC-4f65-9D91-7224C49458BB}"/>
                <c:ext xmlns:c16="http://schemas.microsoft.com/office/drawing/2014/chart" uri="{C3380CC4-5D6E-409C-BE32-E72D297353CC}">
                  <c16:uniqueId val="{00000004-12E1-7B44-B8BC-09C825297852}"/>
                </c:ext>
              </c:extLst>
            </c:dLbl>
            <c:dLbl>
              <c:idx val="5"/>
              <c:delete val="1"/>
              <c:extLst>
                <c:ext xmlns:c15="http://schemas.microsoft.com/office/drawing/2012/chart" uri="{CE6537A1-D6FC-4f65-9D91-7224C49458BB}"/>
                <c:ext xmlns:c16="http://schemas.microsoft.com/office/drawing/2014/chart" uri="{C3380CC4-5D6E-409C-BE32-E72D297353CC}">
                  <c16:uniqueId val="{00000005-12E1-7B44-B8BC-09C825297852}"/>
                </c:ext>
              </c:extLst>
            </c:dLbl>
            <c:dLbl>
              <c:idx val="6"/>
              <c:delete val="1"/>
              <c:extLst>
                <c:ext xmlns:c15="http://schemas.microsoft.com/office/drawing/2012/chart" uri="{CE6537A1-D6FC-4f65-9D91-7224C49458BB}"/>
                <c:ext xmlns:c16="http://schemas.microsoft.com/office/drawing/2014/chart" uri="{C3380CC4-5D6E-409C-BE32-E72D297353CC}">
                  <c16:uniqueId val="{00000006-12E1-7B44-B8BC-09C825297852}"/>
                </c:ext>
              </c:extLst>
            </c:dLbl>
            <c:dLbl>
              <c:idx val="7"/>
              <c:delete val="1"/>
              <c:extLst>
                <c:ext xmlns:c15="http://schemas.microsoft.com/office/drawing/2012/chart" uri="{CE6537A1-D6FC-4f65-9D91-7224C49458BB}"/>
                <c:ext xmlns:c16="http://schemas.microsoft.com/office/drawing/2014/chart" uri="{C3380CC4-5D6E-409C-BE32-E72D297353CC}">
                  <c16:uniqueId val="{00000007-12E1-7B44-B8BC-09C825297852}"/>
                </c:ext>
              </c:extLst>
            </c:dLbl>
            <c:dLbl>
              <c:idx val="8"/>
              <c:delete val="1"/>
              <c:extLst>
                <c:ext xmlns:c15="http://schemas.microsoft.com/office/drawing/2012/chart" uri="{CE6537A1-D6FC-4f65-9D91-7224C49458BB}"/>
                <c:ext xmlns:c16="http://schemas.microsoft.com/office/drawing/2014/chart" uri="{C3380CC4-5D6E-409C-BE32-E72D297353CC}">
                  <c16:uniqueId val="{00000008-12E1-7B44-B8BC-09C825297852}"/>
                </c:ext>
              </c:extLst>
            </c:dLbl>
            <c:dLbl>
              <c:idx val="9"/>
              <c:delete val="1"/>
              <c:extLst>
                <c:ext xmlns:c15="http://schemas.microsoft.com/office/drawing/2012/chart" uri="{CE6537A1-D6FC-4f65-9D91-7224C49458BB}"/>
                <c:ext xmlns:c16="http://schemas.microsoft.com/office/drawing/2014/chart" uri="{C3380CC4-5D6E-409C-BE32-E72D297353CC}">
                  <c16:uniqueId val="{00000009-12E1-7B44-B8BC-09C825297852}"/>
                </c:ext>
              </c:extLst>
            </c:dLbl>
            <c:dLbl>
              <c:idx val="10"/>
              <c:delete val="1"/>
              <c:extLst>
                <c:ext xmlns:c15="http://schemas.microsoft.com/office/drawing/2012/chart" uri="{CE6537A1-D6FC-4f65-9D91-7224C49458BB}"/>
                <c:ext xmlns:c16="http://schemas.microsoft.com/office/drawing/2014/chart" uri="{C3380CC4-5D6E-409C-BE32-E72D297353CC}">
                  <c16:uniqueId val="{0000000A-12E1-7B44-B8BC-09C825297852}"/>
                </c:ext>
              </c:extLst>
            </c:dLbl>
            <c:dLbl>
              <c:idx val="11"/>
              <c:delete val="1"/>
              <c:extLst>
                <c:ext xmlns:c15="http://schemas.microsoft.com/office/drawing/2012/chart" uri="{CE6537A1-D6FC-4f65-9D91-7224C49458BB}"/>
                <c:ext xmlns:c16="http://schemas.microsoft.com/office/drawing/2014/chart" uri="{C3380CC4-5D6E-409C-BE32-E72D297353CC}">
                  <c16:uniqueId val="{0000000B-12E1-7B44-B8BC-09C825297852}"/>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Review</c:v>
                </c:pt>
                <c:pt idx="7">
                  <c:v>Implementation Review</c:v>
                </c:pt>
                <c:pt idx="8">
                  <c:v>Security Testing</c:v>
                </c:pt>
                <c:pt idx="9">
                  <c:v>Issue Management</c:v>
                </c:pt>
                <c:pt idx="10">
                  <c:v>Environment Hardening</c:v>
                </c:pt>
                <c:pt idx="11">
                  <c:v>Operational Enablement</c:v>
                </c:pt>
              </c:strCache>
            </c:strRef>
          </c:cat>
          <c:val>
            <c:numRef>
              <c:f>Scorecard!$V$47:$V$58</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C-12E1-7B44-B8BC-09C825297852}"/>
            </c:ext>
          </c:extLst>
        </c:ser>
        <c:ser>
          <c:idx val="5"/>
          <c:order val="1"/>
          <c:tx>
            <c:strRef>
              <c:f>Scorecard!$W$46</c:f>
              <c:strCache>
                <c:ptCount val="1"/>
                <c:pt idx="0">
                  <c:v>Construction</c:v>
                </c:pt>
              </c:strCache>
            </c:strRef>
          </c:tx>
          <c:spPr>
            <a:solidFill>
              <a:srgbClr val="B75727"/>
            </a:solidFill>
            <a:ln>
              <a:solidFill>
                <a:srgbClr val="B75727"/>
              </a:solid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s>
            <c:dLbl>
              <c:idx val="0"/>
              <c:delete val="1"/>
              <c:extLst>
                <c:ext xmlns:c15="http://schemas.microsoft.com/office/drawing/2012/chart" uri="{CE6537A1-D6FC-4f65-9D91-7224C49458BB}"/>
                <c:ext xmlns:c16="http://schemas.microsoft.com/office/drawing/2014/chart" uri="{C3380CC4-5D6E-409C-BE32-E72D297353CC}">
                  <c16:uniqueId val="{0000000D-12E1-7B44-B8BC-09C825297852}"/>
                </c:ext>
              </c:extLst>
            </c:dLbl>
            <c:dLbl>
              <c:idx val="1"/>
              <c:delete val="1"/>
              <c:extLst>
                <c:ext xmlns:c15="http://schemas.microsoft.com/office/drawing/2012/chart" uri="{CE6537A1-D6FC-4f65-9D91-7224C49458BB}"/>
                <c:ext xmlns:c16="http://schemas.microsoft.com/office/drawing/2014/chart" uri="{C3380CC4-5D6E-409C-BE32-E72D297353CC}">
                  <c16:uniqueId val="{0000000E-12E1-7B44-B8BC-09C825297852}"/>
                </c:ext>
              </c:extLst>
            </c:dLbl>
            <c:dLbl>
              <c:idx val="2"/>
              <c:delete val="1"/>
              <c:extLst>
                <c:ext xmlns:c15="http://schemas.microsoft.com/office/drawing/2012/chart" uri="{CE6537A1-D6FC-4f65-9D91-7224C49458BB}"/>
                <c:ext xmlns:c16="http://schemas.microsoft.com/office/drawing/2014/chart" uri="{C3380CC4-5D6E-409C-BE32-E72D297353CC}">
                  <c16:uniqueId val="{0000000F-12E1-7B44-B8BC-09C825297852}"/>
                </c:ext>
              </c:extLst>
            </c:dLbl>
            <c:dLbl>
              <c:idx val="3"/>
              <c:layout>
                <c:manualLayout>
                  <c:x val="-2.7083333333333501E-2"/>
                  <c:y val="6.3897763578274697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12E1-7B44-B8BC-09C825297852}"/>
                </c:ext>
              </c:extLst>
            </c:dLbl>
            <c:dLbl>
              <c:idx val="4"/>
              <c:layout>
                <c:manualLayout>
                  <c:x val="-2.5000000000000099E-2"/>
                  <c:y val="-1.9169329073482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12E1-7B44-B8BC-09C825297852}"/>
                </c:ext>
              </c:extLst>
            </c:dLbl>
            <c:dLbl>
              <c:idx val="5"/>
              <c:layout>
                <c:manualLayout>
                  <c:x val="-1.8749999999999999E-2"/>
                  <c:y val="-4.792332268370610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12E1-7B44-B8BC-09C825297852}"/>
                </c:ext>
              </c:extLst>
            </c:dLbl>
            <c:dLbl>
              <c:idx val="6"/>
              <c:delete val="1"/>
              <c:extLst>
                <c:ext xmlns:c15="http://schemas.microsoft.com/office/drawing/2012/chart" uri="{CE6537A1-D6FC-4f65-9D91-7224C49458BB}"/>
                <c:ext xmlns:c16="http://schemas.microsoft.com/office/drawing/2014/chart" uri="{C3380CC4-5D6E-409C-BE32-E72D297353CC}">
                  <c16:uniqueId val="{00000013-12E1-7B44-B8BC-09C825297852}"/>
                </c:ext>
              </c:extLst>
            </c:dLbl>
            <c:dLbl>
              <c:idx val="7"/>
              <c:delete val="1"/>
              <c:extLst>
                <c:ext xmlns:c15="http://schemas.microsoft.com/office/drawing/2012/chart" uri="{CE6537A1-D6FC-4f65-9D91-7224C49458BB}"/>
                <c:ext xmlns:c16="http://schemas.microsoft.com/office/drawing/2014/chart" uri="{C3380CC4-5D6E-409C-BE32-E72D297353CC}">
                  <c16:uniqueId val="{00000014-12E1-7B44-B8BC-09C825297852}"/>
                </c:ext>
              </c:extLst>
            </c:dLbl>
            <c:dLbl>
              <c:idx val="8"/>
              <c:delete val="1"/>
              <c:extLst>
                <c:ext xmlns:c15="http://schemas.microsoft.com/office/drawing/2012/chart" uri="{CE6537A1-D6FC-4f65-9D91-7224C49458BB}"/>
                <c:ext xmlns:c16="http://schemas.microsoft.com/office/drawing/2014/chart" uri="{C3380CC4-5D6E-409C-BE32-E72D297353CC}">
                  <c16:uniqueId val="{00000015-12E1-7B44-B8BC-09C825297852}"/>
                </c:ext>
              </c:extLst>
            </c:dLbl>
            <c:dLbl>
              <c:idx val="9"/>
              <c:delete val="1"/>
              <c:extLst>
                <c:ext xmlns:c15="http://schemas.microsoft.com/office/drawing/2012/chart" uri="{CE6537A1-D6FC-4f65-9D91-7224C49458BB}"/>
                <c:ext xmlns:c16="http://schemas.microsoft.com/office/drawing/2014/chart" uri="{C3380CC4-5D6E-409C-BE32-E72D297353CC}">
                  <c16:uniqueId val="{00000016-12E1-7B44-B8BC-09C825297852}"/>
                </c:ext>
              </c:extLst>
            </c:dLbl>
            <c:dLbl>
              <c:idx val="10"/>
              <c:delete val="1"/>
              <c:extLst>
                <c:ext xmlns:c15="http://schemas.microsoft.com/office/drawing/2012/chart" uri="{CE6537A1-D6FC-4f65-9D91-7224C49458BB}"/>
                <c:ext xmlns:c16="http://schemas.microsoft.com/office/drawing/2014/chart" uri="{C3380CC4-5D6E-409C-BE32-E72D297353CC}">
                  <c16:uniqueId val="{00000017-12E1-7B44-B8BC-09C825297852}"/>
                </c:ext>
              </c:extLst>
            </c:dLbl>
            <c:dLbl>
              <c:idx val="11"/>
              <c:delete val="1"/>
              <c:extLst>
                <c:ext xmlns:c15="http://schemas.microsoft.com/office/drawing/2012/chart" uri="{CE6537A1-D6FC-4f65-9D91-7224C49458BB}"/>
                <c:ext xmlns:c16="http://schemas.microsoft.com/office/drawing/2014/chart" uri="{C3380CC4-5D6E-409C-BE32-E72D297353CC}">
                  <c16:uniqueId val="{00000018-12E1-7B44-B8BC-09C825297852}"/>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Review</c:v>
                </c:pt>
                <c:pt idx="7">
                  <c:v>Implementation Review</c:v>
                </c:pt>
                <c:pt idx="8">
                  <c:v>Security Testing</c:v>
                </c:pt>
                <c:pt idx="9">
                  <c:v>Issue Management</c:v>
                </c:pt>
                <c:pt idx="10">
                  <c:v>Environment Hardening</c:v>
                </c:pt>
                <c:pt idx="11">
                  <c:v>Operational Enablement</c:v>
                </c:pt>
              </c:strCache>
            </c:strRef>
          </c:cat>
          <c:val>
            <c:numRef>
              <c:f>Scorecard!$W$47:$W$58</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19-12E1-7B44-B8BC-09C825297852}"/>
            </c:ext>
          </c:extLst>
        </c:ser>
        <c:ser>
          <c:idx val="6"/>
          <c:order val="2"/>
          <c:tx>
            <c:strRef>
              <c:f>Scorecard!$X$46</c:f>
              <c:strCache>
                <c:ptCount val="1"/>
                <c:pt idx="0">
                  <c:v>Verification</c:v>
                </c:pt>
              </c:strCache>
            </c:strRef>
          </c:tx>
          <c:spPr>
            <a:solidFill>
              <a:srgbClr val="37793E"/>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s>
            <c:dLbl>
              <c:idx val="0"/>
              <c:delete val="1"/>
              <c:extLst>
                <c:ext xmlns:c15="http://schemas.microsoft.com/office/drawing/2012/chart" uri="{CE6537A1-D6FC-4f65-9D91-7224C49458BB}"/>
                <c:ext xmlns:c16="http://schemas.microsoft.com/office/drawing/2014/chart" uri="{C3380CC4-5D6E-409C-BE32-E72D297353CC}">
                  <c16:uniqueId val="{0000001A-12E1-7B44-B8BC-09C825297852}"/>
                </c:ext>
              </c:extLst>
            </c:dLbl>
            <c:dLbl>
              <c:idx val="1"/>
              <c:delete val="1"/>
              <c:extLst>
                <c:ext xmlns:c15="http://schemas.microsoft.com/office/drawing/2012/chart" uri="{CE6537A1-D6FC-4f65-9D91-7224C49458BB}"/>
                <c:ext xmlns:c16="http://schemas.microsoft.com/office/drawing/2014/chart" uri="{C3380CC4-5D6E-409C-BE32-E72D297353CC}">
                  <c16:uniqueId val="{0000001B-12E1-7B44-B8BC-09C825297852}"/>
                </c:ext>
              </c:extLst>
            </c:dLbl>
            <c:dLbl>
              <c:idx val="2"/>
              <c:delete val="1"/>
              <c:extLst>
                <c:ext xmlns:c15="http://schemas.microsoft.com/office/drawing/2012/chart" uri="{CE6537A1-D6FC-4f65-9D91-7224C49458BB}"/>
                <c:ext xmlns:c16="http://schemas.microsoft.com/office/drawing/2014/chart" uri="{C3380CC4-5D6E-409C-BE32-E72D297353CC}">
                  <c16:uniqueId val="{0000001C-12E1-7B44-B8BC-09C825297852}"/>
                </c:ext>
              </c:extLst>
            </c:dLbl>
            <c:dLbl>
              <c:idx val="3"/>
              <c:delete val="1"/>
              <c:extLst>
                <c:ext xmlns:c15="http://schemas.microsoft.com/office/drawing/2012/chart" uri="{CE6537A1-D6FC-4f65-9D91-7224C49458BB}"/>
                <c:ext xmlns:c16="http://schemas.microsoft.com/office/drawing/2014/chart" uri="{C3380CC4-5D6E-409C-BE32-E72D297353CC}">
                  <c16:uniqueId val="{0000001D-12E1-7B44-B8BC-09C825297852}"/>
                </c:ext>
              </c:extLst>
            </c:dLbl>
            <c:dLbl>
              <c:idx val="4"/>
              <c:delete val="1"/>
              <c:extLst>
                <c:ext xmlns:c15="http://schemas.microsoft.com/office/drawing/2012/chart" uri="{CE6537A1-D6FC-4f65-9D91-7224C49458BB}"/>
                <c:ext xmlns:c16="http://schemas.microsoft.com/office/drawing/2014/chart" uri="{C3380CC4-5D6E-409C-BE32-E72D297353CC}">
                  <c16:uniqueId val="{0000001E-12E1-7B44-B8BC-09C825297852}"/>
                </c:ext>
              </c:extLst>
            </c:dLbl>
            <c:dLbl>
              <c:idx val="5"/>
              <c:delete val="1"/>
              <c:extLst>
                <c:ext xmlns:c15="http://schemas.microsoft.com/office/drawing/2012/chart" uri="{CE6537A1-D6FC-4f65-9D91-7224C49458BB}"/>
                <c:ext xmlns:c16="http://schemas.microsoft.com/office/drawing/2014/chart" uri="{C3380CC4-5D6E-409C-BE32-E72D297353CC}">
                  <c16:uniqueId val="{0000001F-12E1-7B44-B8BC-09C825297852}"/>
                </c:ext>
              </c:extLst>
            </c:dLbl>
            <c:dLbl>
              <c:idx val="6"/>
              <c:layout>
                <c:manualLayout>
                  <c:x val="-4.1666666666666701E-3"/>
                  <c:y val="-5.750798722044730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12E1-7B44-B8BC-09C825297852}"/>
                </c:ext>
              </c:extLst>
            </c:dLbl>
            <c:dLbl>
              <c:idx val="7"/>
              <c:layout>
                <c:manualLayout>
                  <c:x val="1.0416666666666701E-2"/>
                  <c:y val="-3.1948881789137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12E1-7B44-B8BC-09C825297852}"/>
                </c:ext>
              </c:extLst>
            </c:dLbl>
            <c:dLbl>
              <c:idx val="8"/>
              <c:layout>
                <c:manualLayout>
                  <c:x val="2.2916666666666599E-2"/>
                  <c:y val="-3.1948881789137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12E1-7B44-B8BC-09C825297852}"/>
                </c:ext>
              </c:extLst>
            </c:dLbl>
            <c:dLbl>
              <c:idx val="9"/>
              <c:delete val="1"/>
              <c:extLst>
                <c:ext xmlns:c15="http://schemas.microsoft.com/office/drawing/2012/chart" uri="{CE6537A1-D6FC-4f65-9D91-7224C49458BB}"/>
                <c:ext xmlns:c16="http://schemas.microsoft.com/office/drawing/2014/chart" uri="{C3380CC4-5D6E-409C-BE32-E72D297353CC}">
                  <c16:uniqueId val="{00000023-12E1-7B44-B8BC-09C825297852}"/>
                </c:ext>
              </c:extLst>
            </c:dLbl>
            <c:dLbl>
              <c:idx val="10"/>
              <c:delete val="1"/>
              <c:extLst>
                <c:ext xmlns:c15="http://schemas.microsoft.com/office/drawing/2012/chart" uri="{CE6537A1-D6FC-4f65-9D91-7224C49458BB}"/>
                <c:ext xmlns:c16="http://schemas.microsoft.com/office/drawing/2014/chart" uri="{C3380CC4-5D6E-409C-BE32-E72D297353CC}">
                  <c16:uniqueId val="{00000024-12E1-7B44-B8BC-09C825297852}"/>
                </c:ext>
              </c:extLst>
            </c:dLbl>
            <c:dLbl>
              <c:idx val="11"/>
              <c:delete val="1"/>
              <c:extLst>
                <c:ext xmlns:c15="http://schemas.microsoft.com/office/drawing/2012/chart" uri="{CE6537A1-D6FC-4f65-9D91-7224C49458BB}"/>
                <c:ext xmlns:c16="http://schemas.microsoft.com/office/drawing/2014/chart" uri="{C3380CC4-5D6E-409C-BE32-E72D297353CC}">
                  <c16:uniqueId val="{00000025-12E1-7B44-B8BC-09C825297852}"/>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Review</c:v>
                </c:pt>
                <c:pt idx="7">
                  <c:v>Implementation Review</c:v>
                </c:pt>
                <c:pt idx="8">
                  <c:v>Security Testing</c:v>
                </c:pt>
                <c:pt idx="9">
                  <c:v>Issue Management</c:v>
                </c:pt>
                <c:pt idx="10">
                  <c:v>Environment Hardening</c:v>
                </c:pt>
                <c:pt idx="11">
                  <c:v>Operational Enablement</c:v>
                </c:pt>
              </c:strCache>
            </c:strRef>
          </c:cat>
          <c:val>
            <c:numRef>
              <c:f>Scorecard!$X$47:$X$58</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26-12E1-7B44-B8BC-09C825297852}"/>
            </c:ext>
          </c:extLst>
        </c:ser>
        <c:ser>
          <c:idx val="7"/>
          <c:order val="3"/>
          <c:tx>
            <c:strRef>
              <c:f>Scorecard!$Y$46</c:f>
              <c:strCache>
                <c:ptCount val="1"/>
                <c:pt idx="0">
                  <c:v>Operations</c:v>
                </c:pt>
              </c:strCache>
            </c:strRef>
          </c:tx>
          <c:spPr>
            <a:solidFill>
              <a:srgbClr val="791F17"/>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s>
            <c:dLbl>
              <c:idx val="0"/>
              <c:delete val="1"/>
              <c:extLst>
                <c:ext xmlns:c15="http://schemas.microsoft.com/office/drawing/2012/chart" uri="{CE6537A1-D6FC-4f65-9D91-7224C49458BB}"/>
                <c:ext xmlns:c16="http://schemas.microsoft.com/office/drawing/2014/chart" uri="{C3380CC4-5D6E-409C-BE32-E72D297353CC}">
                  <c16:uniqueId val="{00000027-12E1-7B44-B8BC-09C825297852}"/>
                </c:ext>
              </c:extLst>
            </c:dLbl>
            <c:dLbl>
              <c:idx val="1"/>
              <c:delete val="1"/>
              <c:extLst>
                <c:ext xmlns:c15="http://schemas.microsoft.com/office/drawing/2012/chart" uri="{CE6537A1-D6FC-4f65-9D91-7224C49458BB}"/>
                <c:ext xmlns:c16="http://schemas.microsoft.com/office/drawing/2014/chart" uri="{C3380CC4-5D6E-409C-BE32-E72D297353CC}">
                  <c16:uniqueId val="{00000028-12E1-7B44-B8BC-09C825297852}"/>
                </c:ext>
              </c:extLst>
            </c:dLbl>
            <c:dLbl>
              <c:idx val="2"/>
              <c:delete val="1"/>
              <c:extLst>
                <c:ext xmlns:c15="http://schemas.microsoft.com/office/drawing/2012/chart" uri="{CE6537A1-D6FC-4f65-9D91-7224C49458BB}"/>
                <c:ext xmlns:c16="http://schemas.microsoft.com/office/drawing/2014/chart" uri="{C3380CC4-5D6E-409C-BE32-E72D297353CC}">
                  <c16:uniqueId val="{00000029-12E1-7B44-B8BC-09C825297852}"/>
                </c:ext>
              </c:extLst>
            </c:dLbl>
            <c:dLbl>
              <c:idx val="3"/>
              <c:delete val="1"/>
              <c:extLst>
                <c:ext xmlns:c15="http://schemas.microsoft.com/office/drawing/2012/chart" uri="{CE6537A1-D6FC-4f65-9D91-7224C49458BB}"/>
                <c:ext xmlns:c16="http://schemas.microsoft.com/office/drawing/2014/chart" uri="{C3380CC4-5D6E-409C-BE32-E72D297353CC}">
                  <c16:uniqueId val="{0000002A-12E1-7B44-B8BC-09C825297852}"/>
                </c:ext>
              </c:extLst>
            </c:dLbl>
            <c:dLbl>
              <c:idx val="4"/>
              <c:delete val="1"/>
              <c:extLst>
                <c:ext xmlns:c15="http://schemas.microsoft.com/office/drawing/2012/chart" uri="{CE6537A1-D6FC-4f65-9D91-7224C49458BB}"/>
                <c:ext xmlns:c16="http://schemas.microsoft.com/office/drawing/2014/chart" uri="{C3380CC4-5D6E-409C-BE32-E72D297353CC}">
                  <c16:uniqueId val="{0000002B-12E1-7B44-B8BC-09C825297852}"/>
                </c:ext>
              </c:extLst>
            </c:dLbl>
            <c:dLbl>
              <c:idx val="5"/>
              <c:delete val="1"/>
              <c:extLst>
                <c:ext xmlns:c15="http://schemas.microsoft.com/office/drawing/2012/chart" uri="{CE6537A1-D6FC-4f65-9D91-7224C49458BB}"/>
                <c:ext xmlns:c16="http://schemas.microsoft.com/office/drawing/2014/chart" uri="{C3380CC4-5D6E-409C-BE32-E72D297353CC}">
                  <c16:uniqueId val="{0000002C-12E1-7B44-B8BC-09C825297852}"/>
                </c:ext>
              </c:extLst>
            </c:dLbl>
            <c:dLbl>
              <c:idx val="6"/>
              <c:delete val="1"/>
              <c:extLst>
                <c:ext xmlns:c15="http://schemas.microsoft.com/office/drawing/2012/chart" uri="{CE6537A1-D6FC-4f65-9D91-7224C49458BB}"/>
                <c:ext xmlns:c16="http://schemas.microsoft.com/office/drawing/2014/chart" uri="{C3380CC4-5D6E-409C-BE32-E72D297353CC}">
                  <c16:uniqueId val="{0000002D-12E1-7B44-B8BC-09C825297852}"/>
                </c:ext>
              </c:extLst>
            </c:dLbl>
            <c:dLbl>
              <c:idx val="7"/>
              <c:delete val="1"/>
              <c:extLst>
                <c:ext xmlns:c15="http://schemas.microsoft.com/office/drawing/2012/chart" uri="{CE6537A1-D6FC-4f65-9D91-7224C49458BB}"/>
                <c:ext xmlns:c16="http://schemas.microsoft.com/office/drawing/2014/chart" uri="{C3380CC4-5D6E-409C-BE32-E72D297353CC}">
                  <c16:uniqueId val="{0000002E-12E1-7B44-B8BC-09C825297852}"/>
                </c:ext>
              </c:extLst>
            </c:dLbl>
            <c:dLbl>
              <c:idx val="8"/>
              <c:delete val="1"/>
              <c:extLst>
                <c:ext xmlns:c15="http://schemas.microsoft.com/office/drawing/2012/chart" uri="{CE6537A1-D6FC-4f65-9D91-7224C49458BB}"/>
                <c:ext xmlns:c16="http://schemas.microsoft.com/office/drawing/2014/chart" uri="{C3380CC4-5D6E-409C-BE32-E72D297353CC}">
                  <c16:uniqueId val="{0000002F-12E1-7B44-B8BC-09C825297852}"/>
                </c:ext>
              </c:extLst>
            </c:dLbl>
            <c:dLbl>
              <c:idx val="9"/>
              <c:layout>
                <c:manualLayout>
                  <c:x val="3.9583333333333297E-2"/>
                  <c:y val="-2.8753993610223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12E1-7B44-B8BC-09C825297852}"/>
                </c:ext>
              </c:extLst>
            </c:dLbl>
            <c:dLbl>
              <c:idx val="10"/>
              <c:layout>
                <c:manualLayout>
                  <c:x val="1.6666666666666701E-2"/>
                  <c:y val="2.875399361022359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12E1-7B44-B8BC-09C825297852}"/>
                </c:ext>
              </c:extLst>
            </c:dLbl>
            <c:dLbl>
              <c:idx val="11"/>
              <c:layout>
                <c:manualLayout>
                  <c:x val="2.0833333333333298E-3"/>
                  <c:y val="5.111821086261979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12E1-7B44-B8BC-09C825297852}"/>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Review</c:v>
                </c:pt>
                <c:pt idx="7">
                  <c:v>Implementation Review</c:v>
                </c:pt>
                <c:pt idx="8">
                  <c:v>Security Testing</c:v>
                </c:pt>
                <c:pt idx="9">
                  <c:v>Issue Management</c:v>
                </c:pt>
                <c:pt idx="10">
                  <c:v>Environment Hardening</c:v>
                </c:pt>
                <c:pt idx="11">
                  <c:v>Operational Enablement</c:v>
                </c:pt>
              </c:strCache>
            </c:strRef>
          </c:cat>
          <c:val>
            <c:numRef>
              <c:f>Scorecard!$Y$47:$Y$58</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33-12E1-7B44-B8BC-09C825297852}"/>
            </c:ext>
          </c:extLst>
        </c:ser>
        <c:dLbls>
          <c:showLegendKey val="0"/>
          <c:showVal val="0"/>
          <c:showCatName val="0"/>
          <c:showSerName val="0"/>
          <c:showPercent val="0"/>
          <c:showBubbleSize val="0"/>
        </c:dLbls>
        <c:axId val="-1708433856"/>
        <c:axId val="-1708432080"/>
      </c:radarChart>
      <c:catAx>
        <c:axId val="-1708433856"/>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8432080"/>
        <c:crosses val="autoZero"/>
        <c:auto val="1"/>
        <c:lblAlgn val="ctr"/>
        <c:lblOffset val="100"/>
        <c:noMultiLvlLbl val="0"/>
      </c:catAx>
      <c:valAx>
        <c:axId val="-1708432080"/>
        <c:scaling>
          <c:orientation val="minMax"/>
          <c:max val="3"/>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843385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SAMM Phase 3 Score</a:t>
            </a:r>
          </a:p>
        </c:rich>
      </c:tx>
      <c:layout>
        <c:manualLayout>
          <c:xMode val="edge"/>
          <c:yMode val="edge"/>
          <c:x val="0.68583333333333296"/>
          <c:y val="0.91373801916932895"/>
        </c:manualLayout>
      </c:layout>
      <c:overlay val="1"/>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radarChart>
        <c:radarStyle val="filled"/>
        <c:varyColors val="0"/>
        <c:ser>
          <c:idx val="4"/>
          <c:order val="0"/>
          <c:tx>
            <c:strRef>
              <c:f>Scorecard!$V$46</c:f>
              <c:strCache>
                <c:ptCount val="1"/>
                <c:pt idx="0">
                  <c:v>Governance</c:v>
                </c:pt>
              </c:strCache>
            </c:strRef>
          </c:tx>
          <c:spPr>
            <a:solidFill>
              <a:srgbClr val="3290C4"/>
            </a:solidFill>
            <a:ln>
              <a:solidFill>
                <a:srgbClr val="3290C4"/>
              </a:solid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s>
            <c:dLbl>
              <c:idx val="0"/>
              <c:layout>
                <c:manualLayout>
                  <c:x val="1.8749999999999999E-2"/>
                  <c:y val="5.750798722044719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19BD-A344-986B-BF9BAFE8D0C2}"/>
                </c:ext>
              </c:extLst>
            </c:dLbl>
            <c:dLbl>
              <c:idx val="1"/>
              <c:layout>
                <c:manualLayout>
                  <c:x val="-1.4583333333333399E-2"/>
                  <c:y val="3.833865814696479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19BD-A344-986B-BF9BAFE8D0C2}"/>
                </c:ext>
              </c:extLst>
            </c:dLbl>
            <c:dLbl>
              <c:idx val="2"/>
              <c:layout>
                <c:manualLayout>
                  <c:x val="-3.5416666666666798E-2"/>
                  <c:y val="6.3897763578274697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19BD-A344-986B-BF9BAFE8D0C2}"/>
                </c:ext>
              </c:extLst>
            </c:dLbl>
            <c:dLbl>
              <c:idx val="3"/>
              <c:delete val="1"/>
              <c:extLst>
                <c:ext xmlns:c15="http://schemas.microsoft.com/office/drawing/2012/chart" uri="{CE6537A1-D6FC-4f65-9D91-7224C49458BB}"/>
                <c:ext xmlns:c16="http://schemas.microsoft.com/office/drawing/2014/chart" uri="{C3380CC4-5D6E-409C-BE32-E72D297353CC}">
                  <c16:uniqueId val="{00000003-19BD-A344-986B-BF9BAFE8D0C2}"/>
                </c:ext>
              </c:extLst>
            </c:dLbl>
            <c:dLbl>
              <c:idx val="4"/>
              <c:delete val="1"/>
              <c:extLst>
                <c:ext xmlns:c15="http://schemas.microsoft.com/office/drawing/2012/chart" uri="{CE6537A1-D6FC-4f65-9D91-7224C49458BB}"/>
                <c:ext xmlns:c16="http://schemas.microsoft.com/office/drawing/2014/chart" uri="{C3380CC4-5D6E-409C-BE32-E72D297353CC}">
                  <c16:uniqueId val="{00000004-19BD-A344-986B-BF9BAFE8D0C2}"/>
                </c:ext>
              </c:extLst>
            </c:dLbl>
            <c:dLbl>
              <c:idx val="5"/>
              <c:delete val="1"/>
              <c:extLst>
                <c:ext xmlns:c15="http://schemas.microsoft.com/office/drawing/2012/chart" uri="{CE6537A1-D6FC-4f65-9D91-7224C49458BB}"/>
                <c:ext xmlns:c16="http://schemas.microsoft.com/office/drawing/2014/chart" uri="{C3380CC4-5D6E-409C-BE32-E72D297353CC}">
                  <c16:uniqueId val="{00000005-19BD-A344-986B-BF9BAFE8D0C2}"/>
                </c:ext>
              </c:extLst>
            </c:dLbl>
            <c:dLbl>
              <c:idx val="6"/>
              <c:delete val="1"/>
              <c:extLst>
                <c:ext xmlns:c15="http://schemas.microsoft.com/office/drawing/2012/chart" uri="{CE6537A1-D6FC-4f65-9D91-7224C49458BB}"/>
                <c:ext xmlns:c16="http://schemas.microsoft.com/office/drawing/2014/chart" uri="{C3380CC4-5D6E-409C-BE32-E72D297353CC}">
                  <c16:uniqueId val="{00000006-19BD-A344-986B-BF9BAFE8D0C2}"/>
                </c:ext>
              </c:extLst>
            </c:dLbl>
            <c:dLbl>
              <c:idx val="7"/>
              <c:delete val="1"/>
              <c:extLst>
                <c:ext xmlns:c15="http://schemas.microsoft.com/office/drawing/2012/chart" uri="{CE6537A1-D6FC-4f65-9D91-7224C49458BB}"/>
                <c:ext xmlns:c16="http://schemas.microsoft.com/office/drawing/2014/chart" uri="{C3380CC4-5D6E-409C-BE32-E72D297353CC}">
                  <c16:uniqueId val="{00000007-19BD-A344-986B-BF9BAFE8D0C2}"/>
                </c:ext>
              </c:extLst>
            </c:dLbl>
            <c:dLbl>
              <c:idx val="8"/>
              <c:delete val="1"/>
              <c:extLst>
                <c:ext xmlns:c15="http://schemas.microsoft.com/office/drawing/2012/chart" uri="{CE6537A1-D6FC-4f65-9D91-7224C49458BB}"/>
                <c:ext xmlns:c16="http://schemas.microsoft.com/office/drawing/2014/chart" uri="{C3380CC4-5D6E-409C-BE32-E72D297353CC}">
                  <c16:uniqueId val="{00000008-19BD-A344-986B-BF9BAFE8D0C2}"/>
                </c:ext>
              </c:extLst>
            </c:dLbl>
            <c:dLbl>
              <c:idx val="9"/>
              <c:delete val="1"/>
              <c:extLst>
                <c:ext xmlns:c15="http://schemas.microsoft.com/office/drawing/2012/chart" uri="{CE6537A1-D6FC-4f65-9D91-7224C49458BB}"/>
                <c:ext xmlns:c16="http://schemas.microsoft.com/office/drawing/2014/chart" uri="{C3380CC4-5D6E-409C-BE32-E72D297353CC}">
                  <c16:uniqueId val="{00000009-19BD-A344-986B-BF9BAFE8D0C2}"/>
                </c:ext>
              </c:extLst>
            </c:dLbl>
            <c:dLbl>
              <c:idx val="10"/>
              <c:delete val="1"/>
              <c:extLst>
                <c:ext xmlns:c15="http://schemas.microsoft.com/office/drawing/2012/chart" uri="{CE6537A1-D6FC-4f65-9D91-7224C49458BB}"/>
                <c:ext xmlns:c16="http://schemas.microsoft.com/office/drawing/2014/chart" uri="{C3380CC4-5D6E-409C-BE32-E72D297353CC}">
                  <c16:uniqueId val="{0000000A-19BD-A344-986B-BF9BAFE8D0C2}"/>
                </c:ext>
              </c:extLst>
            </c:dLbl>
            <c:dLbl>
              <c:idx val="11"/>
              <c:delete val="1"/>
              <c:extLst>
                <c:ext xmlns:c15="http://schemas.microsoft.com/office/drawing/2012/chart" uri="{CE6537A1-D6FC-4f65-9D91-7224C49458BB}"/>
                <c:ext xmlns:c16="http://schemas.microsoft.com/office/drawing/2014/chart" uri="{C3380CC4-5D6E-409C-BE32-E72D297353CC}">
                  <c16:uniqueId val="{0000000B-19BD-A344-986B-BF9BAFE8D0C2}"/>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Review</c:v>
                </c:pt>
                <c:pt idx="7">
                  <c:v>Implementation Review</c:v>
                </c:pt>
                <c:pt idx="8">
                  <c:v>Security Testing</c:v>
                </c:pt>
                <c:pt idx="9">
                  <c:v>Issue Management</c:v>
                </c:pt>
                <c:pt idx="10">
                  <c:v>Environment Hardening</c:v>
                </c:pt>
                <c:pt idx="11">
                  <c:v>Operational Enablement</c:v>
                </c:pt>
              </c:strCache>
            </c:strRef>
          </c:cat>
          <c:val>
            <c:numRef>
              <c:f>Scorecard!$V$47:$V$58</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C-19BD-A344-986B-BF9BAFE8D0C2}"/>
            </c:ext>
          </c:extLst>
        </c:ser>
        <c:ser>
          <c:idx val="5"/>
          <c:order val="1"/>
          <c:tx>
            <c:strRef>
              <c:f>Scorecard!$W$46</c:f>
              <c:strCache>
                <c:ptCount val="1"/>
                <c:pt idx="0">
                  <c:v>Construction</c:v>
                </c:pt>
              </c:strCache>
            </c:strRef>
          </c:tx>
          <c:spPr>
            <a:solidFill>
              <a:srgbClr val="B75727"/>
            </a:solidFill>
            <a:ln>
              <a:solidFill>
                <a:srgbClr val="B75727"/>
              </a:solid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s>
            <c:dLbl>
              <c:idx val="0"/>
              <c:delete val="1"/>
              <c:extLst>
                <c:ext xmlns:c15="http://schemas.microsoft.com/office/drawing/2012/chart" uri="{CE6537A1-D6FC-4f65-9D91-7224C49458BB}"/>
                <c:ext xmlns:c16="http://schemas.microsoft.com/office/drawing/2014/chart" uri="{C3380CC4-5D6E-409C-BE32-E72D297353CC}">
                  <c16:uniqueId val="{0000000D-19BD-A344-986B-BF9BAFE8D0C2}"/>
                </c:ext>
              </c:extLst>
            </c:dLbl>
            <c:dLbl>
              <c:idx val="1"/>
              <c:delete val="1"/>
              <c:extLst>
                <c:ext xmlns:c15="http://schemas.microsoft.com/office/drawing/2012/chart" uri="{CE6537A1-D6FC-4f65-9D91-7224C49458BB}"/>
                <c:ext xmlns:c16="http://schemas.microsoft.com/office/drawing/2014/chart" uri="{C3380CC4-5D6E-409C-BE32-E72D297353CC}">
                  <c16:uniqueId val="{0000000E-19BD-A344-986B-BF9BAFE8D0C2}"/>
                </c:ext>
              </c:extLst>
            </c:dLbl>
            <c:dLbl>
              <c:idx val="2"/>
              <c:delete val="1"/>
              <c:extLst>
                <c:ext xmlns:c15="http://schemas.microsoft.com/office/drawing/2012/chart" uri="{CE6537A1-D6FC-4f65-9D91-7224C49458BB}"/>
                <c:ext xmlns:c16="http://schemas.microsoft.com/office/drawing/2014/chart" uri="{C3380CC4-5D6E-409C-BE32-E72D297353CC}">
                  <c16:uniqueId val="{0000000F-19BD-A344-986B-BF9BAFE8D0C2}"/>
                </c:ext>
              </c:extLst>
            </c:dLbl>
            <c:dLbl>
              <c:idx val="3"/>
              <c:layout>
                <c:manualLayout>
                  <c:x val="-2.7083333333333501E-2"/>
                  <c:y val="6.3897763578274697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19BD-A344-986B-BF9BAFE8D0C2}"/>
                </c:ext>
              </c:extLst>
            </c:dLbl>
            <c:dLbl>
              <c:idx val="4"/>
              <c:layout>
                <c:manualLayout>
                  <c:x val="-2.5000000000000099E-2"/>
                  <c:y val="-1.9169329073482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19BD-A344-986B-BF9BAFE8D0C2}"/>
                </c:ext>
              </c:extLst>
            </c:dLbl>
            <c:dLbl>
              <c:idx val="5"/>
              <c:layout>
                <c:manualLayout>
                  <c:x val="-1.8749999999999999E-2"/>
                  <c:y val="-4.792332268370610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19BD-A344-986B-BF9BAFE8D0C2}"/>
                </c:ext>
              </c:extLst>
            </c:dLbl>
            <c:dLbl>
              <c:idx val="6"/>
              <c:delete val="1"/>
              <c:extLst>
                <c:ext xmlns:c15="http://schemas.microsoft.com/office/drawing/2012/chart" uri="{CE6537A1-D6FC-4f65-9D91-7224C49458BB}"/>
                <c:ext xmlns:c16="http://schemas.microsoft.com/office/drawing/2014/chart" uri="{C3380CC4-5D6E-409C-BE32-E72D297353CC}">
                  <c16:uniqueId val="{00000013-19BD-A344-986B-BF9BAFE8D0C2}"/>
                </c:ext>
              </c:extLst>
            </c:dLbl>
            <c:dLbl>
              <c:idx val="7"/>
              <c:delete val="1"/>
              <c:extLst>
                <c:ext xmlns:c15="http://schemas.microsoft.com/office/drawing/2012/chart" uri="{CE6537A1-D6FC-4f65-9D91-7224C49458BB}"/>
                <c:ext xmlns:c16="http://schemas.microsoft.com/office/drawing/2014/chart" uri="{C3380CC4-5D6E-409C-BE32-E72D297353CC}">
                  <c16:uniqueId val="{00000014-19BD-A344-986B-BF9BAFE8D0C2}"/>
                </c:ext>
              </c:extLst>
            </c:dLbl>
            <c:dLbl>
              <c:idx val="8"/>
              <c:delete val="1"/>
              <c:extLst>
                <c:ext xmlns:c15="http://schemas.microsoft.com/office/drawing/2012/chart" uri="{CE6537A1-D6FC-4f65-9D91-7224C49458BB}"/>
                <c:ext xmlns:c16="http://schemas.microsoft.com/office/drawing/2014/chart" uri="{C3380CC4-5D6E-409C-BE32-E72D297353CC}">
                  <c16:uniqueId val="{00000015-19BD-A344-986B-BF9BAFE8D0C2}"/>
                </c:ext>
              </c:extLst>
            </c:dLbl>
            <c:dLbl>
              <c:idx val="9"/>
              <c:delete val="1"/>
              <c:extLst>
                <c:ext xmlns:c15="http://schemas.microsoft.com/office/drawing/2012/chart" uri="{CE6537A1-D6FC-4f65-9D91-7224C49458BB}"/>
                <c:ext xmlns:c16="http://schemas.microsoft.com/office/drawing/2014/chart" uri="{C3380CC4-5D6E-409C-BE32-E72D297353CC}">
                  <c16:uniqueId val="{00000016-19BD-A344-986B-BF9BAFE8D0C2}"/>
                </c:ext>
              </c:extLst>
            </c:dLbl>
            <c:dLbl>
              <c:idx val="10"/>
              <c:delete val="1"/>
              <c:extLst>
                <c:ext xmlns:c15="http://schemas.microsoft.com/office/drawing/2012/chart" uri="{CE6537A1-D6FC-4f65-9D91-7224C49458BB}"/>
                <c:ext xmlns:c16="http://schemas.microsoft.com/office/drawing/2014/chart" uri="{C3380CC4-5D6E-409C-BE32-E72D297353CC}">
                  <c16:uniqueId val="{00000017-19BD-A344-986B-BF9BAFE8D0C2}"/>
                </c:ext>
              </c:extLst>
            </c:dLbl>
            <c:dLbl>
              <c:idx val="11"/>
              <c:delete val="1"/>
              <c:extLst>
                <c:ext xmlns:c15="http://schemas.microsoft.com/office/drawing/2012/chart" uri="{CE6537A1-D6FC-4f65-9D91-7224C49458BB}"/>
                <c:ext xmlns:c16="http://schemas.microsoft.com/office/drawing/2014/chart" uri="{C3380CC4-5D6E-409C-BE32-E72D297353CC}">
                  <c16:uniqueId val="{00000018-19BD-A344-986B-BF9BAFE8D0C2}"/>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Review</c:v>
                </c:pt>
                <c:pt idx="7">
                  <c:v>Implementation Review</c:v>
                </c:pt>
                <c:pt idx="8">
                  <c:v>Security Testing</c:v>
                </c:pt>
                <c:pt idx="9">
                  <c:v>Issue Management</c:v>
                </c:pt>
                <c:pt idx="10">
                  <c:v>Environment Hardening</c:v>
                </c:pt>
                <c:pt idx="11">
                  <c:v>Operational Enablement</c:v>
                </c:pt>
              </c:strCache>
            </c:strRef>
          </c:cat>
          <c:val>
            <c:numRef>
              <c:f>Scorecard!$W$47:$W$58</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19-19BD-A344-986B-BF9BAFE8D0C2}"/>
            </c:ext>
          </c:extLst>
        </c:ser>
        <c:ser>
          <c:idx val="6"/>
          <c:order val="2"/>
          <c:tx>
            <c:strRef>
              <c:f>Scorecard!$X$46</c:f>
              <c:strCache>
                <c:ptCount val="1"/>
                <c:pt idx="0">
                  <c:v>Verification</c:v>
                </c:pt>
              </c:strCache>
            </c:strRef>
          </c:tx>
          <c:spPr>
            <a:solidFill>
              <a:srgbClr val="37793E"/>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s>
            <c:dLbl>
              <c:idx val="0"/>
              <c:delete val="1"/>
              <c:extLst>
                <c:ext xmlns:c15="http://schemas.microsoft.com/office/drawing/2012/chart" uri="{CE6537A1-D6FC-4f65-9D91-7224C49458BB}"/>
                <c:ext xmlns:c16="http://schemas.microsoft.com/office/drawing/2014/chart" uri="{C3380CC4-5D6E-409C-BE32-E72D297353CC}">
                  <c16:uniqueId val="{0000001A-19BD-A344-986B-BF9BAFE8D0C2}"/>
                </c:ext>
              </c:extLst>
            </c:dLbl>
            <c:dLbl>
              <c:idx val="1"/>
              <c:delete val="1"/>
              <c:extLst>
                <c:ext xmlns:c15="http://schemas.microsoft.com/office/drawing/2012/chart" uri="{CE6537A1-D6FC-4f65-9D91-7224C49458BB}"/>
                <c:ext xmlns:c16="http://schemas.microsoft.com/office/drawing/2014/chart" uri="{C3380CC4-5D6E-409C-BE32-E72D297353CC}">
                  <c16:uniqueId val="{0000001B-19BD-A344-986B-BF9BAFE8D0C2}"/>
                </c:ext>
              </c:extLst>
            </c:dLbl>
            <c:dLbl>
              <c:idx val="2"/>
              <c:delete val="1"/>
              <c:extLst>
                <c:ext xmlns:c15="http://schemas.microsoft.com/office/drawing/2012/chart" uri="{CE6537A1-D6FC-4f65-9D91-7224C49458BB}"/>
                <c:ext xmlns:c16="http://schemas.microsoft.com/office/drawing/2014/chart" uri="{C3380CC4-5D6E-409C-BE32-E72D297353CC}">
                  <c16:uniqueId val="{0000001C-19BD-A344-986B-BF9BAFE8D0C2}"/>
                </c:ext>
              </c:extLst>
            </c:dLbl>
            <c:dLbl>
              <c:idx val="3"/>
              <c:delete val="1"/>
              <c:extLst>
                <c:ext xmlns:c15="http://schemas.microsoft.com/office/drawing/2012/chart" uri="{CE6537A1-D6FC-4f65-9D91-7224C49458BB}"/>
                <c:ext xmlns:c16="http://schemas.microsoft.com/office/drawing/2014/chart" uri="{C3380CC4-5D6E-409C-BE32-E72D297353CC}">
                  <c16:uniqueId val="{0000001D-19BD-A344-986B-BF9BAFE8D0C2}"/>
                </c:ext>
              </c:extLst>
            </c:dLbl>
            <c:dLbl>
              <c:idx val="4"/>
              <c:delete val="1"/>
              <c:extLst>
                <c:ext xmlns:c15="http://schemas.microsoft.com/office/drawing/2012/chart" uri="{CE6537A1-D6FC-4f65-9D91-7224C49458BB}"/>
                <c:ext xmlns:c16="http://schemas.microsoft.com/office/drawing/2014/chart" uri="{C3380CC4-5D6E-409C-BE32-E72D297353CC}">
                  <c16:uniqueId val="{0000001E-19BD-A344-986B-BF9BAFE8D0C2}"/>
                </c:ext>
              </c:extLst>
            </c:dLbl>
            <c:dLbl>
              <c:idx val="5"/>
              <c:delete val="1"/>
              <c:extLst>
                <c:ext xmlns:c15="http://schemas.microsoft.com/office/drawing/2012/chart" uri="{CE6537A1-D6FC-4f65-9D91-7224C49458BB}"/>
                <c:ext xmlns:c16="http://schemas.microsoft.com/office/drawing/2014/chart" uri="{C3380CC4-5D6E-409C-BE32-E72D297353CC}">
                  <c16:uniqueId val="{0000001F-19BD-A344-986B-BF9BAFE8D0C2}"/>
                </c:ext>
              </c:extLst>
            </c:dLbl>
            <c:dLbl>
              <c:idx val="6"/>
              <c:layout>
                <c:manualLayout>
                  <c:x val="-4.1666666666666701E-3"/>
                  <c:y val="-5.750798722044730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19BD-A344-986B-BF9BAFE8D0C2}"/>
                </c:ext>
              </c:extLst>
            </c:dLbl>
            <c:dLbl>
              <c:idx val="7"/>
              <c:layout>
                <c:manualLayout>
                  <c:x val="1.0416666666666701E-2"/>
                  <c:y val="-3.1948881789137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19BD-A344-986B-BF9BAFE8D0C2}"/>
                </c:ext>
              </c:extLst>
            </c:dLbl>
            <c:dLbl>
              <c:idx val="8"/>
              <c:layout>
                <c:manualLayout>
                  <c:x val="2.2916666666666599E-2"/>
                  <c:y val="-3.1948881789137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19BD-A344-986B-BF9BAFE8D0C2}"/>
                </c:ext>
              </c:extLst>
            </c:dLbl>
            <c:dLbl>
              <c:idx val="9"/>
              <c:delete val="1"/>
              <c:extLst>
                <c:ext xmlns:c15="http://schemas.microsoft.com/office/drawing/2012/chart" uri="{CE6537A1-D6FC-4f65-9D91-7224C49458BB}"/>
                <c:ext xmlns:c16="http://schemas.microsoft.com/office/drawing/2014/chart" uri="{C3380CC4-5D6E-409C-BE32-E72D297353CC}">
                  <c16:uniqueId val="{00000023-19BD-A344-986B-BF9BAFE8D0C2}"/>
                </c:ext>
              </c:extLst>
            </c:dLbl>
            <c:dLbl>
              <c:idx val="10"/>
              <c:delete val="1"/>
              <c:extLst>
                <c:ext xmlns:c15="http://schemas.microsoft.com/office/drawing/2012/chart" uri="{CE6537A1-D6FC-4f65-9D91-7224C49458BB}"/>
                <c:ext xmlns:c16="http://schemas.microsoft.com/office/drawing/2014/chart" uri="{C3380CC4-5D6E-409C-BE32-E72D297353CC}">
                  <c16:uniqueId val="{00000024-19BD-A344-986B-BF9BAFE8D0C2}"/>
                </c:ext>
              </c:extLst>
            </c:dLbl>
            <c:dLbl>
              <c:idx val="11"/>
              <c:delete val="1"/>
              <c:extLst>
                <c:ext xmlns:c15="http://schemas.microsoft.com/office/drawing/2012/chart" uri="{CE6537A1-D6FC-4f65-9D91-7224C49458BB}"/>
                <c:ext xmlns:c16="http://schemas.microsoft.com/office/drawing/2014/chart" uri="{C3380CC4-5D6E-409C-BE32-E72D297353CC}">
                  <c16:uniqueId val="{00000025-19BD-A344-986B-BF9BAFE8D0C2}"/>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Review</c:v>
                </c:pt>
                <c:pt idx="7">
                  <c:v>Implementation Review</c:v>
                </c:pt>
                <c:pt idx="8">
                  <c:v>Security Testing</c:v>
                </c:pt>
                <c:pt idx="9">
                  <c:v>Issue Management</c:v>
                </c:pt>
                <c:pt idx="10">
                  <c:v>Environment Hardening</c:v>
                </c:pt>
                <c:pt idx="11">
                  <c:v>Operational Enablement</c:v>
                </c:pt>
              </c:strCache>
            </c:strRef>
          </c:cat>
          <c:val>
            <c:numRef>
              <c:f>Scorecard!$X$47:$X$58</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26-19BD-A344-986B-BF9BAFE8D0C2}"/>
            </c:ext>
          </c:extLst>
        </c:ser>
        <c:ser>
          <c:idx val="7"/>
          <c:order val="3"/>
          <c:tx>
            <c:strRef>
              <c:f>Scorecard!$Y$46</c:f>
              <c:strCache>
                <c:ptCount val="1"/>
                <c:pt idx="0">
                  <c:v>Operations</c:v>
                </c:pt>
              </c:strCache>
            </c:strRef>
          </c:tx>
          <c:spPr>
            <a:solidFill>
              <a:srgbClr val="791F17"/>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s>
            <c:dLbl>
              <c:idx val="0"/>
              <c:delete val="1"/>
              <c:extLst>
                <c:ext xmlns:c15="http://schemas.microsoft.com/office/drawing/2012/chart" uri="{CE6537A1-D6FC-4f65-9D91-7224C49458BB}"/>
                <c:ext xmlns:c16="http://schemas.microsoft.com/office/drawing/2014/chart" uri="{C3380CC4-5D6E-409C-BE32-E72D297353CC}">
                  <c16:uniqueId val="{00000027-19BD-A344-986B-BF9BAFE8D0C2}"/>
                </c:ext>
              </c:extLst>
            </c:dLbl>
            <c:dLbl>
              <c:idx val="1"/>
              <c:delete val="1"/>
              <c:extLst>
                <c:ext xmlns:c15="http://schemas.microsoft.com/office/drawing/2012/chart" uri="{CE6537A1-D6FC-4f65-9D91-7224C49458BB}"/>
                <c:ext xmlns:c16="http://schemas.microsoft.com/office/drawing/2014/chart" uri="{C3380CC4-5D6E-409C-BE32-E72D297353CC}">
                  <c16:uniqueId val="{00000028-19BD-A344-986B-BF9BAFE8D0C2}"/>
                </c:ext>
              </c:extLst>
            </c:dLbl>
            <c:dLbl>
              <c:idx val="2"/>
              <c:delete val="1"/>
              <c:extLst>
                <c:ext xmlns:c15="http://schemas.microsoft.com/office/drawing/2012/chart" uri="{CE6537A1-D6FC-4f65-9D91-7224C49458BB}"/>
                <c:ext xmlns:c16="http://schemas.microsoft.com/office/drawing/2014/chart" uri="{C3380CC4-5D6E-409C-BE32-E72D297353CC}">
                  <c16:uniqueId val="{00000029-19BD-A344-986B-BF9BAFE8D0C2}"/>
                </c:ext>
              </c:extLst>
            </c:dLbl>
            <c:dLbl>
              <c:idx val="3"/>
              <c:delete val="1"/>
              <c:extLst>
                <c:ext xmlns:c15="http://schemas.microsoft.com/office/drawing/2012/chart" uri="{CE6537A1-D6FC-4f65-9D91-7224C49458BB}"/>
                <c:ext xmlns:c16="http://schemas.microsoft.com/office/drawing/2014/chart" uri="{C3380CC4-5D6E-409C-BE32-E72D297353CC}">
                  <c16:uniqueId val="{0000002A-19BD-A344-986B-BF9BAFE8D0C2}"/>
                </c:ext>
              </c:extLst>
            </c:dLbl>
            <c:dLbl>
              <c:idx val="4"/>
              <c:delete val="1"/>
              <c:extLst>
                <c:ext xmlns:c15="http://schemas.microsoft.com/office/drawing/2012/chart" uri="{CE6537A1-D6FC-4f65-9D91-7224C49458BB}"/>
                <c:ext xmlns:c16="http://schemas.microsoft.com/office/drawing/2014/chart" uri="{C3380CC4-5D6E-409C-BE32-E72D297353CC}">
                  <c16:uniqueId val="{0000002B-19BD-A344-986B-BF9BAFE8D0C2}"/>
                </c:ext>
              </c:extLst>
            </c:dLbl>
            <c:dLbl>
              <c:idx val="5"/>
              <c:delete val="1"/>
              <c:extLst>
                <c:ext xmlns:c15="http://schemas.microsoft.com/office/drawing/2012/chart" uri="{CE6537A1-D6FC-4f65-9D91-7224C49458BB}"/>
                <c:ext xmlns:c16="http://schemas.microsoft.com/office/drawing/2014/chart" uri="{C3380CC4-5D6E-409C-BE32-E72D297353CC}">
                  <c16:uniqueId val="{0000002C-19BD-A344-986B-BF9BAFE8D0C2}"/>
                </c:ext>
              </c:extLst>
            </c:dLbl>
            <c:dLbl>
              <c:idx val="6"/>
              <c:delete val="1"/>
              <c:extLst>
                <c:ext xmlns:c15="http://schemas.microsoft.com/office/drawing/2012/chart" uri="{CE6537A1-D6FC-4f65-9D91-7224C49458BB}"/>
                <c:ext xmlns:c16="http://schemas.microsoft.com/office/drawing/2014/chart" uri="{C3380CC4-5D6E-409C-BE32-E72D297353CC}">
                  <c16:uniqueId val="{0000002D-19BD-A344-986B-BF9BAFE8D0C2}"/>
                </c:ext>
              </c:extLst>
            </c:dLbl>
            <c:dLbl>
              <c:idx val="7"/>
              <c:delete val="1"/>
              <c:extLst>
                <c:ext xmlns:c15="http://schemas.microsoft.com/office/drawing/2012/chart" uri="{CE6537A1-D6FC-4f65-9D91-7224C49458BB}"/>
                <c:ext xmlns:c16="http://schemas.microsoft.com/office/drawing/2014/chart" uri="{C3380CC4-5D6E-409C-BE32-E72D297353CC}">
                  <c16:uniqueId val="{0000002E-19BD-A344-986B-BF9BAFE8D0C2}"/>
                </c:ext>
              </c:extLst>
            </c:dLbl>
            <c:dLbl>
              <c:idx val="8"/>
              <c:delete val="1"/>
              <c:extLst>
                <c:ext xmlns:c15="http://schemas.microsoft.com/office/drawing/2012/chart" uri="{CE6537A1-D6FC-4f65-9D91-7224C49458BB}"/>
                <c:ext xmlns:c16="http://schemas.microsoft.com/office/drawing/2014/chart" uri="{C3380CC4-5D6E-409C-BE32-E72D297353CC}">
                  <c16:uniqueId val="{0000002F-19BD-A344-986B-BF9BAFE8D0C2}"/>
                </c:ext>
              </c:extLst>
            </c:dLbl>
            <c:dLbl>
              <c:idx val="9"/>
              <c:layout>
                <c:manualLayout>
                  <c:x val="3.9583333333333297E-2"/>
                  <c:y val="-2.8753993610223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19BD-A344-986B-BF9BAFE8D0C2}"/>
                </c:ext>
              </c:extLst>
            </c:dLbl>
            <c:dLbl>
              <c:idx val="10"/>
              <c:layout>
                <c:manualLayout>
                  <c:x val="1.6666666666666701E-2"/>
                  <c:y val="2.875399361022359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19BD-A344-986B-BF9BAFE8D0C2}"/>
                </c:ext>
              </c:extLst>
            </c:dLbl>
            <c:dLbl>
              <c:idx val="11"/>
              <c:layout>
                <c:manualLayout>
                  <c:x val="2.0833333333333298E-3"/>
                  <c:y val="5.111821086261979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19BD-A344-986B-BF9BAFE8D0C2}"/>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Review</c:v>
                </c:pt>
                <c:pt idx="7">
                  <c:v>Implementation Review</c:v>
                </c:pt>
                <c:pt idx="8">
                  <c:v>Security Testing</c:v>
                </c:pt>
                <c:pt idx="9">
                  <c:v>Issue Management</c:v>
                </c:pt>
                <c:pt idx="10">
                  <c:v>Environment Hardening</c:v>
                </c:pt>
                <c:pt idx="11">
                  <c:v>Operational Enablement</c:v>
                </c:pt>
              </c:strCache>
            </c:strRef>
          </c:cat>
          <c:val>
            <c:numRef>
              <c:f>Scorecard!$Y$47:$Y$58</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33-19BD-A344-986B-BF9BAFE8D0C2}"/>
            </c:ext>
          </c:extLst>
        </c:ser>
        <c:dLbls>
          <c:showLegendKey val="0"/>
          <c:showVal val="0"/>
          <c:showCatName val="0"/>
          <c:showSerName val="0"/>
          <c:showPercent val="0"/>
          <c:showBubbleSize val="0"/>
        </c:dLbls>
        <c:axId val="-1708433856"/>
        <c:axId val="-1708432080"/>
      </c:radarChart>
      <c:catAx>
        <c:axId val="-1708433856"/>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8432080"/>
        <c:crosses val="autoZero"/>
        <c:auto val="1"/>
        <c:lblAlgn val="ctr"/>
        <c:lblOffset val="100"/>
        <c:noMultiLvlLbl val="0"/>
      </c:catAx>
      <c:valAx>
        <c:axId val="-1708432080"/>
        <c:scaling>
          <c:orientation val="minMax"/>
          <c:max val="3"/>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843385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2.6178055086399501E-2"/>
          <c:y val="7.9787234042553203E-3"/>
          <c:w val="0.94939079780008895"/>
          <c:h val="0.98457446808510596"/>
        </c:manualLayout>
      </c:layout>
      <c:areaChart>
        <c:grouping val="stacked"/>
        <c:varyColors val="0"/>
        <c:ser>
          <c:idx val="0"/>
          <c:order val="0"/>
          <c:spPr>
            <a:blipFill dpi="0" rotWithShape="0">
              <a:blip xmlns:r="http://schemas.openxmlformats.org/officeDocument/2006/relationships" r:embed="rId1"/>
              <a:srcRect/>
              <a:stretch>
                <a:fillRect/>
              </a:stretch>
            </a:blipFill>
            <a:ln w="25400">
              <a:noFill/>
            </a:ln>
          </c:spPr>
          <c:pictureOptions>
            <c:pictureFormat val="stretch"/>
          </c:pictureOptions>
          <c:val>
            <c:numRef>
              <c:f>'Roadmap Chart'!$Y$4:$AA$4</c:f>
              <c:numCache>
                <c:formatCode>General</c:formatCode>
                <c:ptCount val="3"/>
                <c:pt idx="0">
                  <c:v>1</c:v>
                </c:pt>
                <c:pt idx="1">
                  <c:v>1</c:v>
                </c:pt>
                <c:pt idx="2">
                  <c:v>1</c:v>
                </c:pt>
              </c:numCache>
            </c:numRef>
          </c:val>
          <c:extLst>
            <c:ext xmlns:c16="http://schemas.microsoft.com/office/drawing/2014/chart" uri="{C3380CC4-5D6E-409C-BE32-E72D297353CC}">
              <c16:uniqueId val="{00000000-F85B-4E97-B4D9-8FFB484729A0}"/>
            </c:ext>
          </c:extLst>
        </c:ser>
        <c:dLbls>
          <c:showLegendKey val="0"/>
          <c:showVal val="0"/>
          <c:showCatName val="0"/>
          <c:showSerName val="0"/>
          <c:showPercent val="0"/>
          <c:showBubbleSize val="0"/>
        </c:dLbls>
        <c:axId val="-1708389504"/>
        <c:axId val="-1708387728"/>
      </c:areaChart>
      <c:catAx>
        <c:axId val="-1708389504"/>
        <c:scaling>
          <c:orientation val="minMax"/>
        </c:scaling>
        <c:delete val="0"/>
        <c:axPos val="b"/>
        <c:majorTickMark val="none"/>
        <c:minorTickMark val="none"/>
        <c:tickLblPos val="none"/>
        <c:spPr>
          <a:ln w="9525">
            <a:noFill/>
          </a:ln>
        </c:spPr>
        <c:crossAx val="-1708387728"/>
        <c:crosses val="autoZero"/>
        <c:auto val="1"/>
        <c:lblAlgn val="ctr"/>
        <c:lblOffset val="100"/>
        <c:tickMarkSkip val="1"/>
        <c:noMultiLvlLbl val="0"/>
      </c:catAx>
      <c:valAx>
        <c:axId val="-1708387728"/>
        <c:scaling>
          <c:orientation val="minMax"/>
          <c:max val="1"/>
        </c:scaling>
        <c:delete val="0"/>
        <c:axPos val="l"/>
        <c:majorGridlines>
          <c:spPr>
            <a:ln w="3175">
              <a:solidFill>
                <a:srgbClr val="000000"/>
              </a:solidFill>
              <a:prstDash val="solid"/>
            </a:ln>
          </c:spPr>
        </c:majorGridlines>
        <c:numFmt formatCode="General" sourceLinked="1"/>
        <c:majorTickMark val="none"/>
        <c:minorTickMark val="none"/>
        <c:tickLblPos val="none"/>
        <c:spPr>
          <a:ln w="9525">
            <a:noFill/>
          </a:ln>
        </c:spPr>
        <c:crossAx val="-1708389504"/>
        <c:crosses val="autoZero"/>
        <c:crossBetween val="midCat"/>
      </c:valAx>
      <c:spPr>
        <a:solidFill>
          <a:srgbClr val="C0C0C0"/>
        </a:solidFill>
        <a:ln w="12700">
          <a:solidFill>
            <a:srgbClr val="808080"/>
          </a:solidFill>
          <a:prstDash val="solid"/>
        </a:ln>
      </c:spPr>
    </c:plotArea>
    <c:plotVisOnly val="1"/>
    <c:dispBlanksAs val="zero"/>
    <c:showDLblsOverMax val="0"/>
  </c:chart>
  <c:spPr>
    <a:noFill/>
    <a:ln w="9525">
      <a:noFill/>
    </a:ln>
  </c:spPr>
  <c:txPr>
    <a:bodyPr/>
    <a:lstStyle/>
    <a:p>
      <a:pPr>
        <a:defRPr sz="9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453555370854797E-2"/>
          <c:y val="0.16025741347038699"/>
          <c:w val="0.92047529424983898"/>
          <c:h val="0.64102965388154698"/>
        </c:manualLayout>
      </c:layout>
      <c:areaChart>
        <c:grouping val="standard"/>
        <c:varyColors val="0"/>
        <c:ser>
          <c:idx val="0"/>
          <c:order val="0"/>
          <c:spPr>
            <a:solidFill>
              <a:srgbClr val="3290C4"/>
            </a:solidFill>
            <a:ln w="25400">
              <a:noFill/>
            </a:ln>
          </c:spPr>
          <c:val>
            <c:numRef>
              <c:f>'Roadmap Chart'!$B$12:$J$12</c:f>
              <c:numCache>
                <c:formatCode>0.00</c:formatCode>
                <c:ptCount val="9"/>
                <c:pt idx="0">
                  <c:v>0</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742C-418E-8375-EABEB5E457F3}"/>
            </c:ext>
          </c:extLst>
        </c:ser>
        <c:dLbls>
          <c:showLegendKey val="0"/>
          <c:showVal val="0"/>
          <c:showCatName val="0"/>
          <c:showSerName val="0"/>
          <c:showPercent val="0"/>
          <c:showBubbleSize val="0"/>
        </c:dLbls>
        <c:axId val="-1708366768"/>
        <c:axId val="-1708364448"/>
      </c:areaChart>
      <c:catAx>
        <c:axId val="-1708366768"/>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en-US"/>
          </a:p>
        </c:txPr>
        <c:crossAx val="-1708364448"/>
        <c:crosses val="autoZero"/>
        <c:auto val="1"/>
        <c:lblAlgn val="ctr"/>
        <c:lblOffset val="100"/>
        <c:tickLblSkip val="9"/>
        <c:tickMarkSkip val="9"/>
        <c:noMultiLvlLbl val="0"/>
      </c:catAx>
      <c:valAx>
        <c:axId val="-1708364448"/>
        <c:scaling>
          <c:orientation val="minMax"/>
          <c:max val="3"/>
          <c:min val="0"/>
        </c:scaling>
        <c:delete val="0"/>
        <c:axPos val="l"/>
        <c:majorGridlines>
          <c:spPr>
            <a:ln w="3175">
              <a:solidFill>
                <a:srgbClr val="C0C0C0"/>
              </a:solidFill>
              <a:prstDash val="sysDash"/>
            </a:ln>
          </c:spPr>
        </c:majorGridlines>
        <c:numFmt formatCode="0.00" sourceLinked="1"/>
        <c:majorTickMark val="out"/>
        <c:minorTickMark val="in"/>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en-US"/>
          </a:p>
        </c:txPr>
        <c:crossAx val="-1708366768"/>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paperSize="9" orientation="landscape"/>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364908055410102E-2"/>
          <c:y val="0.158227848101266"/>
          <c:w val="0.92060886742575798"/>
          <c:h val="0.645569620253165"/>
        </c:manualLayout>
      </c:layout>
      <c:areaChart>
        <c:grouping val="standard"/>
        <c:varyColors val="0"/>
        <c:ser>
          <c:idx val="0"/>
          <c:order val="0"/>
          <c:spPr>
            <a:solidFill>
              <a:srgbClr val="3290C4"/>
            </a:solidFill>
            <a:ln w="25400">
              <a:noFill/>
            </a:ln>
          </c:spPr>
          <c:val>
            <c:numRef>
              <c:f>'Roadmap Chart'!$B$13:$J$13</c:f>
              <c:numCache>
                <c:formatCode>0.00</c:formatCode>
                <c:ptCount val="9"/>
                <c:pt idx="0">
                  <c:v>0</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814C-47EA-BF90-9795F2F51CB3}"/>
            </c:ext>
          </c:extLst>
        </c:ser>
        <c:dLbls>
          <c:showLegendKey val="0"/>
          <c:showVal val="0"/>
          <c:showCatName val="0"/>
          <c:showSerName val="0"/>
          <c:showPercent val="0"/>
          <c:showBubbleSize val="0"/>
        </c:dLbls>
        <c:axId val="-1734119856"/>
        <c:axId val="-1734117808"/>
      </c:areaChart>
      <c:catAx>
        <c:axId val="-1734119856"/>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en-US"/>
          </a:p>
        </c:txPr>
        <c:crossAx val="-1734117808"/>
        <c:crosses val="autoZero"/>
        <c:auto val="1"/>
        <c:lblAlgn val="ctr"/>
        <c:lblOffset val="100"/>
        <c:tickLblSkip val="9"/>
        <c:tickMarkSkip val="9"/>
        <c:noMultiLvlLbl val="0"/>
      </c:catAx>
      <c:valAx>
        <c:axId val="-1734117808"/>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en-US"/>
          </a:p>
        </c:txPr>
        <c:crossAx val="-1734119856"/>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276559865092699E-2"/>
          <c:y val="0.15723367011639"/>
          <c:w val="0.92074198988195599"/>
          <c:h val="0.64780272087952595"/>
        </c:manualLayout>
      </c:layout>
      <c:areaChart>
        <c:grouping val="standard"/>
        <c:varyColors val="0"/>
        <c:ser>
          <c:idx val="0"/>
          <c:order val="0"/>
          <c:spPr>
            <a:solidFill>
              <a:srgbClr val="3290C4"/>
            </a:solidFill>
            <a:ln w="25400">
              <a:noFill/>
            </a:ln>
          </c:spPr>
          <c:val>
            <c:numRef>
              <c:f>'Roadmap Chart'!$B$14:$J$14</c:f>
              <c:numCache>
                <c:formatCode>0.00</c:formatCode>
                <c:ptCount val="9"/>
                <c:pt idx="0">
                  <c:v>0</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3AEA-4E00-9A98-FE42043B66F0}"/>
            </c:ext>
          </c:extLst>
        </c:ser>
        <c:dLbls>
          <c:showLegendKey val="0"/>
          <c:showVal val="0"/>
          <c:showCatName val="0"/>
          <c:showSerName val="0"/>
          <c:showPercent val="0"/>
          <c:showBubbleSize val="0"/>
        </c:dLbls>
        <c:axId val="-1757534112"/>
        <c:axId val="-1757531248"/>
      </c:areaChart>
      <c:catAx>
        <c:axId val="-1757534112"/>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en-US"/>
          </a:p>
        </c:txPr>
        <c:crossAx val="-1757531248"/>
        <c:crosses val="autoZero"/>
        <c:auto val="1"/>
        <c:lblAlgn val="ctr"/>
        <c:lblOffset val="100"/>
        <c:tickLblSkip val="9"/>
        <c:tickMarkSkip val="9"/>
        <c:noMultiLvlLbl val="0"/>
      </c:catAx>
      <c:valAx>
        <c:axId val="-1757531248"/>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C0C0C0"/>
            </a:solidFill>
            <a:prstDash val="solid"/>
          </a:ln>
        </c:spPr>
        <c:txPr>
          <a:bodyPr rot="0" vert="horz"/>
          <a:lstStyle/>
          <a:p>
            <a:pPr>
              <a:defRPr sz="800" b="0" i="0" u="none" strike="noStrike" baseline="0">
                <a:solidFill>
                  <a:schemeClr val="tx1"/>
                </a:solidFill>
                <a:latin typeface="Arial"/>
                <a:ea typeface="Arial"/>
                <a:cs typeface="Arial"/>
              </a:defRPr>
            </a:pPr>
            <a:endParaRPr lang="en-US"/>
          </a:p>
        </c:txPr>
        <c:crossAx val="-1757534112"/>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5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5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5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35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35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8" Type="http://schemas.openxmlformats.org/officeDocument/2006/relationships/chart" Target="../charts/chart13.xml"/><Relationship Id="rId13" Type="http://schemas.openxmlformats.org/officeDocument/2006/relationships/chart" Target="../charts/chart18.xml"/><Relationship Id="rId3" Type="http://schemas.openxmlformats.org/officeDocument/2006/relationships/chart" Target="../charts/chart8.xml"/><Relationship Id="rId7" Type="http://schemas.openxmlformats.org/officeDocument/2006/relationships/chart" Target="../charts/chart12.xml"/><Relationship Id="rId12" Type="http://schemas.openxmlformats.org/officeDocument/2006/relationships/chart" Target="../charts/chart17.xml"/><Relationship Id="rId2" Type="http://schemas.openxmlformats.org/officeDocument/2006/relationships/chart" Target="../charts/chart7.xml"/><Relationship Id="rId1" Type="http://schemas.openxmlformats.org/officeDocument/2006/relationships/chart" Target="../charts/chart6.xml"/><Relationship Id="rId6" Type="http://schemas.openxmlformats.org/officeDocument/2006/relationships/chart" Target="../charts/chart11.xml"/><Relationship Id="rId11" Type="http://schemas.openxmlformats.org/officeDocument/2006/relationships/chart" Target="../charts/chart16.xml"/><Relationship Id="rId5" Type="http://schemas.openxmlformats.org/officeDocument/2006/relationships/chart" Target="../charts/chart10.xml"/><Relationship Id="rId10" Type="http://schemas.openxmlformats.org/officeDocument/2006/relationships/chart" Target="../charts/chart15.xml"/><Relationship Id="rId4" Type="http://schemas.openxmlformats.org/officeDocument/2006/relationships/chart" Target="../charts/chart9.xml"/><Relationship Id="rId9" Type="http://schemas.openxmlformats.org/officeDocument/2006/relationships/chart" Target="../charts/chart14.xml"/><Relationship Id="rId14" Type="http://schemas.openxmlformats.org/officeDocument/2006/relationships/chart" Target="../charts/chart19.xml"/></Relationships>
</file>

<file path=xl/drawings/_rels/drawing4.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emf"/><Relationship Id="rId1" Type="http://schemas.openxmlformats.org/officeDocument/2006/relationships/image" Target="../media/image3.emf"/><Relationship Id="rId5" Type="http://schemas.openxmlformats.org/officeDocument/2006/relationships/image" Target="../media/image7.emf"/><Relationship Id="rId4" Type="http://schemas.openxmlformats.org/officeDocument/2006/relationships/image" Target="../media/image6.emf"/></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23</xdr:row>
      <xdr:rowOff>0</xdr:rowOff>
    </xdr:from>
    <xdr:to>
      <xdr:col>1</xdr:col>
      <xdr:colOff>6657975</xdr:colOff>
      <xdr:row>46</xdr:row>
      <xdr:rowOff>142875</xdr:rowOff>
    </xdr:to>
    <xdr:pic>
      <xdr:nvPicPr>
        <xdr:cNvPr id="2" name="Picture 6">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334000"/>
          <a:ext cx="8181975" cy="4524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10</xdr:col>
      <xdr:colOff>1130300</xdr:colOff>
      <xdr:row>12</xdr:row>
      <xdr:rowOff>0</xdr:rowOff>
    </xdr:from>
    <xdr:to>
      <xdr:col>17</xdr:col>
      <xdr:colOff>647700</xdr:colOff>
      <xdr:row>24</xdr:row>
      <xdr:rowOff>292100</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12700</xdr:colOff>
      <xdr:row>46</xdr:row>
      <xdr:rowOff>0</xdr:rowOff>
    </xdr:from>
    <xdr:to>
      <xdr:col>17</xdr:col>
      <xdr:colOff>660400</xdr:colOff>
      <xdr:row>59</xdr:row>
      <xdr:rowOff>0</xdr:rowOff>
    </xdr:to>
    <xdr:graphicFrame macro="">
      <xdr:nvGraphicFramePr>
        <xdr:cNvPr id="4" name="Chart 3">
          <a:extLst>
            <a:ext uri="{FF2B5EF4-FFF2-40B4-BE49-F238E27FC236}">
              <a16:creationId xmlns:a16="http://schemas.microsoft.com/office/drawing/2014/main" id="{00000000-0008-0000-02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12700</xdr:colOff>
      <xdr:row>29</xdr:row>
      <xdr:rowOff>0</xdr:rowOff>
    </xdr:from>
    <xdr:to>
      <xdr:col>17</xdr:col>
      <xdr:colOff>660400</xdr:colOff>
      <xdr:row>42</xdr:row>
      <xdr:rowOff>0</xdr:rowOff>
    </xdr:to>
    <xdr:graphicFrame macro="">
      <xdr:nvGraphicFramePr>
        <xdr:cNvPr id="5" name="Chart 4">
          <a:extLst>
            <a:ext uri="{FF2B5EF4-FFF2-40B4-BE49-F238E27FC236}">
              <a16:creationId xmlns:a16="http://schemas.microsoft.com/office/drawing/2014/main" id="{0C4B42F1-0861-7143-8EF0-6943488DC0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12700</xdr:colOff>
      <xdr:row>80</xdr:row>
      <xdr:rowOff>0</xdr:rowOff>
    </xdr:from>
    <xdr:to>
      <xdr:col>17</xdr:col>
      <xdr:colOff>660400</xdr:colOff>
      <xdr:row>93</xdr:row>
      <xdr:rowOff>0</xdr:rowOff>
    </xdr:to>
    <xdr:graphicFrame macro="">
      <xdr:nvGraphicFramePr>
        <xdr:cNvPr id="6" name="Chart 5">
          <a:extLst>
            <a:ext uri="{FF2B5EF4-FFF2-40B4-BE49-F238E27FC236}">
              <a16:creationId xmlns:a16="http://schemas.microsoft.com/office/drawing/2014/main" id="{A9ADE327-F57F-064A-8E0F-0AF158C9B7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12700</xdr:colOff>
      <xdr:row>62</xdr:row>
      <xdr:rowOff>0</xdr:rowOff>
    </xdr:from>
    <xdr:to>
      <xdr:col>17</xdr:col>
      <xdr:colOff>660400</xdr:colOff>
      <xdr:row>75</xdr:row>
      <xdr:rowOff>0</xdr:rowOff>
    </xdr:to>
    <xdr:graphicFrame macro="">
      <xdr:nvGraphicFramePr>
        <xdr:cNvPr id="8" name="Chart 7">
          <a:extLst>
            <a:ext uri="{FF2B5EF4-FFF2-40B4-BE49-F238E27FC236}">
              <a16:creationId xmlns:a16="http://schemas.microsoft.com/office/drawing/2014/main" id="{55CD72B3-70F6-5647-BFE3-DD178F56B3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13</xdr:col>
      <xdr:colOff>152400</xdr:colOff>
      <xdr:row>11</xdr:row>
      <xdr:rowOff>9525</xdr:rowOff>
    </xdr:from>
    <xdr:to>
      <xdr:col>22</xdr:col>
      <xdr:colOff>133350</xdr:colOff>
      <xdr:row>104</xdr:row>
      <xdr:rowOff>171450</xdr:rowOff>
    </xdr:to>
    <xdr:graphicFrame macro="">
      <xdr:nvGraphicFramePr>
        <xdr:cNvPr id="2" name="Chart 6">
          <a:extLst>
            <a:ext uri="{FF2B5EF4-FFF2-40B4-BE49-F238E27FC236}">
              <a16:creationId xmlns:a16="http://schemas.microsoft.com/office/drawing/2014/main" id="{00000000-0008-0000-04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19050</xdr:colOff>
      <xdr:row>102</xdr:row>
      <xdr:rowOff>162330</xdr:rowOff>
    </xdr:from>
    <xdr:to>
      <xdr:col>23</xdr:col>
      <xdr:colOff>0</xdr:colOff>
      <xdr:row>104</xdr:row>
      <xdr:rowOff>162329</xdr:rowOff>
    </xdr:to>
    <xdr:sp macro="" textlink="">
      <xdr:nvSpPr>
        <xdr:cNvPr id="3" name="Rectangle 20">
          <a:extLst>
            <a:ext uri="{FF2B5EF4-FFF2-40B4-BE49-F238E27FC236}">
              <a16:creationId xmlns:a16="http://schemas.microsoft.com/office/drawing/2014/main" id="{00000000-0008-0000-0400-000003000000}"/>
            </a:ext>
          </a:extLst>
        </xdr:cNvPr>
        <xdr:cNvSpPr>
          <a:spLocks noChangeArrowheads="1"/>
        </xdr:cNvSpPr>
      </xdr:nvSpPr>
      <xdr:spPr bwMode="auto">
        <a:xfrm>
          <a:off x="9100027" y="17951879"/>
          <a:ext cx="7171251" cy="324661"/>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22</xdr:col>
      <xdr:colOff>9525</xdr:colOff>
      <xdr:row>7</xdr:row>
      <xdr:rowOff>25400</xdr:rowOff>
    </xdr:from>
    <xdr:to>
      <xdr:col>23</xdr:col>
      <xdr:colOff>0</xdr:colOff>
      <xdr:row>105</xdr:row>
      <xdr:rowOff>3175</xdr:rowOff>
    </xdr:to>
    <xdr:sp macro="" textlink="">
      <xdr:nvSpPr>
        <xdr:cNvPr id="4" name="Rectangle 19">
          <a:extLst>
            <a:ext uri="{FF2B5EF4-FFF2-40B4-BE49-F238E27FC236}">
              <a16:creationId xmlns:a16="http://schemas.microsoft.com/office/drawing/2014/main" id="{00000000-0008-0000-0400-000004000000}"/>
            </a:ext>
          </a:extLst>
        </xdr:cNvPr>
        <xdr:cNvSpPr>
          <a:spLocks noChangeArrowheads="1"/>
        </xdr:cNvSpPr>
      </xdr:nvSpPr>
      <xdr:spPr bwMode="auto">
        <a:xfrm>
          <a:off x="15653076" y="2102503"/>
          <a:ext cx="667017" cy="16487775"/>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12</xdr:col>
      <xdr:colOff>278569</xdr:colOff>
      <xdr:row>10</xdr:row>
      <xdr:rowOff>161925</xdr:rowOff>
    </xdr:from>
    <xdr:to>
      <xdr:col>22</xdr:col>
      <xdr:colOff>154299</xdr:colOff>
      <xdr:row>18</xdr:row>
      <xdr:rowOff>114300</xdr:rowOff>
    </xdr:to>
    <xdr:graphicFrame macro="">
      <xdr:nvGraphicFramePr>
        <xdr:cNvPr id="5" name="Chart 1">
          <a:extLst>
            <a:ext uri="{FF2B5EF4-FFF2-40B4-BE49-F238E27FC236}">
              <a16:creationId xmlns:a16="http://schemas.microsoft.com/office/drawing/2014/main" id="{00000000-0008-0000-04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275394</xdr:colOff>
      <xdr:row>17</xdr:row>
      <xdr:rowOff>139700</xdr:rowOff>
    </xdr:from>
    <xdr:to>
      <xdr:col>22</xdr:col>
      <xdr:colOff>154299</xdr:colOff>
      <xdr:row>25</xdr:row>
      <xdr:rowOff>101600</xdr:rowOff>
    </xdr:to>
    <xdr:graphicFrame macro="">
      <xdr:nvGraphicFramePr>
        <xdr:cNvPr id="6" name="Chart 7">
          <a:extLst>
            <a:ext uri="{FF2B5EF4-FFF2-40B4-BE49-F238E27FC236}">
              <a16:creationId xmlns:a16="http://schemas.microsoft.com/office/drawing/2014/main" id="{00000000-0008-0000-04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284090</xdr:colOff>
      <xdr:row>24</xdr:row>
      <xdr:rowOff>90561</xdr:rowOff>
    </xdr:from>
    <xdr:to>
      <xdr:col>22</xdr:col>
      <xdr:colOff>154300</xdr:colOff>
      <xdr:row>32</xdr:row>
      <xdr:rowOff>71511</xdr:rowOff>
    </xdr:to>
    <xdr:graphicFrame macro="">
      <xdr:nvGraphicFramePr>
        <xdr:cNvPr id="7" name="Chart 8">
          <a:extLst>
            <a:ext uri="{FF2B5EF4-FFF2-40B4-BE49-F238E27FC236}">
              <a16:creationId xmlns:a16="http://schemas.microsoft.com/office/drawing/2014/main" id="{00000000-0008-0000-04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272990</xdr:colOff>
      <xdr:row>31</xdr:row>
      <xdr:rowOff>152400</xdr:rowOff>
    </xdr:from>
    <xdr:to>
      <xdr:col>22</xdr:col>
      <xdr:colOff>166169</xdr:colOff>
      <xdr:row>39</xdr:row>
      <xdr:rowOff>133350</xdr:rowOff>
    </xdr:to>
    <xdr:graphicFrame macro="">
      <xdr:nvGraphicFramePr>
        <xdr:cNvPr id="8" name="Chart 9">
          <a:extLst>
            <a:ext uri="{FF2B5EF4-FFF2-40B4-BE49-F238E27FC236}">
              <a16:creationId xmlns:a16="http://schemas.microsoft.com/office/drawing/2014/main" id="{00000000-0008-0000-04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270646</xdr:colOff>
      <xdr:row>38</xdr:row>
      <xdr:rowOff>152400</xdr:rowOff>
    </xdr:from>
    <xdr:to>
      <xdr:col>22</xdr:col>
      <xdr:colOff>166169</xdr:colOff>
      <xdr:row>46</xdr:row>
      <xdr:rowOff>133350</xdr:rowOff>
    </xdr:to>
    <xdr:graphicFrame macro="">
      <xdr:nvGraphicFramePr>
        <xdr:cNvPr id="9" name="Chart 10">
          <a:extLst>
            <a:ext uri="{FF2B5EF4-FFF2-40B4-BE49-F238E27FC236}">
              <a16:creationId xmlns:a16="http://schemas.microsoft.com/office/drawing/2014/main" id="{00000000-0008-0000-04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12</xdr:col>
      <xdr:colOff>272991</xdr:colOff>
      <xdr:row>46</xdr:row>
      <xdr:rowOff>152400</xdr:rowOff>
    </xdr:from>
    <xdr:to>
      <xdr:col>22</xdr:col>
      <xdr:colOff>154300</xdr:colOff>
      <xdr:row>54</xdr:row>
      <xdr:rowOff>142875</xdr:rowOff>
    </xdr:to>
    <xdr:graphicFrame macro="">
      <xdr:nvGraphicFramePr>
        <xdr:cNvPr id="10" name="Chart 11">
          <a:extLst>
            <a:ext uri="{FF2B5EF4-FFF2-40B4-BE49-F238E27FC236}">
              <a16:creationId xmlns:a16="http://schemas.microsoft.com/office/drawing/2014/main" id="{00000000-0008-0000-04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12</xdr:col>
      <xdr:colOff>267368</xdr:colOff>
      <xdr:row>54</xdr:row>
      <xdr:rowOff>142875</xdr:rowOff>
    </xdr:from>
    <xdr:to>
      <xdr:col>22</xdr:col>
      <xdr:colOff>162331</xdr:colOff>
      <xdr:row>62</xdr:row>
      <xdr:rowOff>142875</xdr:rowOff>
    </xdr:to>
    <xdr:graphicFrame macro="">
      <xdr:nvGraphicFramePr>
        <xdr:cNvPr id="11" name="Chart 12">
          <a:extLst>
            <a:ext uri="{FF2B5EF4-FFF2-40B4-BE49-F238E27FC236}">
              <a16:creationId xmlns:a16="http://schemas.microsoft.com/office/drawing/2014/main" id="{00000000-0008-0000-04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12</xdr:col>
      <xdr:colOff>267367</xdr:colOff>
      <xdr:row>62</xdr:row>
      <xdr:rowOff>152400</xdr:rowOff>
    </xdr:from>
    <xdr:to>
      <xdr:col>22</xdr:col>
      <xdr:colOff>162330</xdr:colOff>
      <xdr:row>70</xdr:row>
      <xdr:rowOff>161925</xdr:rowOff>
    </xdr:to>
    <xdr:graphicFrame macro="">
      <xdr:nvGraphicFramePr>
        <xdr:cNvPr id="12" name="Chart 13">
          <a:extLst>
            <a:ext uri="{FF2B5EF4-FFF2-40B4-BE49-F238E27FC236}">
              <a16:creationId xmlns:a16="http://schemas.microsoft.com/office/drawing/2014/main" id="{00000000-0008-0000-04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12</xdr:col>
      <xdr:colOff>267368</xdr:colOff>
      <xdr:row>70</xdr:row>
      <xdr:rowOff>152400</xdr:rowOff>
    </xdr:from>
    <xdr:to>
      <xdr:col>22</xdr:col>
      <xdr:colOff>162332</xdr:colOff>
      <xdr:row>78</xdr:row>
      <xdr:rowOff>161925</xdr:rowOff>
    </xdr:to>
    <xdr:graphicFrame macro="">
      <xdr:nvGraphicFramePr>
        <xdr:cNvPr id="13" name="Chart 14">
          <a:extLst>
            <a:ext uri="{FF2B5EF4-FFF2-40B4-BE49-F238E27FC236}">
              <a16:creationId xmlns:a16="http://schemas.microsoft.com/office/drawing/2014/main" id="{00000000-0008-0000-04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12</xdr:col>
      <xdr:colOff>267368</xdr:colOff>
      <xdr:row>78</xdr:row>
      <xdr:rowOff>152400</xdr:rowOff>
    </xdr:from>
    <xdr:to>
      <xdr:col>22</xdr:col>
      <xdr:colOff>162331</xdr:colOff>
      <xdr:row>86</xdr:row>
      <xdr:rowOff>158750</xdr:rowOff>
    </xdr:to>
    <xdr:graphicFrame macro="">
      <xdr:nvGraphicFramePr>
        <xdr:cNvPr id="14" name="Chart 15">
          <a:extLst>
            <a:ext uri="{FF2B5EF4-FFF2-40B4-BE49-F238E27FC236}">
              <a16:creationId xmlns:a16="http://schemas.microsoft.com/office/drawing/2014/main" id="{00000000-0008-0000-0400-00000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12</xdr:col>
      <xdr:colOff>267368</xdr:colOff>
      <xdr:row>86</xdr:row>
      <xdr:rowOff>142875</xdr:rowOff>
    </xdr:from>
    <xdr:to>
      <xdr:col>22</xdr:col>
      <xdr:colOff>152782</xdr:colOff>
      <xdr:row>94</xdr:row>
      <xdr:rowOff>158750</xdr:rowOff>
    </xdr:to>
    <xdr:graphicFrame macro="">
      <xdr:nvGraphicFramePr>
        <xdr:cNvPr id="15" name="Chart 16">
          <a:extLst>
            <a:ext uri="{FF2B5EF4-FFF2-40B4-BE49-F238E27FC236}">
              <a16:creationId xmlns:a16="http://schemas.microsoft.com/office/drawing/2014/main" id="{00000000-0008-0000-04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12</xdr:col>
      <xdr:colOff>267367</xdr:colOff>
      <xdr:row>94</xdr:row>
      <xdr:rowOff>152400</xdr:rowOff>
    </xdr:from>
    <xdr:to>
      <xdr:col>22</xdr:col>
      <xdr:colOff>162330</xdr:colOff>
      <xdr:row>103</xdr:row>
      <xdr:rowOff>5944</xdr:rowOff>
    </xdr:to>
    <xdr:graphicFrame macro="">
      <xdr:nvGraphicFramePr>
        <xdr:cNvPr id="16" name="Chart 17">
          <a:extLst>
            <a:ext uri="{FF2B5EF4-FFF2-40B4-BE49-F238E27FC236}">
              <a16:creationId xmlns:a16="http://schemas.microsoft.com/office/drawing/2014/main" id="{00000000-0008-0000-0400-00001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23</xdr:col>
      <xdr:colOff>657225</xdr:colOff>
      <xdr:row>25</xdr:row>
      <xdr:rowOff>158750</xdr:rowOff>
    </xdr:from>
    <xdr:to>
      <xdr:col>35</xdr:col>
      <xdr:colOff>317500</xdr:colOff>
      <xdr:row>61</xdr:row>
      <xdr:rowOff>50800</xdr:rowOff>
    </xdr:to>
    <xdr:graphicFrame macro="">
      <xdr:nvGraphicFramePr>
        <xdr:cNvPr id="17" name="Chart 16">
          <a:extLst>
            <a:ext uri="{FF2B5EF4-FFF2-40B4-BE49-F238E27FC236}">
              <a16:creationId xmlns:a16="http://schemas.microsoft.com/office/drawing/2014/main" id="{00000000-0008-0000-0400-000011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2</xdr:col>
      <xdr:colOff>428625</xdr:colOff>
      <xdr:row>14</xdr:row>
      <xdr:rowOff>123825</xdr:rowOff>
    </xdr:to>
    <xdr:pic>
      <xdr:nvPicPr>
        <xdr:cNvPr id="2" name="Picture 1">
          <a:extLst>
            <a:ext uri="{FF2B5EF4-FFF2-40B4-BE49-F238E27FC236}">
              <a16:creationId xmlns:a16="http://schemas.microsoft.com/office/drawing/2014/main" id="{00000000-0008-0000-06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14350"/>
          <a:ext cx="12392025" cy="2066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16</xdr:row>
      <xdr:rowOff>0</xdr:rowOff>
    </xdr:from>
    <xdr:to>
      <xdr:col>2</xdr:col>
      <xdr:colOff>428625</xdr:colOff>
      <xdr:row>28</xdr:row>
      <xdr:rowOff>123825</xdr:rowOff>
    </xdr:to>
    <xdr:pic>
      <xdr:nvPicPr>
        <xdr:cNvPr id="3" name="Picture 2">
          <a:extLst>
            <a:ext uri="{FF2B5EF4-FFF2-40B4-BE49-F238E27FC236}">
              <a16:creationId xmlns:a16="http://schemas.microsoft.com/office/drawing/2014/main" id="{00000000-0008-0000-06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2781300"/>
          <a:ext cx="12392025" cy="2066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30</xdr:row>
      <xdr:rowOff>0</xdr:rowOff>
    </xdr:from>
    <xdr:to>
      <xdr:col>2</xdr:col>
      <xdr:colOff>428625</xdr:colOff>
      <xdr:row>42</xdr:row>
      <xdr:rowOff>123825</xdr:rowOff>
    </xdr:to>
    <xdr:pic>
      <xdr:nvPicPr>
        <xdr:cNvPr id="4" name="Picture 3">
          <a:extLst>
            <a:ext uri="{FF2B5EF4-FFF2-40B4-BE49-F238E27FC236}">
              <a16:creationId xmlns:a16="http://schemas.microsoft.com/office/drawing/2014/main" id="{00000000-0008-0000-0600-000004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5048250"/>
          <a:ext cx="12392025" cy="2066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44</xdr:row>
      <xdr:rowOff>0</xdr:rowOff>
    </xdr:from>
    <xdr:to>
      <xdr:col>2</xdr:col>
      <xdr:colOff>428625</xdr:colOff>
      <xdr:row>56</xdr:row>
      <xdr:rowOff>123825</xdr:rowOff>
    </xdr:to>
    <xdr:pic>
      <xdr:nvPicPr>
        <xdr:cNvPr id="5" name="Picture 4">
          <a:extLst>
            <a:ext uri="{FF2B5EF4-FFF2-40B4-BE49-F238E27FC236}">
              <a16:creationId xmlns:a16="http://schemas.microsoft.com/office/drawing/2014/main" id="{00000000-0008-0000-0600-000005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0" y="7315200"/>
          <a:ext cx="12392025" cy="2066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58</xdr:row>
      <xdr:rowOff>0</xdr:rowOff>
    </xdr:from>
    <xdr:to>
      <xdr:col>2</xdr:col>
      <xdr:colOff>428625</xdr:colOff>
      <xdr:row>70</xdr:row>
      <xdr:rowOff>123825</xdr:rowOff>
    </xdr:to>
    <xdr:pic>
      <xdr:nvPicPr>
        <xdr:cNvPr id="6" name="Picture 5">
          <a:extLst>
            <a:ext uri="{FF2B5EF4-FFF2-40B4-BE49-F238E27FC236}">
              <a16:creationId xmlns:a16="http://schemas.microsoft.com/office/drawing/2014/main" id="{00000000-0008-0000-0600-000006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0" y="9582150"/>
          <a:ext cx="12392025" cy="2066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8.bin"/><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C22"/>
  <sheetViews>
    <sheetView tabSelected="1" workbookViewId="0">
      <selection activeCell="B15" sqref="B15"/>
    </sheetView>
  </sheetViews>
  <sheetFormatPr baseColWidth="10" defaultColWidth="8.83203125" defaultRowHeight="13" x14ac:dyDescent="0.15"/>
  <cols>
    <col min="1" max="1" width="22.83203125" style="63" bestFit="1" customWidth="1"/>
    <col min="2" max="2" width="100.5" style="63" customWidth="1"/>
    <col min="3" max="16384" width="8.83203125" style="63"/>
  </cols>
  <sheetData>
    <row r="1" spans="1:2" s="61" customFormat="1" ht="25" x14ac:dyDescent="0.25">
      <c r="A1" s="60" t="s">
        <v>162</v>
      </c>
      <c r="B1" s="60"/>
    </row>
    <row r="2" spans="1:2" x14ac:dyDescent="0.15">
      <c r="A2" s="62"/>
      <c r="B2" s="62"/>
    </row>
    <row r="3" spans="1:2" x14ac:dyDescent="0.15">
      <c r="A3" s="62" t="s">
        <v>10</v>
      </c>
      <c r="B3" s="62">
        <v>1.5</v>
      </c>
    </row>
    <row r="4" spans="1:2" x14ac:dyDescent="0.15">
      <c r="A4" s="62"/>
      <c r="B4" s="62"/>
    </row>
    <row r="5" spans="1:2" ht="62.25" customHeight="1" x14ac:dyDescent="0.15">
      <c r="A5" s="62" t="s">
        <v>11</v>
      </c>
      <c r="B5" s="64" t="s">
        <v>101</v>
      </c>
    </row>
    <row r="6" spans="1:2" x14ac:dyDescent="0.15">
      <c r="A6" s="62" t="s">
        <v>163</v>
      </c>
      <c r="B6" s="62" t="s">
        <v>170</v>
      </c>
    </row>
    <row r="7" spans="1:2" x14ac:dyDescent="0.15">
      <c r="A7" s="62" t="s">
        <v>100</v>
      </c>
      <c r="B7" s="62" t="s">
        <v>164</v>
      </c>
    </row>
    <row r="8" spans="1:2" x14ac:dyDescent="0.15">
      <c r="A8" s="62" t="s">
        <v>12</v>
      </c>
      <c r="B8" s="62" t="s">
        <v>102</v>
      </c>
    </row>
    <row r="9" spans="1:2" x14ac:dyDescent="0.15">
      <c r="A9" s="62"/>
      <c r="B9" s="62"/>
    </row>
    <row r="10" spans="1:2" x14ac:dyDescent="0.15">
      <c r="A10" s="62" t="s">
        <v>163</v>
      </c>
      <c r="B10" s="62" t="s">
        <v>171</v>
      </c>
    </row>
    <row r="11" spans="1:2" x14ac:dyDescent="0.15">
      <c r="A11" s="62" t="s">
        <v>165</v>
      </c>
      <c r="B11" s="62" t="s">
        <v>167</v>
      </c>
    </row>
    <row r="12" spans="1:2" x14ac:dyDescent="0.15">
      <c r="A12" s="62" t="s">
        <v>12</v>
      </c>
      <c r="B12" s="62"/>
    </row>
    <row r="13" spans="1:2" x14ac:dyDescent="0.15">
      <c r="A13" s="62"/>
      <c r="B13" s="62"/>
    </row>
    <row r="14" spans="1:2" x14ac:dyDescent="0.15">
      <c r="A14" s="62" t="s">
        <v>163</v>
      </c>
      <c r="B14" s="62" t="s">
        <v>168</v>
      </c>
    </row>
    <row r="15" spans="1:2" x14ac:dyDescent="0.15">
      <c r="A15" s="62" t="s">
        <v>67</v>
      </c>
      <c r="B15" s="62" t="s">
        <v>169</v>
      </c>
    </row>
    <row r="16" spans="1:2" x14ac:dyDescent="0.15">
      <c r="A16" s="62"/>
      <c r="B16" s="62"/>
    </row>
    <row r="17" spans="1:3" x14ac:dyDescent="0.15">
      <c r="A17" s="62" t="s">
        <v>13</v>
      </c>
      <c r="B17" s="62" t="s">
        <v>14</v>
      </c>
    </row>
    <row r="18" spans="1:3" ht="42" x14ac:dyDescent="0.15">
      <c r="A18" s="62"/>
      <c r="B18" s="64" t="s">
        <v>15</v>
      </c>
    </row>
    <row r="19" spans="1:3" x14ac:dyDescent="0.15">
      <c r="A19" s="62"/>
      <c r="B19" s="62"/>
    </row>
    <row r="20" spans="1:3" ht="28" x14ac:dyDescent="0.15">
      <c r="A20" s="65" t="s">
        <v>103</v>
      </c>
      <c r="B20" s="66" t="s">
        <v>104</v>
      </c>
      <c r="C20" s="67"/>
    </row>
    <row r="21" spans="1:3" x14ac:dyDescent="0.15">
      <c r="A21" s="65"/>
      <c r="B21" s="65" t="s">
        <v>105</v>
      </c>
      <c r="C21" s="67"/>
    </row>
    <row r="22" spans="1:3" x14ac:dyDescent="0.15">
      <c r="A22" s="65"/>
      <c r="B22" s="216" t="s">
        <v>166</v>
      </c>
      <c r="C22" s="67"/>
    </row>
  </sheetData>
  <sheetProtection sheet="1" objects="1" scenarios="1"/>
  <customSheetViews>
    <customSheetView guid="{9846C184-355C-EA4B-8C35-9561D1AEE31C}" fitToPage="1">
      <selection activeCell="B3" sqref="B3"/>
      <pageMargins left="0.74803149606299213" right="0.74803149606299213" top="0.39370078740157483" bottom="0.39370078740157483" header="0.51181102362204722" footer="0.51181102362204722"/>
      <pageSetup paperSize="9" scale="71" orientation="portrait" r:id="rId1"/>
      <headerFooter alignWithMargins="0"/>
    </customSheetView>
  </customSheetViews>
  <pageMargins left="0.74803149606299213" right="0.74803149606299213" top="0.39370078740157483" bottom="0.39370078740157483" header="0.51181102362204722" footer="0.51181102362204722"/>
  <pageSetup paperSize="9" scale="71" orientation="portrait" r:id="rId2"/>
  <headerFooter alignWithMargins="0"/>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Z230"/>
  <sheetViews>
    <sheetView topLeftCell="B37" zoomScale="125" zoomScaleNormal="150" workbookViewId="0">
      <selection activeCell="D47" sqref="D47"/>
    </sheetView>
  </sheetViews>
  <sheetFormatPr baseColWidth="10" defaultColWidth="8.83203125" defaultRowHeight="14" x14ac:dyDescent="0.15"/>
  <cols>
    <col min="1" max="1" width="10.1640625" style="23" hidden="1" customWidth="1"/>
    <col min="2" max="2" width="13.5" customWidth="1"/>
    <col min="3" max="3" width="7.33203125" style="226" customWidth="1"/>
    <col min="4" max="4" width="105" style="223" customWidth="1"/>
    <col min="5" max="5" width="5.1640625" style="253" hidden="1" customWidth="1"/>
    <col min="6" max="6" width="33.33203125" style="28" customWidth="1"/>
    <col min="7" max="7" width="8.6640625" style="23" hidden="1" customWidth="1"/>
    <col min="8" max="8" width="8.6640625" style="127" hidden="1" customWidth="1"/>
    <col min="9" max="9" width="33.33203125" customWidth="1"/>
    <col min="10" max="10" width="15" style="12" customWidth="1"/>
    <col min="11" max="11" width="15" bestFit="1" customWidth="1"/>
    <col min="12" max="12" width="26" customWidth="1"/>
    <col min="13" max="13" width="24.5" customWidth="1"/>
    <col min="14" max="14" width="26.6640625" customWidth="1"/>
    <col min="15" max="15" width="25.6640625" customWidth="1"/>
    <col min="16" max="16" width="28.6640625" customWidth="1"/>
    <col min="17" max="26" width="15" bestFit="1" customWidth="1"/>
  </cols>
  <sheetData>
    <row r="1" spans="1:26" ht="18" x14ac:dyDescent="0.2">
      <c r="A1"/>
      <c r="B1" s="345" t="str">
        <f>CONCATENATE("SAMM Assessment Interview: ",D11," For ",D10)</f>
        <v xml:space="preserve">SAMM Assessment Interview:  For </v>
      </c>
      <c r="C1" s="345"/>
      <c r="D1" s="345"/>
      <c r="E1" s="345"/>
      <c r="F1" s="345"/>
      <c r="G1" s="345"/>
      <c r="H1" s="345"/>
      <c r="I1" s="345"/>
      <c r="J1" s="10"/>
      <c r="K1" s="1"/>
      <c r="L1" s="132"/>
      <c r="M1" s="1"/>
      <c r="N1" s="1"/>
      <c r="O1" s="1"/>
      <c r="P1" s="1"/>
      <c r="Q1" s="1"/>
      <c r="R1" s="1"/>
      <c r="S1" s="1"/>
      <c r="T1" s="1"/>
      <c r="U1" s="1"/>
      <c r="V1" s="1"/>
      <c r="W1" s="1"/>
      <c r="X1" s="1"/>
      <c r="Y1" s="1"/>
      <c r="Z1" s="1"/>
    </row>
    <row r="2" spans="1:26" ht="15" thickBot="1" x14ac:dyDescent="0.2">
      <c r="A2"/>
      <c r="B2" s="1"/>
      <c r="C2" s="225"/>
      <c r="D2" s="242"/>
      <c r="E2" s="20"/>
      <c r="F2" s="24"/>
      <c r="G2" s="20"/>
      <c r="H2" s="115"/>
      <c r="I2" s="9"/>
      <c r="J2" s="10"/>
      <c r="K2" s="1"/>
      <c r="L2" s="132"/>
      <c r="M2" s="1"/>
      <c r="N2" s="1"/>
      <c r="O2" s="1"/>
      <c r="P2" s="1"/>
      <c r="Q2" s="1"/>
      <c r="R2" s="1"/>
      <c r="S2" s="1"/>
      <c r="T2" s="1"/>
      <c r="U2" s="1"/>
      <c r="V2" s="1"/>
      <c r="W2" s="1"/>
      <c r="X2" s="1"/>
      <c r="Y2" s="1"/>
      <c r="Z2" s="1"/>
    </row>
    <row r="3" spans="1:26" x14ac:dyDescent="0.15">
      <c r="A3"/>
      <c r="B3" s="346" t="s">
        <v>16</v>
      </c>
      <c r="C3" s="347"/>
      <c r="D3" s="347"/>
      <c r="E3" s="347"/>
      <c r="F3" s="347"/>
      <c r="G3" s="347"/>
      <c r="H3" s="347"/>
      <c r="I3" s="348"/>
      <c r="J3" s="10"/>
      <c r="K3" s="1"/>
      <c r="L3" s="132"/>
      <c r="M3" s="1"/>
      <c r="N3" s="1"/>
      <c r="O3" s="1"/>
      <c r="P3" s="1"/>
      <c r="Q3" s="1"/>
      <c r="R3" s="1"/>
      <c r="S3" s="1"/>
      <c r="T3" s="1"/>
      <c r="U3" s="1"/>
      <c r="V3" s="1"/>
      <c r="W3" s="1"/>
      <c r="X3" s="1"/>
      <c r="Y3" s="1"/>
      <c r="Z3" s="1"/>
    </row>
    <row r="4" spans="1:26" x14ac:dyDescent="0.15">
      <c r="A4"/>
      <c r="B4" s="349" t="s">
        <v>17</v>
      </c>
      <c r="C4" s="350"/>
      <c r="D4" s="350"/>
      <c r="E4" s="350"/>
      <c r="F4" s="350"/>
      <c r="G4" s="350"/>
      <c r="H4" s="350"/>
      <c r="I4" s="351"/>
      <c r="J4" s="10"/>
      <c r="K4" s="1"/>
      <c r="L4" s="132"/>
      <c r="M4" s="1"/>
      <c r="N4" s="1"/>
      <c r="O4" s="1"/>
      <c r="P4" s="1"/>
      <c r="Q4" s="1"/>
      <c r="R4" s="1"/>
      <c r="S4" s="1"/>
      <c r="T4" s="1"/>
      <c r="U4" s="1"/>
      <c r="V4" s="1"/>
      <c r="W4" s="1"/>
      <c r="X4" s="1"/>
      <c r="Y4" s="1"/>
      <c r="Z4" s="1"/>
    </row>
    <row r="5" spans="1:26" x14ac:dyDescent="0.15">
      <c r="A5"/>
      <c r="B5" s="352" t="s">
        <v>159</v>
      </c>
      <c r="C5" s="353"/>
      <c r="D5" s="353"/>
      <c r="E5" s="353"/>
      <c r="F5" s="353"/>
      <c r="G5" s="353"/>
      <c r="H5" s="353"/>
      <c r="I5" s="354"/>
      <c r="J5" s="10"/>
      <c r="K5" s="1"/>
      <c r="L5" s="132"/>
      <c r="M5" s="1"/>
      <c r="N5" s="1"/>
      <c r="O5" s="1"/>
      <c r="P5" s="1"/>
      <c r="Q5" s="1"/>
      <c r="R5" s="1"/>
      <c r="S5" s="1"/>
      <c r="T5" s="1"/>
      <c r="U5" s="1"/>
      <c r="V5" s="1"/>
      <c r="W5" s="1"/>
      <c r="X5" s="1"/>
      <c r="Y5" s="1"/>
      <c r="Z5" s="1"/>
    </row>
    <row r="6" spans="1:26" x14ac:dyDescent="0.15">
      <c r="A6"/>
      <c r="B6" s="352" t="s">
        <v>18</v>
      </c>
      <c r="C6" s="353"/>
      <c r="D6" s="353"/>
      <c r="E6" s="353"/>
      <c r="F6" s="353"/>
      <c r="G6" s="353"/>
      <c r="H6" s="353"/>
      <c r="I6" s="354"/>
      <c r="J6" s="10"/>
      <c r="K6" s="1"/>
      <c r="L6" s="132"/>
      <c r="M6" s="1"/>
      <c r="N6" s="1"/>
      <c r="O6" s="1"/>
      <c r="P6" s="1"/>
      <c r="Q6" s="1"/>
      <c r="R6" s="1"/>
      <c r="S6" s="1"/>
      <c r="T6" s="1"/>
      <c r="U6" s="1"/>
      <c r="V6" s="1"/>
      <c r="W6" s="1"/>
      <c r="X6" s="1"/>
      <c r="Y6" s="1"/>
      <c r="Z6" s="1"/>
    </row>
    <row r="7" spans="1:26" x14ac:dyDescent="0.15">
      <c r="A7"/>
      <c r="B7" s="352" t="s">
        <v>160</v>
      </c>
      <c r="C7" s="353"/>
      <c r="D7" s="353"/>
      <c r="E7" s="353"/>
      <c r="F7" s="353"/>
      <c r="G7" s="353"/>
      <c r="H7" s="353"/>
      <c r="I7" s="354"/>
      <c r="J7" s="10"/>
      <c r="K7" s="1"/>
      <c r="L7" s="132"/>
      <c r="M7" s="1"/>
      <c r="N7" s="1"/>
      <c r="O7" s="1"/>
      <c r="P7" s="1"/>
      <c r="Q7" s="1"/>
      <c r="R7" s="1"/>
      <c r="S7" s="1"/>
      <c r="T7" s="1"/>
      <c r="U7" s="1"/>
      <c r="V7" s="1"/>
      <c r="W7" s="1"/>
      <c r="X7" s="1"/>
      <c r="Y7" s="1"/>
      <c r="Z7" s="1"/>
    </row>
    <row r="8" spans="1:26" ht="15" thickBot="1" x14ac:dyDescent="0.2">
      <c r="A8"/>
      <c r="B8" s="363" t="s">
        <v>19</v>
      </c>
      <c r="C8" s="364"/>
      <c r="D8" s="364"/>
      <c r="E8" s="364"/>
      <c r="F8" s="364"/>
      <c r="G8" s="364"/>
      <c r="H8" s="364"/>
      <c r="I8" s="365"/>
      <c r="J8" s="10"/>
      <c r="K8" s="1"/>
      <c r="L8" s="132"/>
      <c r="M8" s="1"/>
      <c r="N8" s="1"/>
      <c r="O8" s="1"/>
      <c r="P8" s="1"/>
      <c r="Q8" s="1"/>
      <c r="R8" s="1"/>
      <c r="S8" s="1"/>
      <c r="T8" s="1"/>
      <c r="U8" s="1"/>
      <c r="V8" s="1"/>
      <c r="W8" s="1"/>
      <c r="X8" s="1"/>
      <c r="Y8" s="1"/>
      <c r="Z8" s="1"/>
    </row>
    <row r="9" spans="1:26" ht="15" thickBot="1" x14ac:dyDescent="0.2">
      <c r="A9"/>
      <c r="B9" s="1"/>
      <c r="C9" s="225"/>
      <c r="D9" s="242"/>
      <c r="E9" s="20"/>
      <c r="F9" s="24"/>
      <c r="G9" s="20"/>
      <c r="H9" s="115"/>
      <c r="I9" s="9"/>
      <c r="J9" s="10"/>
      <c r="K9" s="1"/>
      <c r="L9" s="132"/>
      <c r="M9" s="1"/>
      <c r="N9" s="1"/>
      <c r="O9" s="1"/>
      <c r="P9" s="1"/>
      <c r="Q9" s="1"/>
      <c r="R9" s="1"/>
      <c r="S9" s="1"/>
      <c r="T9" s="1"/>
      <c r="U9" s="1"/>
      <c r="V9" s="1"/>
      <c r="W9" s="1"/>
      <c r="X9" s="1"/>
      <c r="Y9" s="1"/>
      <c r="Z9" s="1"/>
    </row>
    <row r="10" spans="1:26" x14ac:dyDescent="0.15">
      <c r="A10"/>
      <c r="B10" s="366" t="s">
        <v>20</v>
      </c>
      <c r="C10" s="367"/>
      <c r="D10" s="14"/>
      <c r="E10" s="20"/>
      <c r="F10" s="24"/>
      <c r="G10" s="20"/>
      <c r="H10" s="115"/>
      <c r="I10" s="9"/>
      <c r="J10" s="10"/>
      <c r="K10" s="1"/>
      <c r="L10" s="132"/>
      <c r="M10" s="1"/>
      <c r="N10" s="1"/>
      <c r="O10" s="1"/>
      <c r="P10" s="1"/>
      <c r="Q10" s="1"/>
      <c r="R10" s="1"/>
      <c r="S10" s="1"/>
      <c r="T10" s="1"/>
      <c r="U10" s="1"/>
      <c r="V10" s="1"/>
      <c r="W10" s="1"/>
      <c r="X10" s="1"/>
      <c r="Y10" s="1"/>
      <c r="Z10" s="1"/>
    </row>
    <row r="11" spans="1:26" x14ac:dyDescent="0.15">
      <c r="A11"/>
      <c r="B11" s="358" t="s">
        <v>561</v>
      </c>
      <c r="C11" s="359"/>
      <c r="D11" s="15"/>
      <c r="E11" s="20"/>
      <c r="F11" s="24"/>
      <c r="G11" s="20"/>
      <c r="H11" s="115"/>
      <c r="I11" s="9"/>
      <c r="J11" s="10"/>
      <c r="K11" s="1"/>
      <c r="L11" s="132"/>
      <c r="M11" s="1"/>
      <c r="N11" s="1"/>
      <c r="O11" s="1"/>
      <c r="P11" s="1"/>
      <c r="Q11" s="1"/>
      <c r="R11" s="1"/>
      <c r="S11" s="1"/>
      <c r="T11" s="1"/>
      <c r="U11" s="1"/>
      <c r="V11" s="1"/>
      <c r="W11" s="1"/>
      <c r="X11" s="1"/>
      <c r="Y11" s="1"/>
      <c r="Z11" s="1"/>
    </row>
    <row r="12" spans="1:26" x14ac:dyDescent="0.15">
      <c r="A12"/>
      <c r="B12" s="358" t="s">
        <v>22</v>
      </c>
      <c r="C12" s="359"/>
      <c r="D12" s="16"/>
      <c r="E12" s="249"/>
      <c r="F12" s="24"/>
      <c r="G12" s="20"/>
      <c r="H12" s="115"/>
      <c r="I12" s="9"/>
      <c r="J12" s="10"/>
      <c r="K12" s="1"/>
      <c r="L12" s="132"/>
      <c r="M12" s="1"/>
      <c r="N12" s="1"/>
      <c r="O12" s="1"/>
      <c r="P12" s="1"/>
      <c r="Q12" s="1"/>
      <c r="R12" s="1"/>
      <c r="S12" s="1"/>
      <c r="T12" s="1"/>
      <c r="U12" s="1"/>
      <c r="V12" s="1"/>
      <c r="W12" s="1"/>
      <c r="X12" s="1"/>
      <c r="Y12" s="1"/>
      <c r="Z12" s="1"/>
    </row>
    <row r="13" spans="1:26" x14ac:dyDescent="0.15">
      <c r="A13"/>
      <c r="B13" s="358" t="s">
        <v>562</v>
      </c>
      <c r="C13" s="360"/>
      <c r="D13" s="15"/>
      <c r="E13" s="20"/>
      <c r="F13" s="24"/>
      <c r="G13" s="20"/>
      <c r="H13" s="115"/>
      <c r="I13" s="9"/>
      <c r="J13" s="10"/>
      <c r="K13" s="1"/>
      <c r="L13" s="132"/>
      <c r="M13" s="1"/>
      <c r="N13" s="1"/>
      <c r="O13" s="1"/>
      <c r="P13" s="1"/>
      <c r="Q13" s="1"/>
      <c r="R13" s="1"/>
      <c r="S13" s="1"/>
      <c r="T13" s="1"/>
      <c r="U13" s="1"/>
      <c r="V13" s="1"/>
      <c r="W13" s="1"/>
      <c r="X13" s="1"/>
      <c r="Y13" s="1"/>
      <c r="Z13" s="1"/>
    </row>
    <row r="14" spans="1:26" ht="24" thickBot="1" x14ac:dyDescent="0.3">
      <c r="A14" s="278" t="str">
        <f>IF(A15=A16,"OK","Problem")</f>
        <v>OK</v>
      </c>
      <c r="B14" s="361" t="s">
        <v>12</v>
      </c>
      <c r="C14" s="362"/>
      <c r="D14" s="17"/>
      <c r="E14" s="20"/>
      <c r="F14" s="24"/>
      <c r="G14" s="20"/>
      <c r="H14" s="115"/>
      <c r="I14" s="9"/>
      <c r="J14" s="10"/>
      <c r="K14" s="1"/>
      <c r="L14" s="132"/>
      <c r="M14" s="1"/>
      <c r="N14" s="1"/>
      <c r="O14" s="1"/>
      <c r="P14" s="1"/>
      <c r="Q14" s="1"/>
      <c r="R14" s="1"/>
      <c r="S14" s="1"/>
      <c r="T14" s="1"/>
      <c r="U14" s="1"/>
      <c r="V14" s="1"/>
      <c r="W14" s="1"/>
      <c r="X14" s="1"/>
      <c r="Y14" s="1"/>
      <c r="Z14" s="1"/>
    </row>
    <row r="15" spans="1:26" x14ac:dyDescent="0.15">
      <c r="A15">
        <f>COUNTA('imp-questions'!A2:A300)</f>
        <v>90</v>
      </c>
      <c r="B15" s="1"/>
      <c r="C15" s="225"/>
      <c r="D15" s="242"/>
      <c r="E15" s="20"/>
      <c r="F15" s="24"/>
      <c r="G15" s="20"/>
      <c r="H15" s="115"/>
      <c r="I15" s="9"/>
      <c r="J15" s="10"/>
      <c r="K15" s="1"/>
      <c r="L15" s="132"/>
      <c r="M15" s="1"/>
      <c r="N15" s="1"/>
      <c r="O15" s="1"/>
      <c r="P15" s="1"/>
      <c r="Q15" s="1"/>
      <c r="R15" s="1"/>
      <c r="S15" s="1"/>
      <c r="T15" s="1"/>
      <c r="U15" s="1"/>
      <c r="V15" s="1"/>
      <c r="W15" s="1"/>
      <c r="X15" s="1"/>
      <c r="Y15" s="1"/>
      <c r="Z15" s="1"/>
    </row>
    <row r="16" spans="1:26" ht="13" x14ac:dyDescent="0.15">
      <c r="A16">
        <f>COUNTA(A18:A251)</f>
        <v>90</v>
      </c>
      <c r="B16" s="333" t="s">
        <v>24</v>
      </c>
      <c r="C16" s="333"/>
      <c r="D16" s="333"/>
      <c r="E16" s="333"/>
      <c r="F16" s="333"/>
      <c r="G16" s="333"/>
      <c r="H16" s="333"/>
      <c r="I16" s="333"/>
      <c r="J16" s="333"/>
      <c r="K16" s="1"/>
      <c r="Q16" s="1"/>
      <c r="R16" s="1"/>
      <c r="S16" s="1"/>
      <c r="T16" s="1"/>
      <c r="U16" s="1"/>
      <c r="V16" s="1"/>
      <c r="W16" s="1"/>
      <c r="X16" s="1"/>
      <c r="Y16" s="1"/>
      <c r="Z16" s="1"/>
    </row>
    <row r="17" spans="1:26" x14ac:dyDescent="0.15">
      <c r="B17" s="292" t="s">
        <v>563</v>
      </c>
      <c r="C17" s="290" t="s">
        <v>564</v>
      </c>
      <c r="D17" s="289" t="s">
        <v>25</v>
      </c>
      <c r="E17" s="234"/>
      <c r="F17" s="69" t="s">
        <v>70</v>
      </c>
      <c r="G17" s="69"/>
      <c r="H17" s="116"/>
      <c r="I17" s="70" t="s">
        <v>26</v>
      </c>
      <c r="J17" s="70" t="s">
        <v>68</v>
      </c>
      <c r="K17" s="1"/>
      <c r="Q17" s="1"/>
      <c r="R17" s="1"/>
      <c r="S17" s="1"/>
      <c r="T17" s="1"/>
      <c r="U17" s="1"/>
      <c r="V17" s="1"/>
      <c r="W17" s="1"/>
      <c r="X17" s="1"/>
      <c r="Y17" s="1"/>
      <c r="Z17" s="1"/>
    </row>
    <row r="18" spans="1:26" x14ac:dyDescent="0.15">
      <c r="A18" s="248" t="s">
        <v>249</v>
      </c>
      <c r="B18" s="355" t="str">
        <f>VLOOKUP(A18,'imp-questions'!A:H,4,FALSE)</f>
        <v>Create and Promote</v>
      </c>
      <c r="C18" s="293">
        <f>VLOOKUP(A18,'imp-questions'!A:H,5,FALSE)</f>
        <v>1</v>
      </c>
      <c r="D18" s="288" t="str">
        <f>VLOOKUP(A18,'imp-questions'!A:H,6,FALSE)</f>
        <v>Has the organization defined a set of risks by which applications could be prioritized?</v>
      </c>
      <c r="E18" s="250" t="str">
        <f>CHAR(65+VLOOKUP(A18,'imp-questions'!A:H,8,FALSE))</f>
        <v>N</v>
      </c>
      <c r="F18" s="5"/>
      <c r="G18" s="258">
        <f>IFERROR(VLOOKUP(F18,AnsNTBL,2,FALSE),0)</f>
        <v>0</v>
      </c>
      <c r="H18" s="104">
        <f>IFERROR(AVERAGE(G18,G25),0)</f>
        <v>0</v>
      </c>
      <c r="I18" s="303"/>
      <c r="J18" s="305">
        <f>SUM(H18,H20,H22)</f>
        <v>0</v>
      </c>
      <c r="K18" s="1"/>
      <c r="L18" s="134"/>
      <c r="M18" s="134"/>
      <c r="N18" s="134"/>
      <c r="O18" s="134"/>
      <c r="P18" s="134"/>
      <c r="Q18" s="1"/>
      <c r="R18" s="1"/>
      <c r="S18" s="1"/>
      <c r="T18" s="1"/>
      <c r="U18" s="1"/>
      <c r="V18" s="1"/>
      <c r="W18" s="1"/>
      <c r="X18" s="1"/>
      <c r="Y18" s="1"/>
      <c r="Z18" s="1"/>
    </row>
    <row r="19" spans="1:26" ht="70" x14ac:dyDescent="0.15">
      <c r="B19" s="356"/>
      <c r="C19" s="224"/>
      <c r="D19" s="269" t="str">
        <f>VLOOKUP(A18,'imp-questions'!A:H,7,FALSE)</f>
        <v xml:space="preserve">You have captured the risk appetite of your organization's executive leadership
Risks have been vetted and approved by the organization's leadership
You have identified the principal business and technical threats to your organization's assets and data
Risks have been documented and are accessible to relevant stakeholders
</v>
      </c>
      <c r="E19" s="255"/>
      <c r="F19" s="254"/>
      <c r="G19" s="256"/>
      <c r="H19" s="257"/>
      <c r="I19" s="304"/>
      <c r="J19" s="306"/>
      <c r="K19" s="1"/>
      <c r="L19" s="134"/>
      <c r="M19" s="134"/>
      <c r="N19" s="134"/>
      <c r="O19" s="134"/>
      <c r="P19" s="134"/>
      <c r="Q19" s="1"/>
      <c r="R19" s="1"/>
      <c r="S19" s="1"/>
      <c r="T19" s="1"/>
      <c r="U19" s="1"/>
      <c r="V19" s="1"/>
      <c r="W19" s="1"/>
      <c r="X19" s="1"/>
      <c r="Y19" s="1"/>
      <c r="Z19" s="1"/>
    </row>
    <row r="20" spans="1:26" x14ac:dyDescent="0.15">
      <c r="A20" s="248" t="s">
        <v>252</v>
      </c>
      <c r="B20" s="356"/>
      <c r="C20" s="293">
        <f>VLOOKUP(A20,'imp-questions'!A:H,5,FALSE)</f>
        <v>2</v>
      </c>
      <c r="D20" s="288" t="str">
        <f>VLOOKUP(A20,'imp-questions'!A:H,6,FALSE)</f>
        <v>Do you have a strategic plan for application security that is used to make decisions?</v>
      </c>
      <c r="E20" s="252" t="str">
        <f>CHAR(65+VLOOKUP(A20,'imp-questions'!A:H,8,FALSE))</f>
        <v>O</v>
      </c>
      <c r="F20" s="19"/>
      <c r="G20" s="18">
        <f>IFERROR(VLOOKUP(F20,AnsOTBL,2,FALSE),0)</f>
        <v>0</v>
      </c>
      <c r="H20" s="105">
        <f>IFERROR(AVERAGE(G20,G27),0)</f>
        <v>0</v>
      </c>
      <c r="I20" s="303"/>
      <c r="J20" s="11"/>
      <c r="K20" s="291"/>
      <c r="L20" s="134"/>
      <c r="M20" s="134"/>
      <c r="N20" s="134"/>
      <c r="O20" s="134"/>
      <c r="P20" s="134"/>
      <c r="Q20" s="291"/>
      <c r="R20" s="291"/>
      <c r="S20" s="291"/>
      <c r="T20" s="291"/>
      <c r="U20" s="291"/>
      <c r="V20" s="291"/>
      <c r="W20" s="291"/>
      <c r="X20" s="291"/>
      <c r="Y20" s="291"/>
      <c r="Z20" s="291"/>
    </row>
    <row r="21" spans="1:26" ht="84" x14ac:dyDescent="0.15">
      <c r="B21" s="356"/>
      <c r="C21" s="259"/>
      <c r="D21" s="269" t="str">
        <f>VLOOKUP(A20,'imp-questions'!A:H,7,FALSE)</f>
        <v xml:space="preserve">The plan reflects the organization's business priorities and risk appetite
The plan includes measurable milestones and a budget
Elements of the plan are consistent with the organization‚Äôs business drivers and risks
The plan lays out a roadmap for achieving strategic and tactical initiatives
You have obtained buy-in from organizational stakeholders, including development teams
</v>
      </c>
      <c r="E21" s="255"/>
      <c r="F21" s="260"/>
      <c r="G21" s="256"/>
      <c r="H21" s="261"/>
      <c r="I21" s="321"/>
      <c r="J21" s="11"/>
      <c r="K21" s="291"/>
      <c r="L21" s="134"/>
      <c r="M21" s="134"/>
      <c r="N21" s="134"/>
      <c r="O21" s="134"/>
      <c r="P21" s="134"/>
      <c r="Q21" s="291"/>
      <c r="R21" s="291"/>
      <c r="S21" s="291"/>
      <c r="T21" s="291"/>
      <c r="U21" s="291"/>
      <c r="V21" s="291"/>
      <c r="W21" s="291"/>
      <c r="X21" s="291"/>
      <c r="Y21" s="291"/>
      <c r="Z21" s="291"/>
    </row>
    <row r="22" spans="1:26" x14ac:dyDescent="0.15">
      <c r="A22" s="248" t="s">
        <v>255</v>
      </c>
      <c r="B22" s="356"/>
      <c r="C22" s="293">
        <f>VLOOKUP(A22,'imp-questions'!A:H,5,FALSE)</f>
        <v>3</v>
      </c>
      <c r="D22" s="288" t="str">
        <f>VLOOKUP(A22,'imp-questions'!A:H,6,FALSE)</f>
        <v>Do you regularly review and update the Strategic Plan for Application Security?</v>
      </c>
      <c r="E22" s="252" t="str">
        <f>CHAR(65+VLOOKUP(A22,'imp-questions'!A:H,8,FALSE))</f>
        <v>P</v>
      </c>
      <c r="F22" s="19"/>
      <c r="G22" s="18">
        <f>IFERROR(VLOOKUP(F22,AnsPTBL,2,FALSE),0)</f>
        <v>0</v>
      </c>
      <c r="H22" s="105">
        <f>IFERROR(AVERAGE(G22,G29),0)</f>
        <v>0</v>
      </c>
      <c r="I22" s="303"/>
      <c r="J22" s="11"/>
      <c r="K22" s="1"/>
      <c r="L22" s="134"/>
      <c r="M22" s="134"/>
      <c r="N22" s="134"/>
      <c r="O22" s="134"/>
      <c r="P22" s="134"/>
      <c r="Q22" s="1"/>
      <c r="R22" s="1"/>
      <c r="S22" s="1"/>
      <c r="T22" s="1"/>
      <c r="U22" s="1"/>
      <c r="V22" s="1"/>
      <c r="W22" s="1"/>
      <c r="X22" s="1"/>
      <c r="Y22" s="1"/>
      <c r="Z22" s="1"/>
    </row>
    <row r="23" spans="1:26" ht="84" x14ac:dyDescent="0.15">
      <c r="B23" s="357"/>
      <c r="C23" s="259"/>
      <c r="D23" s="269" t="str">
        <f>VLOOKUP(A22,'imp-questions'!A:H,7,FALSE)</f>
        <v xml:space="preserve">You review and update the plan, in response to significant changes in the business environment, the organization, or its risk appetite
Plan update steps include reviewing the plan with all the stakeholders and updating the business drivers and strategies
You adjust the plan and roadmap, based on lessons learned from completed roadmap activities
You publish progress information on roadmap activities, available to all stakeholders, including development teams
</v>
      </c>
      <c r="E23" s="255"/>
      <c r="F23" s="260"/>
      <c r="G23" s="256"/>
      <c r="H23" s="261"/>
      <c r="I23" s="321"/>
      <c r="J23" s="11"/>
      <c r="K23" s="1"/>
      <c r="L23" s="134"/>
      <c r="M23" s="134"/>
      <c r="N23" s="134"/>
      <c r="O23" s="134"/>
      <c r="P23" s="134"/>
      <c r="Q23" s="1"/>
      <c r="R23" s="1"/>
      <c r="S23" s="1"/>
      <c r="T23" s="1"/>
      <c r="U23" s="1"/>
      <c r="V23" s="1"/>
      <c r="W23" s="1"/>
      <c r="X23" s="1"/>
      <c r="Y23" s="1"/>
      <c r="Z23" s="1"/>
    </row>
    <row r="24" spans="1:26" x14ac:dyDescent="0.15">
      <c r="B24" s="330"/>
      <c r="C24" s="331"/>
      <c r="D24" s="331"/>
      <c r="E24" s="331"/>
      <c r="F24" s="331"/>
      <c r="G24" s="331"/>
      <c r="H24" s="331"/>
      <c r="I24" s="332"/>
      <c r="J24" s="11"/>
      <c r="K24" s="1"/>
      <c r="L24" s="134"/>
      <c r="M24" s="134"/>
      <c r="N24" s="134"/>
      <c r="O24" s="134"/>
      <c r="P24" s="134"/>
      <c r="Q24" s="1"/>
      <c r="R24" s="1"/>
      <c r="S24" s="1"/>
      <c r="T24" s="1"/>
      <c r="U24" s="1"/>
      <c r="V24" s="1"/>
      <c r="W24" s="1"/>
      <c r="X24" s="1"/>
      <c r="Y24" s="1"/>
      <c r="Z24" s="1"/>
    </row>
    <row r="25" spans="1:26" ht="28" x14ac:dyDescent="0.15">
      <c r="A25" s="248" t="s">
        <v>258</v>
      </c>
      <c r="B25" s="355" t="str">
        <f>VLOOKUP(A25,'imp-questions'!A:H,4,FALSE)</f>
        <v>Measure and Improve</v>
      </c>
      <c r="C25" s="293">
        <f>VLOOKUP(A25,'imp-questions'!A:H,5,FALSE)</f>
        <v>1</v>
      </c>
      <c r="D25" s="288" t="str">
        <f>VLOOKUP(A25,'imp-questions'!A:H,6,FALSE)</f>
        <v>Are you using a set of metrics to measure the effectiveness and efficiency of the application security program across applications?</v>
      </c>
      <c r="E25" s="250" t="str">
        <f>CHAR(65+VLOOKUP(A25,'imp-questions'!A:H,8,FALSE))</f>
        <v>Q</v>
      </c>
      <c r="F25" s="5"/>
      <c r="G25" s="18">
        <f>IFERROR(VLOOKUP(F25,AnsQTBL,2,FALSE),0)</f>
        <v>0</v>
      </c>
      <c r="H25" s="104"/>
      <c r="I25" s="303"/>
      <c r="J25" s="11"/>
      <c r="K25" s="1"/>
      <c r="L25" s="134"/>
      <c r="M25" s="134"/>
      <c r="N25" s="134"/>
      <c r="O25" s="134"/>
      <c r="P25" s="134"/>
      <c r="Q25" s="1"/>
      <c r="R25" s="1"/>
      <c r="S25" s="1"/>
      <c r="T25" s="1"/>
      <c r="U25" s="1"/>
      <c r="V25" s="1"/>
      <c r="W25" s="1"/>
      <c r="X25" s="1"/>
      <c r="Y25" s="1"/>
      <c r="Z25" s="1"/>
    </row>
    <row r="26" spans="1:26" ht="98" x14ac:dyDescent="0.15">
      <c r="B26" s="356"/>
      <c r="C26" s="224"/>
      <c r="D26" s="277" t="str">
        <f>VLOOKUP(A25,'imp-questions'!A:H,7,FALSE)</f>
        <v xml:space="preserve">Each metric is documented and includes a description of the sources, measurement coverage, and an understanding on how the metric can be used to describe or explain application security trends
Metrics include measures of Efforts, Results, and the Environment measurement categories
Majority of the metrics are frequently measured, easy or inexpensive to gather, and are expressed as a cardinal number or a percentage
Metrics are published and are accessible by application security and development teams
</v>
      </c>
      <c r="E26" s="251"/>
      <c r="F26" s="260"/>
      <c r="G26" s="256"/>
      <c r="H26" s="261"/>
      <c r="I26" s="304"/>
      <c r="J26" s="11"/>
      <c r="K26" s="1"/>
      <c r="L26" s="134"/>
      <c r="M26" s="134"/>
      <c r="N26" s="134"/>
      <c r="O26" s="134"/>
      <c r="P26" s="134"/>
      <c r="Q26" s="1"/>
      <c r="R26" s="1"/>
      <c r="S26" s="1"/>
      <c r="T26" s="1"/>
      <c r="U26" s="1"/>
      <c r="V26" s="1"/>
      <c r="W26" s="1"/>
      <c r="X26" s="1"/>
      <c r="Y26" s="1"/>
      <c r="Z26" s="1"/>
    </row>
    <row r="27" spans="1:26" x14ac:dyDescent="0.15">
      <c r="A27" s="248" t="s">
        <v>262</v>
      </c>
      <c r="B27" s="356"/>
      <c r="C27" s="293">
        <f>VLOOKUP(A27,'imp-questions'!A:H,5,FALSE)</f>
        <v>2</v>
      </c>
      <c r="D27" s="288" t="str">
        <f>VLOOKUP(A27,'imp-questions'!A:H,6,FALSE)</f>
        <v>Did you define Key Perfomance Indicators (KPI) from available application security metrics?</v>
      </c>
      <c r="E27" s="250" t="str">
        <f>CHAR(65+VLOOKUP(A27,'imp-questions'!A:H,8,FALSE))</f>
        <v>B</v>
      </c>
      <c r="F27" s="19"/>
      <c r="G27" s="18">
        <f>IFERROR(VLOOKUP(F27,AnsBTBL,2,FALSE),0)</f>
        <v>0</v>
      </c>
      <c r="H27" s="105"/>
      <c r="I27" s="303"/>
      <c r="J27" s="11"/>
      <c r="K27" s="291"/>
      <c r="L27" s="134"/>
      <c r="M27" s="134"/>
      <c r="N27" s="134"/>
      <c r="O27" s="134"/>
      <c r="P27" s="134"/>
      <c r="Q27" s="291"/>
      <c r="R27" s="291"/>
      <c r="S27" s="291"/>
      <c r="T27" s="291"/>
      <c r="U27" s="291"/>
      <c r="V27" s="291"/>
      <c r="W27" s="291"/>
      <c r="X27" s="291"/>
      <c r="Y27" s="291"/>
      <c r="Z27" s="291"/>
    </row>
    <row r="28" spans="1:26" ht="84" x14ac:dyDescent="0.15">
      <c r="B28" s="356"/>
      <c r="C28" s="259"/>
      <c r="D28" s="269" t="str">
        <f>VLOOKUP(A27,'imp-questions'!A:H,7,FALSE)</f>
        <v xml:space="preserve">KPIs are defined after enough information has been gathered to establish realistic objectives
KPIs have been developed with the buy-in from the leadership and teams responsible for application security
KPIs are documented and available to the application teams, and include actionable tresholds requiring immediate attention in the event KPIs reach levels considered unacceptable
Success of the application security program is clearly visible based on defined KPIs
</v>
      </c>
      <c r="E28" s="255"/>
      <c r="F28" s="260"/>
      <c r="G28" s="256"/>
      <c r="H28" s="261"/>
      <c r="I28" s="304"/>
      <c r="J28" s="11"/>
      <c r="K28" s="291"/>
      <c r="L28" s="134"/>
      <c r="M28" s="134"/>
      <c r="N28" s="134"/>
      <c r="O28" s="134"/>
      <c r="P28" s="134"/>
      <c r="Q28" s="291"/>
      <c r="R28" s="291"/>
      <c r="S28" s="291"/>
      <c r="T28" s="291"/>
      <c r="U28" s="291"/>
      <c r="V28" s="291"/>
      <c r="W28" s="291"/>
      <c r="X28" s="291"/>
      <c r="Y28" s="291"/>
      <c r="Z28" s="291"/>
    </row>
    <row r="29" spans="1:26" x14ac:dyDescent="0.15">
      <c r="A29" s="248" t="s">
        <v>265</v>
      </c>
      <c r="B29" s="356"/>
      <c r="C29" s="293">
        <f>VLOOKUP(A29,'imp-questions'!A:H,5,FALSE)</f>
        <v>3</v>
      </c>
      <c r="D29" s="288" t="str">
        <f>VLOOKUP(A29,'imp-questions'!A:H,6,FALSE)</f>
        <v>Do you influence the Application Security strategy and roadmap based on application security metrics and KPIs?</v>
      </c>
      <c r="E29" s="250" t="str">
        <f>CHAR(65+VLOOKUP(A29,'imp-questions'!A:H,8,FALSE))</f>
        <v>E</v>
      </c>
      <c r="F29" s="19"/>
      <c r="G29" s="18">
        <f>IFERROR(VLOOKUP(F29,AnsETBL,2,FALSE),0)</f>
        <v>0</v>
      </c>
      <c r="H29" s="105"/>
      <c r="I29" s="303"/>
      <c r="J29" s="11"/>
      <c r="K29" s="1"/>
      <c r="L29" s="134"/>
      <c r="M29" s="134"/>
      <c r="N29" s="134"/>
      <c r="O29" s="134"/>
      <c r="P29" s="134"/>
      <c r="Q29" s="1"/>
      <c r="R29" s="1"/>
      <c r="S29" s="1"/>
      <c r="T29" s="1"/>
      <c r="U29" s="1"/>
      <c r="V29" s="1"/>
      <c r="W29" s="1"/>
      <c r="X29" s="1"/>
      <c r="Y29" s="1"/>
      <c r="Z29" s="1"/>
    </row>
    <row r="30" spans="1:26" ht="42" x14ac:dyDescent="0.15">
      <c r="B30" s="357"/>
      <c r="C30" s="259"/>
      <c r="D30" s="269" t="str">
        <f>VLOOKUP(A29,'imp-questions'!A:H,7,FALSE)</f>
        <v xml:space="preserve">KPIs are reviewed regularly (at least yearly) for their efficiency and effectiveness
Majority of the changes to the application security strategy are triggered by KPIs and application security metrics
</v>
      </c>
      <c r="E30" s="255"/>
      <c r="F30" s="260"/>
      <c r="G30" s="256"/>
      <c r="H30" s="261"/>
      <c r="I30" s="304"/>
      <c r="J30" s="11"/>
      <c r="K30" s="1"/>
      <c r="L30" s="134"/>
      <c r="M30" s="134"/>
      <c r="N30" s="134"/>
      <c r="O30" s="134"/>
      <c r="P30" s="134"/>
      <c r="Q30" s="1"/>
      <c r="R30" s="1"/>
      <c r="S30" s="1"/>
      <c r="T30" s="1"/>
      <c r="U30" s="1"/>
      <c r="V30" s="1"/>
      <c r="W30" s="1"/>
      <c r="X30" s="1"/>
      <c r="Y30" s="1"/>
      <c r="Z30" s="1"/>
    </row>
    <row r="31" spans="1:26" x14ac:dyDescent="0.15">
      <c r="B31" s="368" t="s">
        <v>30</v>
      </c>
      <c r="C31" s="369"/>
      <c r="D31" s="370"/>
      <c r="E31" s="239"/>
      <c r="F31" s="71" t="s">
        <v>70</v>
      </c>
      <c r="G31" s="71"/>
      <c r="H31" s="119"/>
      <c r="I31" s="70" t="s">
        <v>26</v>
      </c>
      <c r="J31" s="70" t="s">
        <v>68</v>
      </c>
      <c r="K31" s="1"/>
      <c r="L31" s="134"/>
      <c r="M31" s="134"/>
      <c r="N31" s="134"/>
      <c r="O31" s="134"/>
      <c r="P31" s="134"/>
      <c r="Q31" s="1"/>
      <c r="R31" s="1"/>
      <c r="S31" s="1"/>
      <c r="T31" s="1"/>
      <c r="U31" s="1"/>
      <c r="V31" s="1"/>
      <c r="W31" s="1"/>
      <c r="X31" s="1"/>
      <c r="Y31" s="1"/>
      <c r="Z31" s="1"/>
    </row>
    <row r="32" spans="1:26" x14ac:dyDescent="0.15">
      <c r="A32" s="248" t="s">
        <v>551</v>
      </c>
      <c r="B32" s="355" t="str">
        <f>VLOOKUP(A32,'imp-questions'!A:H,4,FALSE)</f>
        <v>Policy and Standards</v>
      </c>
      <c r="C32" s="293">
        <f>VLOOKUP(A32,'imp-questions'!A:H,5,FALSE)</f>
        <v>1</v>
      </c>
      <c r="D32" s="288" t="str">
        <f>VLOOKUP(A32,'imp-questions'!A:H,6,FALSE)</f>
        <v>Have you developed a common set of policies and standards that are applied throughout your organization?</v>
      </c>
      <c r="E32" s="250" t="str">
        <f>CHAR(65+VLOOKUP(A32,'imp-questions'!A:H,8,FALSE))</f>
        <v>A</v>
      </c>
      <c r="F32" s="5"/>
      <c r="G32" s="18">
        <f>IFERROR(VLOOKUP(F32,AnsATBL,2,FALSE),0)</f>
        <v>0</v>
      </c>
      <c r="H32" s="104">
        <f>IFERROR(AVERAGE(G32,G39),0)</f>
        <v>0</v>
      </c>
      <c r="I32" s="303"/>
      <c r="J32" s="305">
        <f>SUM(H32,H34,H36)</f>
        <v>0</v>
      </c>
      <c r="K32" s="291"/>
      <c r="L32" s="134"/>
      <c r="M32" s="134"/>
      <c r="N32" s="134"/>
      <c r="O32" s="134"/>
      <c r="P32" s="134"/>
      <c r="Q32" s="291"/>
      <c r="R32" s="291"/>
      <c r="S32" s="291"/>
      <c r="T32" s="291"/>
      <c r="U32" s="291"/>
      <c r="V32" s="291"/>
      <c r="W32" s="291"/>
      <c r="X32" s="291"/>
      <c r="Y32" s="291"/>
      <c r="Z32" s="291"/>
    </row>
    <row r="33" spans="1:26" ht="28" x14ac:dyDescent="0.15">
      <c r="B33" s="356"/>
      <c r="C33" s="224"/>
      <c r="D33" s="277" t="str">
        <f>VLOOKUP(A32,'imp-questions'!A:H,7,FALSE)</f>
        <v>You have adapted existing standards appropriate for the organization’s industry, to account for domain-specific considerations
Your standards are aligned with your policies, and incorporate technology-specific implementation guidance</v>
      </c>
      <c r="E33" s="251"/>
      <c r="F33" s="260"/>
      <c r="G33" s="256"/>
      <c r="H33" s="257"/>
      <c r="I33" s="304"/>
      <c r="J33" s="306"/>
      <c r="K33" s="291"/>
      <c r="L33" s="134"/>
      <c r="M33" s="134"/>
      <c r="N33" s="134"/>
      <c r="O33" s="134"/>
      <c r="P33" s="134"/>
      <c r="Q33" s="291"/>
      <c r="R33" s="291"/>
      <c r="S33" s="291"/>
      <c r="T33" s="291"/>
      <c r="U33" s="291"/>
      <c r="V33" s="291"/>
      <c r="W33" s="291"/>
      <c r="X33" s="291"/>
      <c r="Y33" s="291"/>
      <c r="Z33" s="291"/>
    </row>
    <row r="34" spans="1:26" x14ac:dyDescent="0.15">
      <c r="A34" s="248" t="s">
        <v>552</v>
      </c>
      <c r="B34" s="356"/>
      <c r="C34" s="293">
        <f>VLOOKUP(A34,'imp-questions'!A:H,5,FALSE)</f>
        <v>2</v>
      </c>
      <c r="D34" s="288" t="str">
        <f>VLOOKUP(A34,'imp-questions'!A:H,6,FALSE)</f>
        <v>Do you have clearly documented, repeatable evaluation methods to test for adherence to policies and standards?</v>
      </c>
      <c r="E34" s="250" t="str">
        <f>CHAR(65+VLOOKUP(A34,'imp-questions'!A:H,8,FALSE))</f>
        <v>S</v>
      </c>
      <c r="F34" s="5"/>
      <c r="G34" s="18">
        <f>IFERROR(VLOOKUP(F34,AnsSTBL,2,FALSE),0)</f>
        <v>0</v>
      </c>
      <c r="H34" s="105">
        <f>IFERROR(AVERAGE(G34,G41),0)</f>
        <v>0</v>
      </c>
      <c r="I34" s="303"/>
      <c r="J34" s="11"/>
      <c r="K34" s="291"/>
      <c r="L34" s="134"/>
      <c r="M34" s="134"/>
      <c r="N34" s="134"/>
      <c r="O34" s="134"/>
      <c r="P34" s="134"/>
      <c r="Q34" s="291"/>
      <c r="R34" s="291"/>
      <c r="S34" s="291"/>
      <c r="T34" s="291"/>
      <c r="U34" s="291"/>
      <c r="V34" s="291"/>
      <c r="W34" s="291"/>
      <c r="X34" s="291"/>
      <c r="Y34" s="291"/>
      <c r="Z34" s="291"/>
    </row>
    <row r="35" spans="1:26" ht="42" x14ac:dyDescent="0.15">
      <c r="B35" s="356"/>
      <c r="C35" s="224"/>
      <c r="D35" s="277" t="str">
        <f>VLOOKUP(A34,'imp-questions'!A:H,7,FALSE)</f>
        <v>You have created verification checklists and test scripts (where applicable), aligned with the policy's requirements, and the implementation guidance in the associated standard(s)
You have created versions adapted to each development methodology/technology in use within the organization</v>
      </c>
      <c r="E35" s="251"/>
      <c r="F35" s="260"/>
      <c r="G35" s="256"/>
      <c r="H35" s="261"/>
      <c r="I35" s="321"/>
      <c r="J35" s="11"/>
      <c r="K35" s="291"/>
      <c r="L35" s="134"/>
      <c r="M35" s="134"/>
      <c r="N35" s="134"/>
      <c r="O35" s="134"/>
      <c r="P35" s="134"/>
      <c r="Q35" s="291"/>
      <c r="R35" s="291"/>
      <c r="S35" s="291"/>
      <c r="T35" s="291"/>
      <c r="U35" s="291"/>
      <c r="V35" s="291"/>
      <c r="W35" s="291"/>
      <c r="X35" s="291"/>
      <c r="Y35" s="291"/>
      <c r="Z35" s="291"/>
    </row>
    <row r="36" spans="1:26" ht="28" x14ac:dyDescent="0.15">
      <c r="A36" s="248" t="s">
        <v>553</v>
      </c>
      <c r="B36" s="356"/>
      <c r="C36" s="293">
        <f>VLOOKUP(A36,'imp-questions'!A:H,5,FALSE)</f>
        <v>3</v>
      </c>
      <c r="D36" s="288" t="str">
        <f>VLOOKUP(A36,'imp-questions'!A:H,6,FALSE)</f>
        <v>Do you regularly report on policy and standard compliance, and use that information to guide compliance improvement efforts?</v>
      </c>
      <c r="E36" s="250" t="str">
        <f>CHAR(65+VLOOKUP(A36,'imp-questions'!A:H,8,FALSE))</f>
        <v>P</v>
      </c>
      <c r="F36" s="5"/>
      <c r="G36" s="18">
        <f>IFERROR(VLOOKUP(F36,AnsPTBL,2,FALSE),0)</f>
        <v>0</v>
      </c>
      <c r="H36" s="105">
        <f>IFERROR(AVERAGE(G36,G43),0)</f>
        <v>0</v>
      </c>
      <c r="I36" s="303"/>
      <c r="J36" s="11"/>
      <c r="K36" s="291"/>
      <c r="L36" s="134"/>
      <c r="M36" s="134"/>
      <c r="N36" s="134"/>
      <c r="O36" s="134"/>
      <c r="P36" s="134"/>
      <c r="Q36" s="291"/>
      <c r="R36" s="291"/>
      <c r="S36" s="291"/>
      <c r="T36" s="291"/>
      <c r="U36" s="291"/>
      <c r="V36" s="291"/>
      <c r="W36" s="291"/>
      <c r="X36" s="291"/>
      <c r="Y36" s="291"/>
      <c r="Z36" s="291"/>
    </row>
    <row r="37" spans="1:26" ht="42" x14ac:dyDescent="0.15">
      <c r="B37" s="357"/>
      <c r="C37" s="224"/>
      <c r="D37" s="277" t="str">
        <f>VLOOKUP(A36,'imp-questions'!A:H,7,FALSE)</f>
        <v>You have procedures (automated, if possible) in place, to regularly generate compliance reports
You have ensured compliance reports are delivered to all relevant stakeholders
Stakeholders use the reported compliance status information to identify areas for improvement</v>
      </c>
      <c r="E37" s="251"/>
      <c r="F37" s="260"/>
      <c r="G37" s="256"/>
      <c r="H37" s="261"/>
      <c r="I37" s="321"/>
      <c r="J37" s="11"/>
      <c r="K37" s="291"/>
      <c r="L37" s="134"/>
      <c r="M37" s="134"/>
      <c r="N37" s="134"/>
      <c r="O37" s="134"/>
      <c r="P37" s="134"/>
      <c r="Q37" s="291"/>
      <c r="R37" s="291"/>
      <c r="S37" s="291"/>
      <c r="T37" s="291"/>
      <c r="U37" s="291"/>
      <c r="V37" s="291"/>
      <c r="W37" s="291"/>
      <c r="X37" s="291"/>
      <c r="Y37" s="291"/>
      <c r="Z37" s="291"/>
    </row>
    <row r="38" spans="1:26" x14ac:dyDescent="0.15">
      <c r="B38" s="382"/>
      <c r="C38" s="383"/>
      <c r="D38" s="383"/>
      <c r="E38" s="383"/>
      <c r="F38" s="383"/>
      <c r="G38" s="383"/>
      <c r="H38" s="383"/>
      <c r="I38" s="384"/>
      <c r="J38" s="10"/>
      <c r="K38" s="1"/>
      <c r="L38" s="134"/>
      <c r="M38" s="134"/>
      <c r="N38" s="134"/>
      <c r="O38" s="134"/>
      <c r="P38" s="134"/>
      <c r="Q38" s="1"/>
      <c r="R38" s="1"/>
      <c r="S38" s="1"/>
      <c r="T38" s="1"/>
      <c r="U38" s="1"/>
      <c r="V38" s="1"/>
      <c r="W38" s="1"/>
      <c r="X38" s="1"/>
      <c r="Y38" s="1"/>
      <c r="Z38" s="1"/>
    </row>
    <row r="39" spans="1:26" x14ac:dyDescent="0.15">
      <c r="A39" s="248" t="s">
        <v>554</v>
      </c>
      <c r="B39" s="355" t="str">
        <f>VLOOKUP(A39,'imp-questions'!A:H,4,FALSE)</f>
        <v>Compliance Management</v>
      </c>
      <c r="C39" s="293">
        <f>VLOOKUP(A39,'imp-questions'!A:H,5,FALSE)</f>
        <v>1</v>
      </c>
      <c r="D39" s="288" t="str">
        <f>VLOOKUP(A39,'imp-questions'!A:H,6,FALSE)</f>
        <v>Do you have a complete picture of your external compliance obligations?</v>
      </c>
      <c r="E39" s="250" t="str">
        <f>CHAR(65+VLOOKUP(A39,'imp-questions'!A:H,8,FALSE))</f>
        <v>A</v>
      </c>
      <c r="F39" s="283"/>
      <c r="G39" s="18">
        <f>IFERROR(VLOOKUP(F39,AnsATBL,2,FALSE),0)</f>
        <v>0</v>
      </c>
      <c r="H39" s="281"/>
      <c r="I39" s="381"/>
      <c r="J39" s="11"/>
      <c r="K39" s="1"/>
      <c r="L39" s="134"/>
      <c r="M39" s="134"/>
      <c r="N39" s="134"/>
      <c r="O39" s="134"/>
      <c r="P39" s="134"/>
      <c r="Q39" s="1"/>
      <c r="R39" s="1"/>
      <c r="S39" s="1"/>
      <c r="T39" s="1"/>
      <c r="U39" s="1"/>
      <c r="V39" s="1"/>
      <c r="W39" s="1"/>
      <c r="X39" s="1"/>
      <c r="Y39" s="1"/>
      <c r="Z39" s="1"/>
    </row>
    <row r="40" spans="1:26" ht="28" x14ac:dyDescent="0.15">
      <c r="B40" s="356"/>
      <c r="C40" s="224"/>
      <c r="D40" s="277" t="str">
        <f>VLOOKUP(A39,'imp-questions'!A:H,7,FALSE)</f>
        <v>You have identified all sources of external compliance obligations
You have captured and reconciled compliance obligations from all sources</v>
      </c>
      <c r="E40" s="255"/>
      <c r="F40" s="27"/>
      <c r="G40" s="22"/>
      <c r="H40" s="117"/>
      <c r="I40" s="316"/>
      <c r="J40" s="11"/>
      <c r="K40" s="1"/>
      <c r="L40" s="134"/>
      <c r="M40" s="134"/>
      <c r="N40" s="134"/>
      <c r="O40" s="134"/>
      <c r="P40" s="134"/>
      <c r="Q40" s="1"/>
      <c r="R40" s="1"/>
      <c r="S40" s="1"/>
      <c r="T40" s="1"/>
      <c r="U40" s="1"/>
      <c r="V40" s="1"/>
      <c r="W40" s="1"/>
      <c r="X40" s="1"/>
      <c r="Y40" s="1"/>
      <c r="Z40" s="1"/>
    </row>
    <row r="41" spans="1:26" ht="28" x14ac:dyDescent="0.15">
      <c r="A41" s="248" t="s">
        <v>555</v>
      </c>
      <c r="B41" s="356"/>
      <c r="C41" s="293">
        <f>VLOOKUP(A41,'imp-questions'!A:H,5,FALSE)</f>
        <v>2</v>
      </c>
      <c r="D41" s="288" t="str">
        <f>VLOOKUP(A41,'imp-questions'!A:H,6,FALSE)</f>
        <v>Do you have a standard set of security requirements, and verification procedures, addressing the organization's external compliance obligations?</v>
      </c>
      <c r="E41" s="250" t="str">
        <f>CHAR(65+VLOOKUP(A41,'imp-questions'!A:H,8,FALSE))</f>
        <v>A</v>
      </c>
      <c r="F41" s="283"/>
      <c r="G41" s="18">
        <f>IFERROR(VLOOKUP(F41,AnsATBL,2,FALSE),0)</f>
        <v>0</v>
      </c>
      <c r="H41" s="281"/>
      <c r="I41" s="303"/>
      <c r="J41" s="11"/>
      <c r="K41" s="291"/>
      <c r="L41" s="134"/>
      <c r="M41" s="134"/>
      <c r="N41" s="134"/>
      <c r="O41" s="134"/>
      <c r="P41" s="134"/>
      <c r="Q41" s="291"/>
      <c r="R41" s="291"/>
      <c r="S41" s="291"/>
      <c r="T41" s="291"/>
      <c r="U41" s="291"/>
      <c r="V41" s="291"/>
      <c r="W41" s="291"/>
      <c r="X41" s="291"/>
      <c r="Y41" s="291"/>
      <c r="Z41" s="291"/>
    </row>
    <row r="42" spans="1:26" ht="42" x14ac:dyDescent="0.15">
      <c r="B42" s="356"/>
      <c r="C42" s="224"/>
      <c r="D42" s="277" t="str">
        <f>VLOOKUP(A41,'imp-questions'!A:H,7,FALSE)</f>
        <v>You have mapped each external compliance obligation to a well-defined set of application requirements
You have defined verification procedures, including automated tests (when possible), to verify compliance with compliance-related requirements</v>
      </c>
      <c r="E42" s="255"/>
      <c r="F42" s="27"/>
      <c r="G42" s="22"/>
      <c r="H42" s="117"/>
      <c r="I42" s="316"/>
      <c r="J42" s="11"/>
      <c r="K42" s="291"/>
      <c r="L42" s="134"/>
      <c r="M42" s="134"/>
      <c r="N42" s="134"/>
      <c r="O42" s="134"/>
      <c r="P42" s="134"/>
      <c r="Q42" s="291"/>
      <c r="R42" s="291"/>
      <c r="S42" s="291"/>
      <c r="T42" s="291"/>
      <c r="U42" s="291"/>
      <c r="V42" s="291"/>
      <c r="W42" s="291"/>
      <c r="X42" s="291"/>
      <c r="Y42" s="291"/>
      <c r="Z42" s="291"/>
    </row>
    <row r="43" spans="1:26" ht="28" x14ac:dyDescent="0.15">
      <c r="A43" s="248" t="s">
        <v>556</v>
      </c>
      <c r="B43" s="356"/>
      <c r="C43" s="293">
        <f>VLOOKUP(A43,'imp-questions'!A:H,5,FALSE)</f>
        <v>3</v>
      </c>
      <c r="D43" s="288" t="str">
        <f>VLOOKUP(A43,'imp-questions'!A:H,6,FALSE)</f>
        <v>Do you regularly report on adherence to external compliance obligations, and use that information to guide efforts to close compliance gaps?</v>
      </c>
      <c r="E43" s="250" t="str">
        <f>CHAR(65+VLOOKUP(A43,'imp-questions'!A:H,8,FALSE))</f>
        <v>A</v>
      </c>
      <c r="F43" s="283"/>
      <c r="G43" s="18">
        <f>IFERROR(VLOOKUP(F43,AnsATBL,2,FALSE),0)</f>
        <v>0</v>
      </c>
      <c r="H43" s="281"/>
      <c r="I43" s="303"/>
      <c r="J43" s="11"/>
      <c r="K43" s="1"/>
      <c r="L43" s="134"/>
      <c r="M43" s="134"/>
      <c r="N43" s="134"/>
      <c r="O43" s="134"/>
      <c r="P43" s="134"/>
      <c r="Q43" s="1"/>
      <c r="R43" s="1"/>
      <c r="S43" s="1"/>
      <c r="T43" s="1"/>
      <c r="U43" s="1"/>
      <c r="V43" s="1"/>
      <c r="W43" s="1"/>
      <c r="X43" s="1"/>
      <c r="Y43" s="1"/>
      <c r="Z43" s="1"/>
    </row>
    <row r="44" spans="1:26" ht="42" x14ac:dyDescent="0.15">
      <c r="B44" s="357"/>
      <c r="C44" s="224"/>
      <c r="D44" s="269" t="str">
        <f>VLOOKUP(A43,'imp-questions'!A:H,7,FALSE)</f>
        <v xml:space="preserve">You have established, well-defined compliance metrics
You measure and report on applications' compliance metrics following a regular cadence
Stakeholders use the reported compliance status information to identify compliance gaps, and prioritize gap remediation efforts </v>
      </c>
      <c r="E44" s="255"/>
      <c r="F44" s="27"/>
      <c r="G44" s="22"/>
      <c r="H44" s="117"/>
      <c r="I44" s="316"/>
      <c r="J44" s="11"/>
      <c r="K44" s="1"/>
      <c r="L44" s="134"/>
      <c r="M44" s="134"/>
      <c r="N44" s="134"/>
      <c r="O44" s="134"/>
      <c r="P44" s="134"/>
      <c r="Q44" s="1"/>
      <c r="R44" s="1"/>
      <c r="S44" s="1"/>
      <c r="T44" s="1"/>
      <c r="U44" s="1"/>
      <c r="V44" s="1"/>
      <c r="W44" s="1"/>
      <c r="X44" s="1"/>
      <c r="Y44" s="1"/>
      <c r="Z44" s="1"/>
    </row>
    <row r="45" spans="1:26" x14ac:dyDescent="0.15">
      <c r="B45" s="368" t="s">
        <v>34</v>
      </c>
      <c r="C45" s="369"/>
      <c r="D45" s="370"/>
      <c r="E45" s="239"/>
      <c r="F45" s="71" t="s">
        <v>70</v>
      </c>
      <c r="G45" s="71"/>
      <c r="H45" s="119"/>
      <c r="I45" s="70" t="s">
        <v>26</v>
      </c>
      <c r="J45" s="70" t="s">
        <v>68</v>
      </c>
      <c r="K45" s="1"/>
      <c r="L45" s="134"/>
      <c r="M45" s="134"/>
      <c r="N45" s="134"/>
      <c r="O45" s="134"/>
      <c r="P45" s="134"/>
      <c r="Q45" s="1"/>
      <c r="R45" s="1"/>
      <c r="S45" s="1"/>
      <c r="T45" s="1"/>
      <c r="U45" s="1"/>
      <c r="V45" s="1"/>
      <c r="W45" s="1"/>
      <c r="X45" s="1"/>
      <c r="Y45" s="1"/>
      <c r="Z45" s="1"/>
    </row>
    <row r="46" spans="1:26" x14ac:dyDescent="0.15">
      <c r="A46" s="245" t="s">
        <v>268</v>
      </c>
      <c r="B46" s="355" t="str">
        <f>VLOOKUP(A46,'imp-questions'!A:H,4,FALSE)</f>
        <v>Training and Awareness</v>
      </c>
      <c r="C46" s="293">
        <f>VLOOKUP(A46,'imp-questions'!A:H,5,FALSE)</f>
        <v>1</v>
      </c>
      <c r="D46" s="288" t="str">
        <f>VLOOKUP(A46,'imp-questions'!A:H,6,FALSE)</f>
        <v>Do you require employees involved with application development to take SDLC training?</v>
      </c>
      <c r="E46" s="250" t="str">
        <f>CHAR(65+VLOOKUP(A46,'imp-questions'!A:H,8,FALSE))</f>
        <v>B</v>
      </c>
      <c r="F46" s="5"/>
      <c r="G46" s="18">
        <f>IFERROR(VLOOKUP(F46,AnsBTBL,2,FALSE),0)</f>
        <v>0</v>
      </c>
      <c r="H46" s="298">
        <v>0</v>
      </c>
      <c r="I46" s="325"/>
      <c r="J46" s="388">
        <v>0</v>
      </c>
      <c r="K46" s="1"/>
      <c r="L46" s="134"/>
      <c r="M46" s="134"/>
      <c r="N46" s="134"/>
      <c r="O46" s="134"/>
      <c r="P46" s="134"/>
      <c r="Q46" s="1"/>
      <c r="R46" s="1"/>
      <c r="S46" s="1"/>
      <c r="T46" s="1"/>
      <c r="U46" s="1"/>
      <c r="V46" s="1"/>
      <c r="W46" s="1"/>
      <c r="X46" s="1"/>
      <c r="Y46" s="1"/>
      <c r="Z46" s="1"/>
    </row>
    <row r="47" spans="1:26" ht="112" x14ac:dyDescent="0.15">
      <c r="B47" s="356"/>
      <c r="C47" s="224"/>
      <c r="D47" s="277" t="str">
        <f>VLOOKUP(A46,'imp-questions'!A:H,7,FALSE)</f>
        <v xml:space="preserve">Training is repeatable, consistent, and available to anyone involved with software development lifecycle.
Training includes the latest OWASP Top 10 if appropriate.
Training includes multiple concepts such as Least Privilege, Defense-in-Depth, Fail Secure (Safe), Complete Mediation, Session Management, Open Design, and Psychological Acceptability.
Training requires a sign-off or an acknowledgement from each attendee.
The training been updated in the last 12 months.
Employees are required to go through the training during the onboarding process.
</v>
      </c>
      <c r="E47" s="255"/>
      <c r="F47" s="260"/>
      <c r="G47" s="256"/>
      <c r="H47" s="299"/>
      <c r="I47" s="326"/>
      <c r="J47" s="389"/>
      <c r="K47" s="1"/>
      <c r="L47" s="134"/>
      <c r="M47" s="134"/>
      <c r="N47" s="134"/>
      <c r="O47" s="134"/>
      <c r="P47" s="134"/>
      <c r="Q47" s="1"/>
      <c r="R47" s="1"/>
      <c r="S47" s="1"/>
      <c r="T47" s="1"/>
      <c r="U47" s="1"/>
      <c r="V47" s="1"/>
      <c r="W47" s="1"/>
      <c r="X47" s="1"/>
      <c r="Y47" s="1"/>
      <c r="Z47" s="1"/>
    </row>
    <row r="48" spans="1:26" x14ac:dyDescent="0.15">
      <c r="A48" s="245" t="s">
        <v>272</v>
      </c>
      <c r="B48" s="356"/>
      <c r="C48" s="293">
        <f>VLOOKUP(A48,'imp-questions'!A:H,5,FALSE)</f>
        <v>2</v>
      </c>
      <c r="D48" s="288" t="str">
        <f>VLOOKUP(A48,'imp-questions'!A:H,6,FALSE)</f>
        <v>Has the training been customized for individual roles, such as developers, testers, or security champions?</v>
      </c>
      <c r="E48" s="252" t="str">
        <f>CHAR(65+VLOOKUP(A48,'imp-questions'!A:H,8,FALSE))</f>
        <v>C</v>
      </c>
      <c r="F48" s="19"/>
      <c r="G48" s="18">
        <f>IFERROR(VLOOKUP(F48,AnsCTBL,2,FALSE),0)</f>
        <v>0</v>
      </c>
      <c r="H48" s="300">
        <v>0</v>
      </c>
      <c r="I48" s="317"/>
      <c r="J48" s="301"/>
      <c r="K48" s="291"/>
      <c r="L48" s="134"/>
      <c r="M48" s="134"/>
      <c r="N48" s="134"/>
      <c r="O48" s="134"/>
      <c r="P48" s="134"/>
      <c r="Q48" s="291"/>
      <c r="R48" s="291"/>
      <c r="S48" s="291"/>
      <c r="T48" s="291"/>
      <c r="U48" s="291"/>
      <c r="V48" s="291"/>
      <c r="W48" s="291"/>
      <c r="X48" s="291"/>
      <c r="Y48" s="291"/>
      <c r="Z48" s="291"/>
    </row>
    <row r="49" spans="1:26" ht="84" x14ac:dyDescent="0.15">
      <c r="B49" s="356"/>
      <c r="C49" s="224"/>
      <c r="D49" s="277" t="str">
        <f>VLOOKUP(A48,'imp-questions'!A:H,7,FALSE)</f>
        <v xml:space="preserve">Training includes all topics covered within maturity level 1, and adds more specific tools, techniques, and demonstrations
Training is mandatory for all employees and contractors.
The training includes input from in-house SMEs and trainees.
Training includes demonstrations of tools and techniques developed in-house.
Feedback collected post training is used to enhance and make future training more relevant.
</v>
      </c>
      <c r="E49" s="255"/>
      <c r="F49" s="260"/>
      <c r="G49" s="256"/>
      <c r="H49" s="302"/>
      <c r="I49" s="318"/>
      <c r="J49" s="301"/>
      <c r="K49" s="291"/>
      <c r="L49" s="134"/>
      <c r="M49" s="134"/>
      <c r="N49" s="134"/>
      <c r="O49" s="134"/>
      <c r="P49" s="134"/>
      <c r="Q49" s="291"/>
      <c r="R49" s="291"/>
      <c r="S49" s="291"/>
      <c r="T49" s="291"/>
      <c r="U49" s="291"/>
      <c r="V49" s="291"/>
      <c r="W49" s="291"/>
      <c r="X49" s="291"/>
      <c r="Y49" s="291"/>
      <c r="Z49" s="291"/>
    </row>
    <row r="50" spans="1:26" x14ac:dyDescent="0.15">
      <c r="A50" s="245" t="s">
        <v>275</v>
      </c>
      <c r="B50" s="356"/>
      <c r="C50" s="293">
        <f>VLOOKUP(A50,'imp-questions'!A:H,5,FALSE)</f>
        <v>3</v>
      </c>
      <c r="D50" s="288" t="str">
        <f>VLOOKUP(A50,'imp-questions'!A:H,6,FALSE)</f>
        <v>Have you implemented a Learning Management System or equivalent to track employee training / certification processes?</v>
      </c>
      <c r="E50" s="252" t="str">
        <f>CHAR(65+VLOOKUP(A50,'imp-questions'!A:H,8,FALSE))</f>
        <v>D</v>
      </c>
      <c r="F50" s="19"/>
      <c r="G50" s="18">
        <f>IFERROR(VLOOKUP(F50,AnsDTBL,2,FALSE),0)</f>
        <v>0</v>
      </c>
      <c r="H50" s="300">
        <v>0</v>
      </c>
      <c r="I50" s="336"/>
      <c r="J50" s="301"/>
      <c r="K50" s="1"/>
      <c r="L50" s="134"/>
      <c r="M50" s="134"/>
      <c r="N50" s="134"/>
      <c r="O50" s="134"/>
      <c r="P50" s="134"/>
      <c r="Q50" s="1"/>
      <c r="R50" s="1"/>
      <c r="S50" s="1"/>
      <c r="T50" s="1"/>
      <c r="U50" s="1"/>
      <c r="V50" s="1"/>
      <c r="W50" s="1"/>
      <c r="X50" s="1"/>
      <c r="Y50" s="1"/>
      <c r="Z50" s="1"/>
    </row>
    <row r="51" spans="1:26" ht="70" x14ac:dyDescent="0.15">
      <c r="B51" s="357"/>
      <c r="C51" s="259"/>
      <c r="D51" s="269" t="str">
        <f>VLOOKUP(A50,'imp-questions'!A:H,7,FALSE)</f>
        <v xml:space="preserve">A Learning Management System (LMS) is used to track training and any certifications
Training is based on internal standards, policies, and procedures instead of general "best-practices"
Training is mandatory, and the certification program or attendance record is used to determine access to development systems and resources.
</v>
      </c>
      <c r="E51" s="255"/>
      <c r="F51" s="260"/>
      <c r="G51" s="256"/>
      <c r="H51" s="302"/>
      <c r="I51" s="318"/>
      <c r="J51" s="301"/>
      <c r="K51" s="1"/>
      <c r="L51" s="134"/>
      <c r="M51" s="134"/>
      <c r="N51" s="134"/>
      <c r="O51" s="134"/>
      <c r="P51" s="134"/>
      <c r="Q51" s="1"/>
      <c r="R51" s="1"/>
      <c r="S51" s="1"/>
      <c r="T51" s="1"/>
      <c r="U51" s="1"/>
      <c r="V51" s="1"/>
      <c r="W51" s="1"/>
      <c r="X51" s="1"/>
      <c r="Y51" s="1"/>
      <c r="Z51" s="1"/>
    </row>
    <row r="52" spans="1:26" x14ac:dyDescent="0.15">
      <c r="B52" s="330"/>
      <c r="C52" s="331"/>
      <c r="D52" s="331"/>
      <c r="E52" s="331"/>
      <c r="F52" s="331"/>
      <c r="G52" s="331"/>
      <c r="H52" s="331"/>
      <c r="I52" s="332"/>
      <c r="J52" s="11"/>
      <c r="K52" s="1"/>
      <c r="L52" s="134"/>
      <c r="M52" s="134"/>
      <c r="N52" s="134"/>
      <c r="O52" s="134"/>
      <c r="P52" s="134"/>
      <c r="Q52" s="1"/>
      <c r="R52" s="1"/>
      <c r="S52" s="1"/>
      <c r="T52" s="1"/>
      <c r="U52" s="1"/>
      <c r="V52" s="1"/>
      <c r="W52" s="1"/>
      <c r="X52" s="1"/>
      <c r="Y52" s="1"/>
      <c r="Z52" s="1"/>
    </row>
    <row r="53" spans="1:26" x14ac:dyDescent="0.15">
      <c r="A53" s="245" t="s">
        <v>277</v>
      </c>
      <c r="B53" s="355" t="str">
        <f>VLOOKUP(A53,'imp-questions'!A:H,4,FALSE)</f>
        <v>Organization and Culture</v>
      </c>
      <c r="C53" s="293">
        <f>VLOOKUP(A53,'imp-questions'!A:H,5,FALSE)</f>
        <v>1</v>
      </c>
      <c r="D53" s="288" t="str">
        <f>VLOOKUP(A53,'imp-questions'!A:H,6,FALSE)</f>
        <v>Have you identified a "Security Champion" for each development team?</v>
      </c>
      <c r="E53" s="250" t="str">
        <f>CHAR(65+VLOOKUP(A53,'imp-questions'!A:H,8,FALSE))</f>
        <v>E</v>
      </c>
      <c r="F53" s="5"/>
      <c r="G53" s="18">
        <f>IFERROR(VLOOKUP(F53,AnsETBL,2,FALSE),0)</f>
        <v>0</v>
      </c>
      <c r="H53" s="105"/>
      <c r="I53" s="303"/>
      <c r="J53" s="11"/>
      <c r="K53" s="1"/>
      <c r="L53" s="134"/>
      <c r="M53" s="134"/>
      <c r="N53" s="134"/>
      <c r="O53" s="134"/>
      <c r="P53" s="134"/>
      <c r="Q53" s="1"/>
      <c r="R53" s="1"/>
      <c r="S53" s="1"/>
      <c r="T53" s="1"/>
      <c r="U53" s="1"/>
      <c r="V53" s="1"/>
      <c r="W53" s="1"/>
      <c r="X53" s="1"/>
      <c r="Y53" s="1"/>
      <c r="Z53" s="1"/>
    </row>
    <row r="54" spans="1:26" ht="84" x14ac:dyDescent="0.15">
      <c r="B54" s="356"/>
      <c r="C54" s="224"/>
      <c r="D54" s="277" t="str">
        <f>VLOOKUP(A53,'imp-questions'!A:H,7,FALSE)</f>
        <v xml:space="preserve">Each development team has a Security Champion assigned to them
Security Champions receive appropriate training to ensure effectiveness
Application Security and Development teams receive periodic briefings from Security Champions on the overall status of security initiatives and fixes
Results of external testing are reviewed by the Security Champion prior to adding to the application backlog
</v>
      </c>
      <c r="E54" s="251"/>
      <c r="F54" s="260"/>
      <c r="G54" s="256"/>
      <c r="H54" s="261"/>
      <c r="I54" s="304"/>
      <c r="J54" s="11"/>
      <c r="K54" s="1"/>
      <c r="L54" s="134"/>
      <c r="M54" s="134"/>
      <c r="N54" s="134"/>
      <c r="O54" s="134"/>
      <c r="P54" s="134"/>
      <c r="Q54" s="1"/>
      <c r="R54" s="1"/>
      <c r="S54" s="1"/>
      <c r="T54" s="1"/>
      <c r="U54" s="1"/>
      <c r="V54" s="1"/>
      <c r="W54" s="1"/>
      <c r="X54" s="1"/>
      <c r="Y54" s="1"/>
      <c r="Z54" s="1"/>
    </row>
    <row r="55" spans="1:26" x14ac:dyDescent="0.15">
      <c r="A55" s="245" t="s">
        <v>280</v>
      </c>
      <c r="B55" s="356"/>
      <c r="C55" s="293">
        <f>VLOOKUP(A55,'imp-questions'!A:H,5,FALSE)</f>
        <v>2</v>
      </c>
      <c r="D55" s="288" t="str">
        <f>VLOOKUP(A55,'imp-questions'!A:H,6,FALSE)</f>
        <v>Does the organization have a Secure Software Center of Excellence (SSCE)?</v>
      </c>
      <c r="E55" s="250" t="str">
        <f>CHAR(65+VLOOKUP(A55,'imp-questions'!A:H,8,FALSE))</f>
        <v>F</v>
      </c>
      <c r="F55" s="19"/>
      <c r="G55" s="18">
        <f>IFERROR(VLOOKUP(F55,AnsFTBL,2,FALSE),0)</f>
        <v>0</v>
      </c>
      <c r="H55" s="105"/>
      <c r="I55" s="303"/>
      <c r="J55" s="11"/>
      <c r="K55" s="291"/>
      <c r="L55" s="134"/>
      <c r="M55" s="134"/>
      <c r="N55" s="134"/>
      <c r="O55" s="134"/>
      <c r="P55" s="134"/>
      <c r="Q55" s="291"/>
      <c r="R55" s="291"/>
      <c r="S55" s="291"/>
      <c r="T55" s="291"/>
      <c r="U55" s="291"/>
      <c r="V55" s="291"/>
      <c r="W55" s="291"/>
      <c r="X55" s="291"/>
      <c r="Y55" s="291"/>
      <c r="Z55" s="291"/>
    </row>
    <row r="56" spans="1:26" ht="70" x14ac:dyDescent="0.15">
      <c r="B56" s="356"/>
      <c r="C56" s="224"/>
      <c r="D56" s="277" t="str">
        <f>VLOOKUP(A55,'imp-questions'!A:H,7,FALSE)</f>
        <v xml:space="preserve">The SSCE has a formal charter defining its role in the organization.
Development teams review all significant architectural changes with SSCE
The SSCE publishes SDLC standards and guidelines related to Application Security
Identified "Product Champions" are responsible for promotion of use and specific security tools.
</v>
      </c>
      <c r="E56" s="255"/>
      <c r="F56" s="260"/>
      <c r="G56" s="256"/>
      <c r="H56" s="261"/>
      <c r="I56" s="321"/>
      <c r="J56" s="11"/>
      <c r="K56" s="291"/>
      <c r="L56" s="134"/>
      <c r="M56" s="134"/>
      <c r="N56" s="134"/>
      <c r="O56" s="134"/>
      <c r="P56" s="134"/>
      <c r="Q56" s="291"/>
      <c r="R56" s="291"/>
      <c r="S56" s="291"/>
      <c r="T56" s="291"/>
      <c r="U56" s="291"/>
      <c r="V56" s="291"/>
      <c r="W56" s="291"/>
      <c r="X56" s="291"/>
      <c r="Y56" s="291"/>
      <c r="Z56" s="291"/>
    </row>
    <row r="57" spans="1:26" ht="28" x14ac:dyDescent="0.15">
      <c r="A57" s="245" t="s">
        <v>282</v>
      </c>
      <c r="B57" s="356"/>
      <c r="C57" s="293">
        <f>VLOOKUP(A57,'imp-questions'!A:H,5,FALSE)</f>
        <v>3</v>
      </c>
      <c r="D57" s="288" t="str">
        <f>VLOOKUP(A57,'imp-questions'!A:H,6,FALSE)</f>
        <v>Is there a centralized portal where developers and application security professionals from different teams and business units are able to communicate and share information?</v>
      </c>
      <c r="E57" s="250" t="str">
        <f>CHAR(65+VLOOKUP(A57,'imp-questions'!A:H,8,FALSE))</f>
        <v>F</v>
      </c>
      <c r="F57" s="19"/>
      <c r="G57" s="18">
        <f>IFERROR(VLOOKUP(F57,AnsFTBL,2,FALSE),0)</f>
        <v>0</v>
      </c>
      <c r="H57" s="105"/>
      <c r="I57" s="303"/>
      <c r="J57" s="11"/>
      <c r="K57" s="1"/>
      <c r="L57" s="134"/>
      <c r="M57" s="134"/>
      <c r="N57" s="134"/>
      <c r="O57" s="134"/>
      <c r="P57" s="134"/>
      <c r="Q57" s="1"/>
      <c r="R57" s="1"/>
      <c r="S57" s="1"/>
      <c r="T57" s="1"/>
      <c r="U57" s="1"/>
      <c r="V57" s="1"/>
      <c r="W57" s="1"/>
      <c r="X57" s="1"/>
      <c r="Y57" s="1"/>
      <c r="Z57" s="1"/>
    </row>
    <row r="58" spans="1:26" ht="112" x14ac:dyDescent="0.15">
      <c r="B58" s="357"/>
      <c r="C58" s="259"/>
      <c r="D58" s="269" t="str">
        <f>VLOOKUP(A57,'imp-questions'!A:H,7,FALSE)</f>
        <v xml:space="preserve">Organization promotes use of a single portal across different teams and business units
The portal is used for timely information such as notification of security incidents, tool updates, architectural standard changes, and other related announcements
The portal is widely recognized by developers and architects as a centralized repository of the organization-specific application security information
All content should be considered persistent and searchable
The portal provides access to application-specific security metrics
</v>
      </c>
      <c r="E58" s="255"/>
      <c r="F58" s="260"/>
      <c r="G58" s="256"/>
      <c r="H58" s="261"/>
      <c r="I58" s="321"/>
      <c r="J58" s="11"/>
      <c r="K58" s="1"/>
      <c r="L58" s="134"/>
      <c r="M58" s="134"/>
      <c r="N58" s="134"/>
      <c r="O58" s="134"/>
      <c r="P58" s="134"/>
      <c r="Q58" s="1"/>
      <c r="R58" s="1"/>
      <c r="S58" s="1"/>
      <c r="T58" s="1"/>
      <c r="U58" s="1"/>
      <c r="V58" s="1"/>
      <c r="W58" s="1"/>
      <c r="X58" s="1"/>
      <c r="Y58" s="1"/>
      <c r="Z58" s="1"/>
    </row>
    <row r="59" spans="1:26" ht="13" x14ac:dyDescent="0.15">
      <c r="B59" s="334" t="s">
        <v>286</v>
      </c>
      <c r="C59" s="334"/>
      <c r="D59" s="334"/>
      <c r="E59" s="334"/>
      <c r="F59" s="334"/>
      <c r="G59" s="334"/>
      <c r="H59" s="334"/>
      <c r="I59" s="334"/>
      <c r="J59" s="334"/>
      <c r="K59" s="1"/>
      <c r="L59" s="134"/>
      <c r="M59" s="134"/>
      <c r="N59" s="134"/>
      <c r="O59" s="134"/>
      <c r="P59" s="134"/>
      <c r="Q59" s="1"/>
      <c r="R59" s="1"/>
      <c r="S59" s="1"/>
      <c r="T59" s="1"/>
      <c r="U59" s="1"/>
      <c r="V59" s="1"/>
      <c r="W59" s="1"/>
      <c r="X59" s="1"/>
      <c r="Y59" s="1"/>
      <c r="Z59" s="1"/>
    </row>
    <row r="60" spans="1:26" x14ac:dyDescent="0.15">
      <c r="B60" s="396" t="s">
        <v>39</v>
      </c>
      <c r="C60" s="397"/>
      <c r="D60" s="398"/>
      <c r="E60" s="238"/>
      <c r="F60" s="74" t="s">
        <v>70</v>
      </c>
      <c r="G60" s="74"/>
      <c r="H60" s="121"/>
      <c r="I60" s="75" t="s">
        <v>26</v>
      </c>
      <c r="J60" s="75" t="s">
        <v>68</v>
      </c>
      <c r="K60" s="1"/>
      <c r="L60" s="134"/>
      <c r="M60" s="134"/>
      <c r="N60" s="134"/>
      <c r="O60" s="134"/>
      <c r="P60" s="134"/>
      <c r="Q60" s="1"/>
      <c r="R60" s="1"/>
      <c r="S60" s="1"/>
      <c r="T60" s="1"/>
      <c r="U60" s="1"/>
      <c r="V60" s="1"/>
      <c r="W60" s="1"/>
      <c r="X60" s="1"/>
      <c r="Y60" s="1"/>
      <c r="Z60" s="1"/>
    </row>
    <row r="61" spans="1:26" x14ac:dyDescent="0.15">
      <c r="A61" s="245" t="s">
        <v>285</v>
      </c>
      <c r="B61" s="337" t="str">
        <f>VLOOKUP(A61,'imp-questions'!A:H,4,FALSE)</f>
        <v>Application Risk Profile</v>
      </c>
      <c r="C61" s="294">
        <f>VLOOKUP(A61,'imp-questions'!A:H,5,FALSE)</f>
        <v>1</v>
      </c>
      <c r="D61" s="288" t="str">
        <f>VLOOKUP(A61,'imp-questions'!A:H,6,FALSE)</f>
        <v>Are you classifying applications according to business risk based on a simple, but predefined set of questions?</v>
      </c>
      <c r="E61" s="250" t="str">
        <f>CHAR(65+VLOOKUP(A61,'imp-questions'!A:H,8,FALSE))</f>
        <v>B</v>
      </c>
      <c r="F61" s="5"/>
      <c r="G61" s="18">
        <f>IFERROR(VLOOKUP(F61,AnsBTBL,2,FALSE),0)</f>
        <v>0</v>
      </c>
      <c r="H61" s="298">
        <v>0</v>
      </c>
      <c r="I61" s="325"/>
      <c r="J61" s="307">
        <v>0</v>
      </c>
      <c r="K61" s="1"/>
      <c r="L61" s="134"/>
      <c r="M61" s="134"/>
      <c r="N61" s="134"/>
      <c r="O61" s="134"/>
      <c r="P61" s="134"/>
      <c r="Q61" s="1"/>
      <c r="R61" s="1"/>
      <c r="S61" s="1"/>
      <c r="T61" s="1"/>
      <c r="U61" s="1"/>
      <c r="V61" s="1"/>
      <c r="W61" s="1"/>
      <c r="X61" s="1"/>
      <c r="Y61" s="1"/>
      <c r="Z61" s="1"/>
    </row>
    <row r="62" spans="1:26" ht="70" x14ac:dyDescent="0.15">
      <c r="B62" s="338"/>
      <c r="C62" s="224"/>
      <c r="D62" s="277" t="str">
        <f>VLOOKUP(A61,'imp-questions'!A:H,7,FALSE)</f>
        <v xml:space="preserve">A risk classification should exist and be agreed upon
The application team should understand the risk classification
The risk classification covers critical aspects of business risks the organization is facing
The organization has an inventory for the applications in scope
</v>
      </c>
      <c r="E62" s="255"/>
      <c r="F62" s="25"/>
      <c r="G62" s="256"/>
      <c r="H62" s="299"/>
      <c r="I62" s="326"/>
      <c r="J62" s="308"/>
      <c r="K62" s="1"/>
      <c r="L62" s="134"/>
      <c r="M62" s="134"/>
      <c r="N62" s="134"/>
      <c r="O62" s="134"/>
      <c r="P62" s="134"/>
      <c r="Q62" s="1"/>
      <c r="R62" s="1"/>
      <c r="S62" s="1"/>
      <c r="T62" s="1"/>
      <c r="U62" s="1"/>
      <c r="V62" s="1"/>
      <c r="W62" s="1"/>
      <c r="X62" s="1"/>
      <c r="Y62" s="1"/>
      <c r="Z62" s="1"/>
    </row>
    <row r="63" spans="1:26" x14ac:dyDescent="0.15">
      <c r="A63" s="245" t="s">
        <v>290</v>
      </c>
      <c r="B63" s="338"/>
      <c r="C63" s="294">
        <f>VLOOKUP(A63,'imp-questions'!A:H,5,FALSE)</f>
        <v>2</v>
      </c>
      <c r="D63" s="288" t="str">
        <f>VLOOKUP(A63,'imp-questions'!A:H,6,FALSE)</f>
        <v>Are you using centralized and quantified application risk profiles to evaluate business risk?</v>
      </c>
      <c r="E63" s="250" t="str">
        <f>CHAR(65+VLOOKUP(A63,'imp-questions'!A:H,8,FALSE))</f>
        <v>A</v>
      </c>
      <c r="F63" s="279"/>
      <c r="G63" s="18">
        <f>IFERROR(VLOOKUP(F63,AnsATBL,2,FALSE),0)</f>
        <v>0</v>
      </c>
      <c r="H63" s="300">
        <v>0</v>
      </c>
      <c r="I63" s="317"/>
      <c r="J63" s="301"/>
      <c r="K63" s="291"/>
      <c r="L63" s="134"/>
      <c r="M63" s="134"/>
      <c r="N63" s="134"/>
      <c r="O63" s="134"/>
      <c r="P63" s="134"/>
      <c r="Q63" s="291"/>
      <c r="R63" s="291"/>
      <c r="S63" s="291"/>
      <c r="T63" s="291"/>
      <c r="U63" s="291"/>
      <c r="V63" s="291"/>
      <c r="W63" s="291"/>
      <c r="X63" s="291"/>
      <c r="Y63" s="291"/>
      <c r="Z63" s="291"/>
    </row>
    <row r="64" spans="1:26" ht="70" x14ac:dyDescent="0.15">
      <c r="A64"/>
      <c r="B64" s="338"/>
      <c r="C64" s="224"/>
      <c r="D64" s="277" t="str">
        <f>VLOOKUP(A63,'imp-questions'!A:H,7,FALSE)</f>
        <v xml:space="preserve">The application risk profile is in line with the organisational risk standard
The application risk profile must cover impact to security and privacy
The quality of the risk profile is validated using manual and/or automated means
The application risk profiles are stored in a central inventory
</v>
      </c>
      <c r="E64" s="255"/>
      <c r="F64" s="27"/>
      <c r="G64" s="22"/>
      <c r="H64" s="302"/>
      <c r="I64" s="318"/>
      <c r="J64" s="301"/>
      <c r="K64" s="291"/>
      <c r="L64" s="134"/>
      <c r="M64" s="134"/>
      <c r="N64" s="134"/>
      <c r="O64" s="134"/>
      <c r="P64" s="134"/>
      <c r="Q64" s="291"/>
      <c r="R64" s="291"/>
      <c r="S64" s="291"/>
      <c r="T64" s="291"/>
      <c r="U64" s="291"/>
      <c r="V64" s="291"/>
      <c r="W64" s="291"/>
      <c r="X64" s="291"/>
      <c r="Y64" s="291"/>
      <c r="Z64" s="291"/>
    </row>
    <row r="65" spans="1:26" x14ac:dyDescent="0.15">
      <c r="A65" s="245" t="s">
        <v>293</v>
      </c>
      <c r="B65" s="338"/>
      <c r="C65" s="294">
        <f>VLOOKUP(A65,'imp-questions'!A:H,5,FALSE)</f>
        <v>3</v>
      </c>
      <c r="D65" s="288" t="str">
        <f>VLOOKUP(A65,'imp-questions'!A:H,6,FALSE)</f>
        <v>Do you regularly review and update the risk profiles for your applications?</v>
      </c>
      <c r="E65" s="250" t="str">
        <f>CHAR(65+VLOOKUP(A65,'imp-questions'!A:H,8,FALSE))</f>
        <v>R</v>
      </c>
      <c r="F65" s="279"/>
      <c r="G65" s="280">
        <f>IFERROR(VLOOKUP(F65,AnsRTBL,2,FALSE),0)</f>
        <v>0</v>
      </c>
      <c r="H65" s="300">
        <v>0</v>
      </c>
      <c r="I65" s="336"/>
      <c r="J65" s="301"/>
      <c r="K65" s="1"/>
      <c r="L65" s="134"/>
      <c r="M65" s="134"/>
      <c r="N65" s="134"/>
      <c r="O65" s="134"/>
      <c r="P65" s="134"/>
      <c r="Q65" s="1"/>
      <c r="R65" s="1"/>
      <c r="S65" s="1"/>
      <c r="T65" s="1"/>
      <c r="U65" s="1"/>
      <c r="V65" s="1"/>
      <c r="W65" s="1"/>
      <c r="X65" s="1"/>
      <c r="Y65" s="1"/>
      <c r="Z65" s="1"/>
    </row>
    <row r="66" spans="1:26" ht="42" x14ac:dyDescent="0.15">
      <c r="A66"/>
      <c r="B66" s="339"/>
      <c r="C66" s="259"/>
      <c r="D66" s="269" t="str">
        <f>VLOOKUP(A65,'imp-questions'!A:H,7,FALSE)</f>
        <v xml:space="preserve">The organisational risk standard takes into account historical feedback to improve the evaluation method
Significant changes in the application or business context trigger a review of the relevant risk profiles
</v>
      </c>
      <c r="E66" s="255"/>
      <c r="F66" s="27"/>
      <c r="G66" s="22"/>
      <c r="H66" s="302"/>
      <c r="I66" s="318"/>
      <c r="J66" s="301"/>
      <c r="K66" s="1"/>
      <c r="L66" s="134"/>
      <c r="M66" s="134"/>
      <c r="N66" s="134"/>
      <c r="O66" s="134"/>
      <c r="P66" s="134"/>
      <c r="Q66" s="1"/>
      <c r="R66" s="1"/>
      <c r="S66" s="1"/>
      <c r="T66" s="1"/>
      <c r="U66" s="1"/>
      <c r="V66" s="1"/>
      <c r="W66" s="1"/>
      <c r="X66" s="1"/>
      <c r="Y66" s="1"/>
      <c r="Z66" s="1"/>
    </row>
    <row r="67" spans="1:26" x14ac:dyDescent="0.15">
      <c r="A67"/>
      <c r="B67" s="330"/>
      <c r="C67" s="331"/>
      <c r="D67" s="331"/>
      <c r="E67" s="331"/>
      <c r="F67" s="331"/>
      <c r="G67" s="331"/>
      <c r="H67" s="331"/>
      <c r="I67" s="332"/>
      <c r="J67" s="11"/>
      <c r="K67" s="1"/>
      <c r="L67" s="134"/>
      <c r="M67" s="134"/>
      <c r="N67" s="134"/>
      <c r="O67" s="134"/>
      <c r="P67" s="134"/>
      <c r="Q67" s="1"/>
      <c r="R67" s="1"/>
      <c r="S67" s="1"/>
      <c r="T67" s="1"/>
      <c r="U67" s="1"/>
      <c r="V67" s="1"/>
      <c r="W67" s="1"/>
      <c r="X67" s="1"/>
      <c r="Y67" s="1"/>
      <c r="Z67" s="1"/>
    </row>
    <row r="68" spans="1:26" x14ac:dyDescent="0.15">
      <c r="A68" s="245" t="s">
        <v>296</v>
      </c>
      <c r="B68" s="337" t="str">
        <f>VLOOKUP(A68,'imp-questions'!A:H,4,FALSE)</f>
        <v>Threat Modeling</v>
      </c>
      <c r="C68" s="294">
        <f>VLOOKUP(A68,'imp-questions'!A:H,5,FALSE)</f>
        <v>1</v>
      </c>
      <c r="D68" s="288" t="str">
        <f>VLOOKUP(A68,'imp-questions'!A:H,6,FALSE)</f>
        <v>Are you evaluating the technical architecture of your applications for potential threats?</v>
      </c>
      <c r="E68" s="250" t="str">
        <f>CHAR(65+VLOOKUP(A68,'imp-questions'!A:H,8,FALSE))</f>
        <v>B</v>
      </c>
      <c r="F68" s="279"/>
      <c r="G68" s="18">
        <f>IFERROR(VLOOKUP(F68,AnsBTBL,2,FALSE),0)</f>
        <v>0</v>
      </c>
      <c r="H68" s="105"/>
      <c r="I68" s="315"/>
      <c r="J68" s="11"/>
      <c r="K68" s="1"/>
      <c r="L68" s="134"/>
      <c r="M68" s="134"/>
      <c r="N68" s="134"/>
      <c r="O68" s="134"/>
      <c r="P68" s="134"/>
      <c r="Q68" s="1"/>
      <c r="R68" s="1"/>
      <c r="S68" s="1"/>
      <c r="T68" s="1"/>
      <c r="U68" s="1"/>
      <c r="V68" s="1"/>
      <c r="W68" s="1"/>
      <c r="X68" s="1"/>
      <c r="Y68" s="1"/>
      <c r="Z68" s="1"/>
    </row>
    <row r="69" spans="1:26" ht="42" x14ac:dyDescent="0.15">
      <c r="B69" s="338"/>
      <c r="C69" s="224"/>
      <c r="D69" s="277" t="str">
        <f>VLOOKUP(A68,'imp-questions'!A:H,7,FALSE)</f>
        <v xml:space="preserve">Application trust boundaries are being reviewed
Threat identification should cover different types of threats
</v>
      </c>
      <c r="E69" s="255"/>
      <c r="F69" s="27"/>
      <c r="G69" s="22"/>
      <c r="H69" s="117"/>
      <c r="I69" s="316"/>
      <c r="J69" s="11"/>
      <c r="K69" s="1"/>
      <c r="L69" s="134"/>
      <c r="M69" s="134"/>
      <c r="N69" s="134"/>
      <c r="O69" s="134"/>
      <c r="P69" s="134"/>
      <c r="Q69" s="1"/>
      <c r="R69" s="1"/>
      <c r="S69" s="1"/>
      <c r="T69" s="1"/>
      <c r="U69" s="1"/>
      <c r="V69" s="1"/>
      <c r="W69" s="1"/>
      <c r="X69" s="1"/>
      <c r="Y69" s="1"/>
      <c r="Z69" s="1"/>
    </row>
    <row r="70" spans="1:26" x14ac:dyDescent="0.15">
      <c r="A70" s="245" t="s">
        <v>300</v>
      </c>
      <c r="B70" s="338"/>
      <c r="C70" s="294">
        <f>VLOOKUP(A70,'imp-questions'!A:H,5,FALSE)</f>
        <v>2</v>
      </c>
      <c r="D70" s="288" t="str">
        <f>VLOOKUP(A70,'imp-questions'!A:H,6,FALSE)</f>
        <v>Are you using a standard methodology to evaluate the threats to your applications?</v>
      </c>
      <c r="E70" s="250" t="str">
        <f>CHAR(65+VLOOKUP(A70,'imp-questions'!A:H,8,FALSE))</f>
        <v>B</v>
      </c>
      <c r="F70" s="283"/>
      <c r="G70" s="18">
        <f>IFERROR(VLOOKUP(F70,AnsBTBL,2,FALSE),0)</f>
        <v>0</v>
      </c>
      <c r="H70" s="105"/>
      <c r="I70" s="315"/>
      <c r="J70" s="11"/>
      <c r="K70" s="291"/>
      <c r="L70" s="134"/>
      <c r="M70" s="134"/>
      <c r="N70" s="134"/>
      <c r="O70" s="134"/>
      <c r="P70" s="134"/>
      <c r="Q70" s="291"/>
      <c r="R70" s="291"/>
      <c r="S70" s="291"/>
      <c r="T70" s="291"/>
      <c r="U70" s="291"/>
      <c r="V70" s="291"/>
      <c r="W70" s="291"/>
      <c r="X70" s="291"/>
      <c r="Y70" s="291"/>
      <c r="Z70" s="291"/>
    </row>
    <row r="71" spans="1:26" ht="70" x14ac:dyDescent="0.15">
      <c r="A71"/>
      <c r="B71" s="338"/>
      <c r="C71" s="224"/>
      <c r="D71" s="277" t="str">
        <f>VLOOKUP(A70,'imp-questions'!A:H,7,FALSE)</f>
        <v xml:space="preserve">Threat modeling activities should be carried out/supported by people with good understanding of the concept by experience or training
The methodology stipulates the different inputs that are required to perform an in-depth assessment
Threat model deliverables are standardized and accessible across the organisation
</v>
      </c>
      <c r="E71" s="255"/>
      <c r="F71" s="27"/>
      <c r="G71" s="22"/>
      <c r="H71" s="117"/>
      <c r="I71" s="316"/>
      <c r="J71" s="11"/>
      <c r="K71" s="291"/>
      <c r="L71" s="134"/>
      <c r="M71" s="134"/>
      <c r="N71" s="134"/>
      <c r="O71" s="134"/>
      <c r="P71" s="134"/>
      <c r="Q71" s="291"/>
      <c r="R71" s="291"/>
      <c r="S71" s="291"/>
      <c r="T71" s="291"/>
      <c r="U71" s="291"/>
      <c r="V71" s="291"/>
      <c r="W71" s="291"/>
      <c r="X71" s="291"/>
      <c r="Y71" s="291"/>
      <c r="Z71" s="291"/>
    </row>
    <row r="72" spans="1:26" x14ac:dyDescent="0.15">
      <c r="A72" s="245" t="s">
        <v>303</v>
      </c>
      <c r="B72" s="338"/>
      <c r="C72" s="294">
        <f>VLOOKUP(A72,'imp-questions'!A:H,5,FALSE)</f>
        <v>3</v>
      </c>
      <c r="D72" s="288" t="str">
        <f>VLOOKUP(A72,'imp-questions'!A:H,6,FALSE)</f>
        <v>Do you regularly review and update the threat models for your applications?</v>
      </c>
      <c r="E72" s="250" t="str">
        <f>CHAR(65+VLOOKUP(A72,'imp-questions'!A:H,8,FALSE))</f>
        <v>E</v>
      </c>
      <c r="F72" s="283"/>
      <c r="G72" s="18">
        <f>IFERROR(VLOOKUP(F72,AnsETBL,2,FALSE),0)</f>
        <v>0</v>
      </c>
      <c r="H72" s="105"/>
      <c r="I72" s="315"/>
      <c r="J72" s="11"/>
      <c r="K72" s="1"/>
      <c r="L72" s="134"/>
      <c r="M72" s="134"/>
      <c r="N72" s="134"/>
      <c r="O72" s="134"/>
      <c r="P72" s="134"/>
      <c r="Q72" s="1"/>
      <c r="R72" s="1"/>
      <c r="S72" s="1"/>
      <c r="T72" s="1"/>
      <c r="U72" s="1"/>
      <c r="V72" s="1"/>
      <c r="W72" s="1"/>
      <c r="X72" s="1"/>
      <c r="Y72" s="1"/>
      <c r="Z72" s="1"/>
    </row>
    <row r="73" spans="1:26" ht="42" x14ac:dyDescent="0.15">
      <c r="A73"/>
      <c r="B73" s="339"/>
      <c r="C73" s="259"/>
      <c r="D73" s="269" t="str">
        <f>VLOOKUP(A72,'imp-questions'!A:H,7,FALSE)</f>
        <v>The threat model methodology takes into account historical feedback to improve the evaluation method
Changes in the application or business context trigger a review of the relevant threat models
Threat models are independently evaluated for their quality</v>
      </c>
      <c r="E73" s="255"/>
      <c r="F73" s="27"/>
      <c r="G73" s="22"/>
      <c r="H73" s="117"/>
      <c r="I73" s="316"/>
      <c r="J73" s="11"/>
      <c r="K73" s="1"/>
      <c r="L73" s="134"/>
      <c r="M73" s="134"/>
      <c r="N73" s="134"/>
      <c r="O73" s="134"/>
      <c r="P73" s="134"/>
      <c r="Q73" s="1"/>
      <c r="R73" s="1"/>
      <c r="S73" s="1"/>
      <c r="T73" s="1"/>
      <c r="U73" s="1"/>
      <c r="V73" s="1"/>
      <c r="W73" s="1"/>
      <c r="X73" s="1"/>
      <c r="Y73" s="1"/>
      <c r="Z73" s="1"/>
    </row>
    <row r="74" spans="1:26" x14ac:dyDescent="0.15">
      <c r="A74"/>
      <c r="B74" s="393" t="s">
        <v>43</v>
      </c>
      <c r="C74" s="394"/>
      <c r="D74" s="395"/>
      <c r="E74" s="237"/>
      <c r="F74" s="76" t="s">
        <v>70</v>
      </c>
      <c r="G74" s="76"/>
      <c r="H74" s="122"/>
      <c r="I74" s="75" t="s">
        <v>26</v>
      </c>
      <c r="J74" s="75" t="s">
        <v>68</v>
      </c>
      <c r="K74" s="1"/>
      <c r="L74" s="134"/>
      <c r="M74" s="134"/>
      <c r="N74" s="134"/>
      <c r="O74" s="134"/>
      <c r="P74" s="134"/>
      <c r="Q74" s="1"/>
      <c r="R74" s="1"/>
      <c r="S74" s="1"/>
      <c r="T74" s="1"/>
      <c r="U74" s="1"/>
      <c r="V74" s="1"/>
      <c r="W74" s="1"/>
      <c r="X74" s="1"/>
      <c r="Y74" s="1"/>
      <c r="Z74" s="1"/>
    </row>
    <row r="75" spans="1:26" x14ac:dyDescent="0.15">
      <c r="A75" s="245" t="s">
        <v>305</v>
      </c>
      <c r="B75" s="337" t="str">
        <f>VLOOKUP(A75,'imp-questions'!A:H,4,FALSE)</f>
        <v>Software Requirements</v>
      </c>
      <c r="C75" s="294">
        <f>VLOOKUP(A75,'imp-questions'!A:H,5,FALSE)</f>
        <v>1</v>
      </c>
      <c r="D75" s="288" t="str">
        <f>VLOOKUP(A75,'imp-questions'!A:H,6,FALSE)</f>
        <v>Do project teams specify security requirements during development?</v>
      </c>
      <c r="E75" s="250" t="str">
        <f>CHAR(65+VLOOKUP(A75,'imp-questions'!A:H,8,FALSE))</f>
        <v>E</v>
      </c>
      <c r="F75" s="279"/>
      <c r="G75" s="18">
        <f>IFERROR(VLOOKUP(F75,AnsETBL,2,FALSE),0)</f>
        <v>0</v>
      </c>
      <c r="H75" s="298">
        <v>0</v>
      </c>
      <c r="I75" s="325"/>
      <c r="J75" s="307">
        <v>0</v>
      </c>
      <c r="K75" s="1"/>
      <c r="L75" s="134"/>
      <c r="M75" s="134"/>
      <c r="N75" s="134"/>
      <c r="O75" s="134"/>
      <c r="P75" s="134"/>
      <c r="Q75" s="1"/>
      <c r="R75" s="1"/>
      <c r="S75" s="1"/>
      <c r="T75" s="1"/>
      <c r="U75" s="1"/>
      <c r="V75" s="1"/>
      <c r="W75" s="1"/>
      <c r="X75" s="1"/>
      <c r="Y75" s="1"/>
      <c r="Z75" s="1"/>
    </row>
    <row r="76" spans="1:26" ht="56" x14ac:dyDescent="0.15">
      <c r="A76"/>
      <c r="B76" s="338"/>
      <c r="C76" s="224"/>
      <c r="D76" s="277" t="str">
        <f>VLOOKUP(A75,'imp-questions'!A:H,7,FALSE)</f>
        <v xml:space="preserve">Security requirements are derived from functional requirements and customer/organization concerns.
Security requirements are specific, measurable, and reasonable.
Security requirements are in line with the organisational baseline.
</v>
      </c>
      <c r="E76" s="255"/>
      <c r="F76" s="27"/>
      <c r="G76" s="22"/>
      <c r="H76" s="299"/>
      <c r="I76" s="326"/>
      <c r="J76" s="308"/>
      <c r="K76" s="1"/>
      <c r="L76" s="134"/>
      <c r="M76" s="134"/>
      <c r="N76" s="134"/>
      <c r="O76" s="134"/>
      <c r="P76" s="134"/>
      <c r="Q76" s="1"/>
      <c r="R76" s="1"/>
      <c r="S76" s="1"/>
      <c r="T76" s="1"/>
      <c r="U76" s="1"/>
      <c r="V76" s="1"/>
      <c r="W76" s="1"/>
      <c r="X76" s="1"/>
      <c r="Y76" s="1"/>
      <c r="Z76" s="1"/>
    </row>
    <row r="77" spans="1:26" x14ac:dyDescent="0.15">
      <c r="A77" s="245" t="s">
        <v>308</v>
      </c>
      <c r="B77" s="338"/>
      <c r="C77" s="294">
        <f>VLOOKUP(A77,'imp-questions'!A:H,5,FALSE)</f>
        <v>2</v>
      </c>
      <c r="D77" s="288" t="str">
        <f>VLOOKUP(A77,'imp-questions'!A:H,6,FALSE)</f>
        <v>Are the artifacts of the security requirements gathering process well defined and structured, with prioritization?</v>
      </c>
      <c r="E77" s="250" t="str">
        <f>CHAR(65+VLOOKUP(A77,'imp-questions'!A:H,8,FALSE))</f>
        <v>B</v>
      </c>
      <c r="F77" s="284"/>
      <c r="G77" s="18">
        <f>IFERROR(VLOOKUP(F77,AnsBTBL,2,FALSE),0)</f>
        <v>0</v>
      </c>
      <c r="H77" s="300">
        <v>0</v>
      </c>
      <c r="I77" s="317"/>
      <c r="J77" s="301"/>
      <c r="K77" s="291"/>
      <c r="L77" s="134"/>
      <c r="M77" s="134"/>
      <c r="N77" s="134"/>
      <c r="O77" s="134"/>
      <c r="P77" s="134"/>
      <c r="Q77" s="291"/>
      <c r="R77" s="291"/>
      <c r="S77" s="291"/>
      <c r="T77" s="291"/>
      <c r="U77" s="291"/>
      <c r="V77" s="291"/>
      <c r="W77" s="291"/>
      <c r="X77" s="291"/>
      <c r="Y77" s="291"/>
      <c r="Z77" s="291"/>
    </row>
    <row r="78" spans="1:26" ht="84" x14ac:dyDescent="0.15">
      <c r="A78"/>
      <c r="B78" s="338"/>
      <c r="C78" s="224"/>
      <c r="D78" s="277" t="str">
        <f>VLOOKUP(A77,'imp-questions'!A:H,7,FALSE)</f>
        <v xml:space="preserve">Security requirements take into consideration domain specific knowledge when applying policies and guidance to product development.
Domain experts are involved in the requirements definition process.
An agreed upon structured notation exists for security requirements.
Development teams have a security champion dedicated to reviewing security requirements and outcomes.
</v>
      </c>
      <c r="E78" s="255"/>
      <c r="F78" s="27"/>
      <c r="G78" s="22"/>
      <c r="H78" s="302"/>
      <c r="I78" s="318"/>
      <c r="J78" s="301"/>
      <c r="K78" s="291"/>
      <c r="L78" s="134"/>
      <c r="M78" s="134"/>
      <c r="N78" s="134"/>
      <c r="O78" s="134"/>
      <c r="P78" s="134"/>
      <c r="Q78" s="291"/>
      <c r="R78" s="291"/>
      <c r="S78" s="291"/>
      <c r="T78" s="291"/>
      <c r="U78" s="291"/>
      <c r="V78" s="291"/>
      <c r="W78" s="291"/>
      <c r="X78" s="291"/>
      <c r="Y78" s="291"/>
      <c r="Z78" s="291"/>
    </row>
    <row r="79" spans="1:26" x14ac:dyDescent="0.15">
      <c r="A79" s="245" t="s">
        <v>311</v>
      </c>
      <c r="B79" s="338"/>
      <c r="C79" s="294">
        <f>VLOOKUP(A79,'imp-questions'!A:H,5,FALSE)</f>
        <v>3</v>
      </c>
      <c r="D79" s="288" t="str">
        <f>VLOOKUP(A79,'imp-questions'!A:H,6,FALSE)</f>
        <v>Is a standard requirements framework used to streamline the elicitation of security requirements?</v>
      </c>
      <c r="E79" s="250" t="str">
        <f>CHAR(65+VLOOKUP(A79,'imp-questions'!A:H,8,FALSE))</f>
        <v>A</v>
      </c>
      <c r="F79" s="279"/>
      <c r="G79" s="18">
        <f>IFERROR(VLOOKUP(F79,AnsATBL,2,FALSE),0)</f>
        <v>0</v>
      </c>
      <c r="H79" s="300">
        <v>0</v>
      </c>
      <c r="I79" s="336"/>
      <c r="J79" s="301"/>
      <c r="K79" s="1"/>
      <c r="L79" s="134"/>
      <c r="M79" s="134"/>
      <c r="N79" s="134"/>
      <c r="O79" s="134"/>
      <c r="P79" s="134"/>
      <c r="Q79" s="1"/>
      <c r="R79" s="1"/>
      <c r="S79" s="1"/>
      <c r="T79" s="1"/>
      <c r="U79" s="1"/>
      <c r="V79" s="1"/>
      <c r="W79" s="1"/>
      <c r="X79" s="1"/>
      <c r="Y79" s="1"/>
      <c r="Z79" s="1"/>
    </row>
    <row r="80" spans="1:26" ht="70" x14ac:dyDescent="0.15">
      <c r="A80"/>
      <c r="B80" s="339"/>
      <c r="C80" s="259"/>
      <c r="D80" s="269" t="str">
        <f>VLOOKUP(A79,'imp-questions'!A:H,7,FALSE)</f>
        <v xml:space="preserve">An existing security requirements framework is available for project teams.
The framework is categorized by common requirements as well as standards-based requirements.
The framework gives clear guidance on the quality of requirements and formalizes how to describe them.
The framework is adaptable to specific business requirements.
</v>
      </c>
      <c r="E80" s="255"/>
      <c r="F80" s="27"/>
      <c r="G80" s="22"/>
      <c r="H80" s="302"/>
      <c r="I80" s="318"/>
      <c r="J80" s="301"/>
      <c r="K80" s="1"/>
      <c r="L80" s="134"/>
      <c r="M80" s="134"/>
      <c r="N80" s="134"/>
      <c r="O80" s="134"/>
      <c r="P80" s="134"/>
      <c r="Q80" s="1"/>
      <c r="R80" s="1"/>
      <c r="S80" s="1"/>
      <c r="T80" s="1"/>
      <c r="U80" s="1"/>
      <c r="V80" s="1"/>
      <c r="W80" s="1"/>
      <c r="X80" s="1"/>
      <c r="Y80" s="1"/>
      <c r="Z80" s="1"/>
    </row>
    <row r="81" spans="1:26" x14ac:dyDescent="0.15">
      <c r="A81"/>
      <c r="B81" s="340"/>
      <c r="C81" s="331"/>
      <c r="D81" s="331"/>
      <c r="E81" s="331"/>
      <c r="F81" s="331"/>
      <c r="G81" s="331"/>
      <c r="H81" s="331"/>
      <c r="I81" s="341"/>
      <c r="J81" s="11"/>
      <c r="K81" s="1"/>
      <c r="L81" s="134"/>
      <c r="M81" s="134"/>
      <c r="N81" s="134"/>
      <c r="O81" s="134"/>
      <c r="P81" s="134"/>
      <c r="Q81" s="1"/>
      <c r="R81" s="1"/>
      <c r="S81" s="1"/>
      <c r="T81" s="1"/>
      <c r="U81" s="1"/>
      <c r="V81" s="1"/>
      <c r="W81" s="1"/>
      <c r="X81" s="1"/>
      <c r="Y81" s="1"/>
      <c r="Z81" s="1"/>
    </row>
    <row r="82" spans="1:26" x14ac:dyDescent="0.15">
      <c r="A82" s="245" t="s">
        <v>314</v>
      </c>
      <c r="B82" s="337" t="str">
        <f>VLOOKUP(A82,'imp-questions'!A:H,4,FALSE)</f>
        <v>Supplier Security</v>
      </c>
      <c r="C82" s="294">
        <f>VLOOKUP(A82,'imp-questions'!A:H,5,FALSE)</f>
        <v>1</v>
      </c>
      <c r="D82" s="288" t="str">
        <f>VLOOKUP(A82,'imp-questions'!A:H,6,FALSE)</f>
        <v>Do stakeholders review vendor collaborations for security requirements and methodology?</v>
      </c>
      <c r="E82" s="250" t="str">
        <f>CHAR(65+VLOOKUP(A82,'imp-questions'!A:H,8,FALSE))</f>
        <v>B</v>
      </c>
      <c r="F82" s="279"/>
      <c r="G82" s="18">
        <f>IFERROR(VLOOKUP(F82,AnsBTBL,2,FALSE),0)</f>
        <v>0</v>
      </c>
      <c r="H82" s="105"/>
      <c r="I82" s="303"/>
      <c r="J82" s="11"/>
      <c r="K82" s="1"/>
      <c r="L82" s="134"/>
      <c r="M82" s="134"/>
      <c r="N82" s="134"/>
      <c r="O82" s="134"/>
      <c r="P82" s="134"/>
      <c r="Q82" s="1"/>
      <c r="R82" s="1"/>
      <c r="S82" s="1"/>
      <c r="T82" s="1"/>
      <c r="U82" s="1"/>
      <c r="V82" s="1"/>
      <c r="W82" s="1"/>
      <c r="X82" s="1"/>
      <c r="Y82" s="1"/>
      <c r="Z82" s="1"/>
    </row>
    <row r="83" spans="1:26" ht="42" x14ac:dyDescent="0.15">
      <c r="A83"/>
      <c r="B83" s="338"/>
      <c r="C83" s="224"/>
      <c r="D83" s="277" t="str">
        <f>VLOOKUP(A82,'imp-questions'!A:H,7,FALSE)</f>
        <v xml:space="preserve">During the creation of third-party agreements, specific security requirements, activities, and processes are considered for inclusion.
A vendor questionnaire is available and used to assess the strengths and weaknesses of your suppliers.
</v>
      </c>
      <c r="E83" s="255"/>
      <c r="F83" s="27"/>
      <c r="G83" s="22"/>
      <c r="H83" s="117"/>
      <c r="I83" s="316"/>
      <c r="J83" s="11"/>
      <c r="K83" s="1"/>
      <c r="L83" s="134"/>
      <c r="M83" s="134"/>
      <c r="N83" s="134"/>
      <c r="O83" s="134"/>
      <c r="P83" s="134"/>
      <c r="Q83" s="1"/>
      <c r="R83" s="1"/>
      <c r="S83" s="1"/>
      <c r="T83" s="1"/>
      <c r="U83" s="1"/>
      <c r="V83" s="1"/>
      <c r="W83" s="1"/>
      <c r="X83" s="1"/>
      <c r="Y83" s="1"/>
      <c r="Z83" s="1"/>
    </row>
    <row r="84" spans="1:26" ht="28" x14ac:dyDescent="0.15">
      <c r="A84" s="245" t="s">
        <v>318</v>
      </c>
      <c r="B84" s="338"/>
      <c r="C84" s="294">
        <f>VLOOKUP(A84,'imp-questions'!A:H,5,FALSE)</f>
        <v>2</v>
      </c>
      <c r="D84" s="288" t="str">
        <f>VLOOKUP(A84,'imp-questions'!A:H,6,FALSE)</f>
        <v>Does the vendor meet the security responsibilities and quality measures to be in line with service level agreements as defined by the organization?</v>
      </c>
      <c r="E84" s="250" t="str">
        <f>CHAR(65+VLOOKUP(A84,'imp-questions'!A:H,8,FALSE))</f>
        <v>B</v>
      </c>
      <c r="F84" s="284"/>
      <c r="G84" s="18">
        <f>IFERROR(VLOOKUP(F84,AnsBTBL,2,FALSE),0)</f>
        <v>0</v>
      </c>
      <c r="H84" s="105"/>
      <c r="I84" s="303"/>
      <c r="J84" s="11"/>
      <c r="K84" s="291"/>
      <c r="L84" s="134"/>
      <c r="M84" s="134"/>
      <c r="N84" s="134"/>
      <c r="O84" s="134"/>
      <c r="P84" s="134"/>
      <c r="Q84" s="291"/>
      <c r="R84" s="291"/>
      <c r="S84" s="291"/>
      <c r="T84" s="291"/>
      <c r="U84" s="291"/>
      <c r="V84" s="291"/>
      <c r="W84" s="291"/>
      <c r="X84" s="291"/>
      <c r="Y84" s="291"/>
      <c r="Z84" s="291"/>
    </row>
    <row r="85" spans="1:26" ht="70" x14ac:dyDescent="0.15">
      <c r="A85"/>
      <c r="B85" s="338"/>
      <c r="C85" s="224"/>
      <c r="D85" s="277" t="str">
        <f>VLOOKUP(A84,'imp-questions'!A:H,7,FALSE)</f>
        <v xml:space="preserve">During the creation of vendor agreements, security requirements are discussed with the vendor.
Vendor agreements provide specific guidance on security defect remediation within an agreed upon timeframe.
The organization has a templated agreement of responsibilities and service levels for key vendor security processes.
Key performance indicators are measured.
</v>
      </c>
      <c r="E85" s="255"/>
      <c r="F85" s="27"/>
      <c r="G85" s="22"/>
      <c r="H85" s="117"/>
      <c r="I85" s="316"/>
      <c r="J85" s="11"/>
      <c r="K85" s="291"/>
      <c r="L85" s="134"/>
      <c r="M85" s="134"/>
      <c r="N85" s="134"/>
      <c r="O85" s="134"/>
      <c r="P85" s="134"/>
      <c r="Q85" s="291"/>
      <c r="R85" s="291"/>
      <c r="S85" s="291"/>
      <c r="T85" s="291"/>
      <c r="U85" s="291"/>
      <c r="V85" s="291"/>
      <c r="W85" s="291"/>
      <c r="X85" s="291"/>
      <c r="Y85" s="291"/>
      <c r="Z85" s="291"/>
    </row>
    <row r="86" spans="1:26" ht="28" x14ac:dyDescent="0.15">
      <c r="A86" s="245" t="s">
        <v>321</v>
      </c>
      <c r="B86" s="338"/>
      <c r="C86" s="294">
        <f>VLOOKUP(A86,'imp-questions'!A:H,5,FALSE)</f>
        <v>3</v>
      </c>
      <c r="D86" s="288" t="str">
        <f>VLOOKUP(A86,'imp-questions'!A:H,6,FALSE)</f>
        <v>Are vendors aligned with standard security controls and software development tools and processes that the organization utilizes?</v>
      </c>
      <c r="E86" s="250" t="str">
        <f>CHAR(65+VLOOKUP(A86,'imp-questions'!A:H,8,FALSE))</f>
        <v>B</v>
      </c>
      <c r="F86" s="284"/>
      <c r="G86" s="18">
        <f>IFERROR(VLOOKUP(F86,AnsBTBL,2,FALSE),0)</f>
        <v>0</v>
      </c>
      <c r="H86" s="105"/>
      <c r="I86" s="303"/>
      <c r="J86" s="11"/>
      <c r="K86" s="1"/>
      <c r="L86" s="134"/>
      <c r="M86" s="134"/>
      <c r="N86" s="134"/>
      <c r="O86" s="134"/>
      <c r="P86" s="134"/>
      <c r="Q86" s="1"/>
      <c r="R86" s="1"/>
      <c r="S86" s="1"/>
      <c r="T86" s="1"/>
      <c r="U86" s="1"/>
      <c r="V86" s="1"/>
      <c r="W86" s="1"/>
      <c r="X86" s="1"/>
      <c r="Y86" s="1"/>
      <c r="Z86" s="1"/>
    </row>
    <row r="87" spans="1:26" ht="70" x14ac:dyDescent="0.15">
      <c r="A87"/>
      <c r="B87" s="339"/>
      <c r="C87" s="259"/>
      <c r="D87" s="269" t="str">
        <f>VLOOKUP(A86,'imp-questions'!A:H,7,FALSE)</f>
        <v xml:space="preserve">The vendor has a secure SDLC that includes secure build, secure deployment, defect management and incident management that align with those used in your organization.
Compensating controls, such as software composition analysis and independent penetration testing before a major release, are used to verify the solution meets quality and security objectives when standard processes are not available.
</v>
      </c>
      <c r="E87" s="255"/>
      <c r="F87" s="27"/>
      <c r="G87" s="22"/>
      <c r="H87" s="117"/>
      <c r="I87" s="316"/>
      <c r="J87" s="11"/>
      <c r="K87" s="1"/>
      <c r="L87" s="134"/>
      <c r="M87" s="134"/>
      <c r="N87" s="134"/>
      <c r="O87" s="134"/>
      <c r="P87" s="134"/>
      <c r="Q87" s="1"/>
      <c r="R87" s="1"/>
      <c r="S87" s="1"/>
      <c r="T87" s="1"/>
      <c r="U87" s="1"/>
      <c r="V87" s="1"/>
      <c r="W87" s="1"/>
      <c r="X87" s="1"/>
      <c r="Y87" s="1"/>
      <c r="Z87" s="1"/>
    </row>
    <row r="88" spans="1:26" x14ac:dyDescent="0.15">
      <c r="A88"/>
      <c r="B88" s="393" t="s">
        <v>47</v>
      </c>
      <c r="C88" s="394"/>
      <c r="D88" s="395"/>
      <c r="E88" s="237"/>
      <c r="F88" s="76" t="s">
        <v>70</v>
      </c>
      <c r="G88" s="76"/>
      <c r="H88" s="122"/>
      <c r="I88" s="75" t="s">
        <v>26</v>
      </c>
      <c r="J88" s="75" t="s">
        <v>68</v>
      </c>
      <c r="K88" s="1"/>
      <c r="L88" s="134"/>
      <c r="M88" s="134"/>
      <c r="N88" s="134"/>
      <c r="O88" s="134"/>
      <c r="P88" s="134"/>
      <c r="Q88" s="1"/>
      <c r="R88" s="1"/>
      <c r="S88" s="1"/>
      <c r="T88" s="1"/>
      <c r="U88" s="1"/>
      <c r="V88" s="1"/>
      <c r="W88" s="1"/>
      <c r="X88" s="1"/>
      <c r="Y88" s="1"/>
      <c r="Z88" s="1"/>
    </row>
    <row r="89" spans="1:26" x14ac:dyDescent="0.15">
      <c r="A89" s="245" t="s">
        <v>324</v>
      </c>
      <c r="B89" s="337" t="str">
        <f>VLOOKUP(A89,'imp-questions'!A:H,4,FALSE)</f>
        <v>Architecture Design</v>
      </c>
      <c r="C89" s="294">
        <f>VLOOKUP(A89,'imp-questions'!A:H,5,FALSE)</f>
        <v>1</v>
      </c>
      <c r="D89" s="288" t="str">
        <f>VLOOKUP(A89,'imp-questions'!A:H,6,FALSE)</f>
        <v>Do teams use security principles during design?</v>
      </c>
      <c r="E89" s="250" t="str">
        <f>CHAR(65+VLOOKUP(A89,'imp-questions'!A:H,8,FALSE))</f>
        <v>E</v>
      </c>
      <c r="F89" s="279"/>
      <c r="G89" s="18">
        <f>IFERROR(VLOOKUP(F89,AnsETBL,2,FALSE),0)</f>
        <v>0</v>
      </c>
      <c r="H89" s="298">
        <v>0</v>
      </c>
      <c r="I89" s="325"/>
      <c r="J89" s="307">
        <v>0</v>
      </c>
      <c r="K89" s="1"/>
      <c r="L89" s="134"/>
      <c r="M89" s="134"/>
      <c r="N89" s="134"/>
      <c r="O89" s="134"/>
      <c r="P89" s="134"/>
      <c r="Q89" s="1"/>
      <c r="R89" s="1"/>
      <c r="S89" s="1"/>
      <c r="T89" s="1"/>
      <c r="U89" s="1"/>
      <c r="V89" s="1"/>
      <c r="W89" s="1"/>
      <c r="X89" s="1"/>
      <c r="Y89" s="1"/>
      <c r="Z89" s="1"/>
    </row>
    <row r="90" spans="1:26" ht="56" x14ac:dyDescent="0.15">
      <c r="A90"/>
      <c r="B90" s="338"/>
      <c r="C90" s="224"/>
      <c r="D90" s="277" t="str">
        <f>VLOOKUP(A89,'imp-questions'!A:H,7,FALSE)</f>
        <v xml:space="preserve">You have an agreed upon checklist of security principles
Your checklist(s) are stored in an accessible location
Security principles have been explained to relevant stakeholders
</v>
      </c>
      <c r="E90" s="255"/>
      <c r="F90" s="27"/>
      <c r="G90" s="22"/>
      <c r="H90" s="299"/>
      <c r="I90" s="326"/>
      <c r="J90" s="308"/>
      <c r="K90" s="1"/>
      <c r="L90" s="134"/>
      <c r="M90" s="134"/>
      <c r="N90" s="134"/>
      <c r="O90" s="134"/>
      <c r="P90" s="134"/>
      <c r="Q90" s="1"/>
      <c r="R90" s="1"/>
      <c r="S90" s="1"/>
      <c r="T90" s="1"/>
      <c r="U90" s="1"/>
      <c r="V90" s="1"/>
      <c r="W90" s="1"/>
      <c r="X90" s="1"/>
      <c r="Y90" s="1"/>
      <c r="Z90" s="1"/>
    </row>
    <row r="91" spans="1:26" x14ac:dyDescent="0.15">
      <c r="A91" s="245" t="s">
        <v>329</v>
      </c>
      <c r="B91" s="338"/>
      <c r="C91" s="294">
        <f>VLOOKUP(A91,'imp-questions'!A:H,5,FALSE)</f>
        <v>2</v>
      </c>
      <c r="D91" s="288" t="str">
        <f>VLOOKUP(A91,'imp-questions'!A:H,6,FALSE)</f>
        <v>Do you favour the use of standard security services during design?</v>
      </c>
      <c r="E91" s="250" t="str">
        <f>CHAR(65+VLOOKUP(A91,'imp-questions'!A:H,8,FALSE))</f>
        <v>A</v>
      </c>
      <c r="F91" s="279"/>
      <c r="G91" s="18">
        <f>IFERROR(VLOOKUP(F91,AnsATBL,2,FALSE),0)</f>
        <v>0</v>
      </c>
      <c r="H91" s="300">
        <v>0</v>
      </c>
      <c r="I91" s="317"/>
      <c r="J91" s="301"/>
      <c r="K91" s="291"/>
      <c r="L91" s="134"/>
      <c r="M91" s="134"/>
      <c r="N91" s="134"/>
      <c r="O91" s="134"/>
      <c r="P91" s="134"/>
      <c r="Q91" s="291"/>
      <c r="R91" s="291"/>
      <c r="S91" s="291"/>
      <c r="T91" s="291"/>
      <c r="U91" s="291"/>
      <c r="V91" s="291"/>
      <c r="W91" s="291"/>
      <c r="X91" s="291"/>
      <c r="Y91" s="291"/>
      <c r="Z91" s="291"/>
    </row>
    <row r="92" spans="1:26" ht="56" x14ac:dyDescent="0.15">
      <c r="A92"/>
      <c r="B92" s="338"/>
      <c r="C92" s="224"/>
      <c r="D92" s="277" t="str">
        <f>VLOOKUP(A91,'imp-questions'!A:H,7,FALSE)</f>
        <v xml:space="preserve">You have a documented list of reusable security services, available to relevant stakeholders
You have reviewed the baseline security posture for each selected service
Your designers are trained to integrate each selected service following available guidance
</v>
      </c>
      <c r="E92" s="255"/>
      <c r="F92" s="27"/>
      <c r="G92" s="22"/>
      <c r="H92" s="302"/>
      <c r="I92" s="318"/>
      <c r="J92" s="301"/>
      <c r="K92" s="291"/>
      <c r="L92" s="134"/>
      <c r="M92" s="134"/>
      <c r="N92" s="134"/>
      <c r="O92" s="134"/>
      <c r="P92" s="134"/>
      <c r="Q92" s="291"/>
      <c r="R92" s="291"/>
      <c r="S92" s="291"/>
      <c r="T92" s="291"/>
      <c r="U92" s="291"/>
      <c r="V92" s="291"/>
      <c r="W92" s="291"/>
      <c r="X92" s="291"/>
      <c r="Y92" s="291"/>
      <c r="Z92" s="291"/>
    </row>
    <row r="93" spans="1:26" x14ac:dyDescent="0.15">
      <c r="A93" s="245" t="s">
        <v>332</v>
      </c>
      <c r="B93" s="338"/>
      <c r="C93" s="294">
        <f>VLOOKUP(A93,'imp-questions'!A:H,5,FALSE)</f>
        <v>3</v>
      </c>
      <c r="D93" s="288" t="str">
        <f>VLOOKUP(A93,'imp-questions'!A:H,6,FALSE)</f>
        <v>Do you base your design on available reference architectures?</v>
      </c>
      <c r="E93" s="250" t="str">
        <f>CHAR(65+VLOOKUP(A93,'imp-questions'!A:H,8,FALSE))</f>
        <v>A</v>
      </c>
      <c r="F93" s="279"/>
      <c r="G93" s="18">
        <f>IFERROR(VLOOKUP(F93,AnsATBL,2,FALSE),0)</f>
        <v>0</v>
      </c>
      <c r="H93" s="300">
        <v>0</v>
      </c>
      <c r="I93" s="336"/>
      <c r="J93" s="301"/>
      <c r="K93" s="1"/>
      <c r="L93" s="134"/>
      <c r="M93" s="134"/>
      <c r="N93" s="134"/>
      <c r="O93" s="134"/>
      <c r="P93" s="134"/>
      <c r="Q93" s="1"/>
      <c r="R93" s="1"/>
      <c r="S93" s="1"/>
      <c r="T93" s="1"/>
      <c r="U93" s="1"/>
      <c r="V93" s="1"/>
      <c r="W93" s="1"/>
      <c r="X93" s="1"/>
      <c r="Y93" s="1"/>
      <c r="Z93" s="1"/>
    </row>
    <row r="94" spans="1:26" ht="56" x14ac:dyDescent="0.15">
      <c r="A94"/>
      <c r="B94" s="339"/>
      <c r="C94" s="259"/>
      <c r="D94" s="269" t="str">
        <f>VLOOKUP(A93,'imp-questions'!A:H,7,FALSE)</f>
        <v xml:space="preserve">You have one or more approved reference architectures, documented and available to stakeholders.
You improve the reference architectures continuously based on insights and best practices.
You provide a set of components, libraries, and tools to implement each reference architecture.
</v>
      </c>
      <c r="E94" s="255"/>
      <c r="F94" s="27"/>
      <c r="G94" s="22"/>
      <c r="H94" s="302"/>
      <c r="I94" s="318"/>
      <c r="J94" s="301"/>
      <c r="K94" s="1"/>
      <c r="L94" s="134"/>
      <c r="M94" s="134"/>
      <c r="N94" s="134"/>
      <c r="O94" s="134"/>
      <c r="P94" s="134"/>
      <c r="Q94" s="1"/>
      <c r="R94" s="1"/>
      <c r="S94" s="1"/>
      <c r="T94" s="1"/>
      <c r="U94" s="1"/>
      <c r="V94" s="1"/>
      <c r="W94" s="1"/>
      <c r="X94" s="1"/>
      <c r="Y94" s="1"/>
      <c r="Z94" s="1"/>
    </row>
    <row r="95" spans="1:26" x14ac:dyDescent="0.15">
      <c r="A95"/>
      <c r="B95" s="340"/>
      <c r="C95" s="331"/>
      <c r="D95" s="331"/>
      <c r="E95" s="331"/>
      <c r="F95" s="331"/>
      <c r="G95" s="331"/>
      <c r="H95" s="331"/>
      <c r="I95" s="341"/>
      <c r="J95" s="11"/>
      <c r="K95" s="1"/>
      <c r="L95" s="134"/>
      <c r="M95" s="134"/>
      <c r="N95" s="134"/>
      <c r="O95" s="134"/>
      <c r="P95" s="134"/>
      <c r="Q95" s="1"/>
      <c r="R95" s="1"/>
      <c r="S95" s="1"/>
      <c r="T95" s="1"/>
      <c r="U95" s="1"/>
      <c r="V95" s="1"/>
      <c r="W95" s="1"/>
      <c r="X95" s="1"/>
      <c r="Y95" s="1"/>
      <c r="Z95" s="1"/>
    </row>
    <row r="96" spans="1:26" x14ac:dyDescent="0.15">
      <c r="A96" s="245" t="s">
        <v>335</v>
      </c>
      <c r="B96" s="337" t="str">
        <f>VLOOKUP(A96,'imp-questions'!A:H,4,FALSE)</f>
        <v>Technology Management</v>
      </c>
      <c r="C96" s="294">
        <f>VLOOKUP(A96,'imp-questions'!A:H,5,FALSE)</f>
        <v>1</v>
      </c>
      <c r="D96" s="288" t="str">
        <f>VLOOKUP(A96,'imp-questions'!A:H,6,FALSE)</f>
        <v>Do you evaluate the security quality of important technologies used within the development organisation?</v>
      </c>
      <c r="E96" s="250" t="str">
        <f>CHAR(65+VLOOKUP(A96,'imp-questions'!A:H,8,FALSE))</f>
        <v>A</v>
      </c>
      <c r="F96" s="279"/>
      <c r="G96" s="18">
        <f>IFERROR(VLOOKUP(F96,AnsATBL,2,FALSE),0)</f>
        <v>0</v>
      </c>
      <c r="H96" s="105"/>
      <c r="I96" s="303"/>
      <c r="J96" s="11"/>
      <c r="K96" s="1"/>
      <c r="L96" s="134"/>
      <c r="M96" s="134"/>
      <c r="N96" s="134"/>
      <c r="O96" s="134"/>
      <c r="P96" s="134"/>
      <c r="Q96" s="1"/>
      <c r="R96" s="1"/>
      <c r="S96" s="1"/>
      <c r="T96" s="1"/>
      <c r="U96" s="1"/>
      <c r="V96" s="1"/>
      <c r="W96" s="1"/>
      <c r="X96" s="1"/>
      <c r="Y96" s="1"/>
      <c r="Z96" s="1"/>
    </row>
    <row r="97" spans="1:26" ht="56" x14ac:dyDescent="0.15">
      <c r="A97"/>
      <c r="B97" s="338"/>
      <c r="C97" s="224"/>
      <c r="D97" s="277" t="str">
        <f>VLOOKUP(A96,'imp-questions'!A:H,7,FALSE)</f>
        <v xml:space="preserve">You have a list of the most important technologies used in (or in support of) each application.
You identify and track technological risks
You ensure that the risks to these technologies are in line with the organisational baseline
</v>
      </c>
      <c r="E97" s="255"/>
      <c r="F97" s="27"/>
      <c r="G97" s="22"/>
      <c r="H97" s="117"/>
      <c r="I97" s="316"/>
      <c r="J97" s="11"/>
      <c r="K97" s="1"/>
      <c r="L97" s="134"/>
      <c r="M97" s="134"/>
      <c r="N97" s="134"/>
      <c r="O97" s="134"/>
      <c r="P97" s="134"/>
      <c r="Q97" s="1"/>
      <c r="R97" s="1"/>
      <c r="S97" s="1"/>
      <c r="T97" s="1"/>
      <c r="U97" s="1"/>
      <c r="V97" s="1"/>
      <c r="W97" s="1"/>
      <c r="X97" s="1"/>
      <c r="Y97" s="1"/>
      <c r="Z97" s="1"/>
    </row>
    <row r="98" spans="1:26" x14ac:dyDescent="0.15">
      <c r="A98" s="245" t="s">
        <v>339</v>
      </c>
      <c r="B98" s="338"/>
      <c r="C98" s="294">
        <f>VLOOKUP(A98,'imp-questions'!A:H,5,FALSE)</f>
        <v>2</v>
      </c>
      <c r="D98" s="288" t="str">
        <f>VLOOKUP(A98,'imp-questions'!A:H,6,FALSE)</f>
        <v>Do you have a list of recommended technologies for use in the development organisation?</v>
      </c>
      <c r="E98" s="250" t="str">
        <f>CHAR(65+VLOOKUP(A98,'imp-questions'!A:H,8,FALSE))</f>
        <v>M</v>
      </c>
      <c r="F98" s="284"/>
      <c r="G98" s="18">
        <f>IFERROR(VLOOKUP(F98,AnsMTBL,2,FALSE),0)</f>
        <v>0</v>
      </c>
      <c r="H98" s="105"/>
      <c r="I98" s="303"/>
      <c r="J98" s="11"/>
      <c r="K98" s="291"/>
      <c r="L98" s="134"/>
      <c r="M98" s="134"/>
      <c r="N98" s="134"/>
      <c r="O98" s="134"/>
      <c r="P98" s="134"/>
      <c r="Q98" s="291"/>
      <c r="R98" s="291"/>
      <c r="S98" s="291"/>
      <c r="T98" s="291"/>
      <c r="U98" s="291"/>
      <c r="V98" s="291"/>
      <c r="W98" s="291"/>
      <c r="X98" s="291"/>
      <c r="Y98" s="291"/>
      <c r="Z98" s="291"/>
    </row>
    <row r="99" spans="1:26" ht="70" x14ac:dyDescent="0.15">
      <c r="A99"/>
      <c r="B99" s="338"/>
      <c r="C99" s="224"/>
      <c r="D99" s="277" t="str">
        <f>VLOOKUP(A98,'imp-questions'!A:H,7,FALSE)</f>
        <v xml:space="preserve">The list is based on technologies used in the software portfolio
Lead architects and developers review and approve the list
The list is shared across the development organisation
The list is regularly (at least yearly) reviewed and updated
</v>
      </c>
      <c r="E99" s="255"/>
      <c r="F99" s="27"/>
      <c r="G99" s="22"/>
      <c r="H99" s="117"/>
      <c r="I99" s="316"/>
      <c r="J99" s="11"/>
      <c r="K99" s="291"/>
      <c r="L99" s="134"/>
      <c r="M99" s="134"/>
      <c r="N99" s="134"/>
      <c r="O99" s="134"/>
      <c r="P99" s="134"/>
      <c r="Q99" s="291"/>
      <c r="R99" s="291"/>
      <c r="S99" s="291"/>
      <c r="T99" s="291"/>
      <c r="U99" s="291"/>
      <c r="V99" s="291"/>
      <c r="W99" s="291"/>
      <c r="X99" s="291"/>
      <c r="Y99" s="291"/>
      <c r="Z99" s="291"/>
    </row>
    <row r="100" spans="1:26" x14ac:dyDescent="0.15">
      <c r="A100" s="245" t="s">
        <v>342</v>
      </c>
      <c r="B100" s="338"/>
      <c r="C100" s="294">
        <f>VLOOKUP(A100,'imp-questions'!A:H,5,FALSE)</f>
        <v>3</v>
      </c>
      <c r="D100" s="288" t="str">
        <f>VLOOKUP(A100,'imp-questions'!A:H,6,FALSE)</f>
        <v>Do you enforce the use of recommended technologies within the development organisation?</v>
      </c>
      <c r="E100" s="250" t="str">
        <f>CHAR(65+VLOOKUP(A100,'imp-questions'!A:H,8,FALSE))</f>
        <v>A</v>
      </c>
      <c r="F100" s="279"/>
      <c r="G100" s="18">
        <f>IFERROR(VLOOKUP(F100,AnsATBL,2,FALSE),0)</f>
        <v>0</v>
      </c>
      <c r="H100" s="105"/>
      <c r="I100" s="303"/>
      <c r="J100" s="11"/>
      <c r="K100" s="1"/>
      <c r="L100" s="134"/>
      <c r="M100" s="134"/>
      <c r="N100" s="134"/>
      <c r="O100" s="134"/>
      <c r="P100" s="134"/>
      <c r="Q100" s="1"/>
      <c r="R100" s="1"/>
      <c r="S100" s="1"/>
      <c r="T100" s="1"/>
      <c r="U100" s="1"/>
      <c r="V100" s="1"/>
      <c r="W100" s="1"/>
      <c r="X100" s="1"/>
      <c r="Y100" s="1"/>
      <c r="Z100" s="1"/>
    </row>
    <row r="101" spans="1:26" ht="56" x14ac:dyDescent="0.15">
      <c r="A101"/>
      <c r="B101" s="339"/>
      <c r="C101" s="259"/>
      <c r="D101" s="269" t="str">
        <f>VLOOKUP(A100,'imp-questions'!A:H,7,FALSE)</f>
        <v xml:space="preserve">Applications are regularly monitored for the correct use of the list of recommended technologies
Violations against the list are solved in accorandance with the organisational‚Äôs policy
The number of violations on a yearly basis falls within objectives or concrete actions are taken to improve
</v>
      </c>
      <c r="E101" s="255"/>
      <c r="F101" s="27"/>
      <c r="G101" s="22"/>
      <c r="H101" s="117"/>
      <c r="I101" s="316"/>
      <c r="J101" s="11"/>
      <c r="K101" s="1"/>
      <c r="L101" s="134"/>
      <c r="M101" s="134"/>
      <c r="N101" s="134"/>
      <c r="O101" s="134"/>
      <c r="P101" s="134"/>
      <c r="Q101" s="1"/>
      <c r="R101" s="1"/>
      <c r="S101" s="1"/>
      <c r="T101" s="1"/>
      <c r="U101" s="1"/>
      <c r="V101" s="1"/>
      <c r="W101" s="1"/>
      <c r="X101" s="1"/>
      <c r="Y101" s="1"/>
      <c r="Z101" s="1"/>
    </row>
    <row r="102" spans="1:26" ht="13" x14ac:dyDescent="0.15">
      <c r="A102"/>
      <c r="B102" s="399" t="s">
        <v>346</v>
      </c>
      <c r="C102" s="399"/>
      <c r="D102" s="399"/>
      <c r="E102" s="399"/>
      <c r="F102" s="399"/>
      <c r="G102" s="399"/>
      <c r="H102" s="399"/>
      <c r="I102" s="399"/>
      <c r="J102" s="399"/>
      <c r="K102" s="242"/>
      <c r="L102" s="134"/>
      <c r="M102" s="134"/>
      <c r="N102" s="134"/>
      <c r="O102" s="134"/>
      <c r="P102" s="134"/>
      <c r="Q102" s="242"/>
      <c r="R102" s="242"/>
      <c r="S102" s="242"/>
      <c r="T102" s="242"/>
      <c r="U102" s="242"/>
      <c r="V102" s="242"/>
      <c r="W102" s="242"/>
      <c r="X102" s="242"/>
      <c r="Y102" s="242"/>
      <c r="Z102" s="242"/>
    </row>
    <row r="103" spans="1:26" x14ac:dyDescent="0.15">
      <c r="A103"/>
      <c r="B103" s="400" t="s">
        <v>347</v>
      </c>
      <c r="C103" s="401"/>
      <c r="D103" s="402"/>
      <c r="E103" s="262"/>
      <c r="F103" s="263" t="s">
        <v>70</v>
      </c>
      <c r="G103" s="263"/>
      <c r="H103" s="264"/>
      <c r="I103" s="265" t="s">
        <v>26</v>
      </c>
      <c r="J103" s="265" t="s">
        <v>68</v>
      </c>
      <c r="K103" s="242"/>
      <c r="L103" s="134"/>
      <c r="M103" s="134"/>
      <c r="N103" s="134"/>
      <c r="O103" s="134"/>
      <c r="P103" s="134"/>
      <c r="Q103" s="242"/>
      <c r="R103" s="242"/>
      <c r="S103" s="242"/>
      <c r="T103" s="242"/>
      <c r="U103" s="242"/>
      <c r="V103" s="242"/>
      <c r="W103" s="242"/>
      <c r="X103" s="242"/>
      <c r="Y103" s="242"/>
      <c r="Z103" s="242"/>
    </row>
    <row r="104" spans="1:26" x14ac:dyDescent="0.15">
      <c r="A104" s="245" t="s">
        <v>345</v>
      </c>
      <c r="B104" s="342" t="str">
        <f>VLOOKUP(A104,'imp-questions'!A:H,4,FALSE)</f>
        <v>Build Process</v>
      </c>
      <c r="C104" s="295">
        <f>VLOOKUP(A104,'imp-questions'!A:H,5,FALSE)</f>
        <v>1</v>
      </c>
      <c r="D104" s="288" t="str">
        <f>VLOOKUP(A104,'imp-questions'!A:H,6,FALSE)</f>
        <v>Do you use repeatable build processes?</v>
      </c>
      <c r="E104" s="250" t="str">
        <f>CHAR(65+VLOOKUP(A104,'imp-questions'!A:H,8,FALSE))</f>
        <v>A</v>
      </c>
      <c r="F104" s="279"/>
      <c r="G104" s="18">
        <f>IFERROR(VLOOKUP(F104,AnsATBL,2,FALSE),0)</f>
        <v>0</v>
      </c>
      <c r="H104" s="298">
        <v>0</v>
      </c>
      <c r="I104" s="325"/>
      <c r="J104" s="309">
        <v>0</v>
      </c>
      <c r="K104" s="242"/>
      <c r="L104" s="134"/>
      <c r="M104" s="134"/>
      <c r="N104" s="134"/>
      <c r="O104" s="134"/>
      <c r="P104" s="134"/>
      <c r="Q104" s="242"/>
      <c r="R104" s="242"/>
      <c r="S104" s="242"/>
      <c r="T104" s="242"/>
      <c r="U104" s="242"/>
      <c r="V104" s="242"/>
      <c r="W104" s="242"/>
      <c r="X104" s="242"/>
      <c r="Y104" s="242"/>
      <c r="Z104" s="242"/>
    </row>
    <row r="105" spans="1:26" ht="70" x14ac:dyDescent="0.15">
      <c r="A105"/>
      <c r="B105" s="343"/>
      <c r="C105" s="224"/>
      <c r="D105" s="277" t="str">
        <f>VLOOKUP(A104,'imp-questions'!A:H,7,FALSE)</f>
        <v xml:space="preserve">You have enough information to recreate the build processes
Your build documentation up to date
Your build documentation is stored in an accessible location
Produced artifact checksums are created during build to support later verification
</v>
      </c>
      <c r="E105" s="255"/>
      <c r="F105" s="27"/>
      <c r="G105" s="22"/>
      <c r="H105" s="299"/>
      <c r="I105" s="326"/>
      <c r="J105" s="310"/>
      <c r="K105" s="242"/>
      <c r="L105" s="134"/>
      <c r="M105" s="134"/>
      <c r="N105" s="134"/>
      <c r="O105" s="134"/>
      <c r="P105" s="134"/>
      <c r="Q105" s="242"/>
      <c r="R105" s="242"/>
      <c r="S105" s="242"/>
      <c r="T105" s="242"/>
      <c r="U105" s="242"/>
      <c r="V105" s="242"/>
      <c r="W105" s="242"/>
      <c r="X105" s="242"/>
      <c r="Y105" s="242"/>
      <c r="Z105" s="242"/>
    </row>
    <row r="106" spans="1:26" x14ac:dyDescent="0.15">
      <c r="A106" s="245" t="s">
        <v>351</v>
      </c>
      <c r="B106" s="343"/>
      <c r="C106" s="295">
        <f>VLOOKUP(A106,'imp-questions'!A:H,5,FALSE)</f>
        <v>2</v>
      </c>
      <c r="D106" s="288" t="str">
        <f>VLOOKUP(A106,'imp-questions'!A:H,6,FALSE)</f>
        <v>Are build processes automated?</v>
      </c>
      <c r="E106" s="250" t="str">
        <f>CHAR(65+VLOOKUP(A106,'imp-questions'!A:H,8,FALSE))</f>
        <v>A</v>
      </c>
      <c r="F106" s="279"/>
      <c r="G106" s="18">
        <f>IFERROR(VLOOKUP(F106,AnsATBL,2,FALSE),0)</f>
        <v>0</v>
      </c>
      <c r="H106" s="300">
        <v>0</v>
      </c>
      <c r="I106" s="317"/>
      <c r="J106" s="301"/>
      <c r="K106" s="291"/>
      <c r="L106" s="134"/>
      <c r="M106" s="134"/>
      <c r="N106" s="134"/>
      <c r="O106" s="134"/>
      <c r="P106" s="134"/>
      <c r="Q106" s="291"/>
      <c r="R106" s="291"/>
      <c r="S106" s="291"/>
      <c r="T106" s="291"/>
      <c r="U106" s="291"/>
      <c r="V106" s="291"/>
      <c r="W106" s="291"/>
      <c r="X106" s="291"/>
      <c r="Y106" s="291"/>
      <c r="Z106" s="291"/>
    </row>
    <row r="107" spans="1:26" ht="42" x14ac:dyDescent="0.15">
      <c r="A107"/>
      <c r="B107" s="343"/>
      <c r="C107" s="224"/>
      <c r="D107" s="277" t="str">
        <f>VLOOKUP(A106,'imp-questions'!A:H,7,FALSE)</f>
        <v xml:space="preserve">Your build tools are hardened as per best practice and vendor guidance
You encrypt the secrets required by the build tools and control access based on the principle of least privilege
</v>
      </c>
      <c r="E107" s="255"/>
      <c r="F107" s="27"/>
      <c r="G107" s="22"/>
      <c r="H107" s="302"/>
      <c r="I107" s="318"/>
      <c r="J107" s="301"/>
      <c r="K107" s="291"/>
      <c r="L107" s="134"/>
      <c r="M107" s="134"/>
      <c r="N107" s="134"/>
      <c r="O107" s="134"/>
      <c r="P107" s="134"/>
      <c r="Q107" s="291"/>
      <c r="R107" s="291"/>
      <c r="S107" s="291"/>
      <c r="T107" s="291"/>
      <c r="U107" s="291"/>
      <c r="V107" s="291"/>
      <c r="W107" s="291"/>
      <c r="X107" s="291"/>
      <c r="Y107" s="291"/>
      <c r="Z107" s="291"/>
    </row>
    <row r="108" spans="1:26" x14ac:dyDescent="0.15">
      <c r="A108" s="245" t="s">
        <v>354</v>
      </c>
      <c r="B108" s="343"/>
      <c r="C108" s="295">
        <f>VLOOKUP(A108,'imp-questions'!A:H,5,FALSE)</f>
        <v>3</v>
      </c>
      <c r="D108" s="288" t="str">
        <f>VLOOKUP(A108,'imp-questions'!A:H,6,FALSE)</f>
        <v>Do you integrate automated security checks in build processes?</v>
      </c>
      <c r="E108" s="250" t="str">
        <f>CHAR(65+VLOOKUP(A108,'imp-questions'!A:H,8,FALSE))</f>
        <v>A</v>
      </c>
      <c r="F108" s="279"/>
      <c r="G108" s="18">
        <f>IFERROR(VLOOKUP(F108,AnsATBL,2,FALSE),0)</f>
        <v>0</v>
      </c>
      <c r="H108" s="300">
        <v>0</v>
      </c>
      <c r="I108" s="336"/>
      <c r="J108" s="301"/>
      <c r="K108" s="242"/>
      <c r="L108" s="134"/>
      <c r="M108" s="134"/>
      <c r="N108" s="134"/>
      <c r="O108" s="134"/>
      <c r="P108" s="134"/>
      <c r="Q108" s="242"/>
      <c r="R108" s="242"/>
      <c r="S108" s="242"/>
      <c r="T108" s="242"/>
      <c r="U108" s="242"/>
      <c r="V108" s="242"/>
      <c r="W108" s="242"/>
      <c r="X108" s="242"/>
      <c r="Y108" s="242"/>
      <c r="Z108" s="242"/>
    </row>
    <row r="109" spans="1:26" ht="70" x14ac:dyDescent="0.15">
      <c r="A109"/>
      <c r="B109" s="344"/>
      <c r="C109" s="259"/>
      <c r="D109" s="269" t="str">
        <f>VLOOKUP(A108,'imp-questions'!A:H,7,FALSE)</f>
        <v xml:space="preserve">You have a maximum accepted severity for vulnerabilties
You log warnings and failures in a centralized system
Build processes prevent deployment to production when security checks fail
You select and configure tools to evaluate each application against its security requirements
</v>
      </c>
      <c r="E109" s="255"/>
      <c r="F109" s="27"/>
      <c r="G109" s="22"/>
      <c r="H109" s="302"/>
      <c r="I109" s="318"/>
      <c r="J109" s="301"/>
      <c r="K109" s="242"/>
      <c r="L109" s="134"/>
      <c r="M109" s="134"/>
      <c r="N109" s="134"/>
      <c r="O109" s="134"/>
      <c r="P109" s="134"/>
      <c r="Q109" s="242"/>
      <c r="R109" s="242"/>
      <c r="S109" s="242"/>
      <c r="T109" s="242"/>
      <c r="U109" s="242"/>
      <c r="V109" s="242"/>
      <c r="W109" s="242"/>
      <c r="X109" s="242"/>
      <c r="Y109" s="242"/>
      <c r="Z109" s="242"/>
    </row>
    <row r="110" spans="1:26" x14ac:dyDescent="0.15">
      <c r="A110"/>
      <c r="B110" s="330"/>
      <c r="C110" s="331"/>
      <c r="D110" s="331"/>
      <c r="E110" s="331"/>
      <c r="F110" s="331"/>
      <c r="G110" s="331"/>
      <c r="H110" s="331"/>
      <c r="I110" s="332"/>
      <c r="J110" s="11"/>
      <c r="K110" s="242"/>
      <c r="L110" s="134"/>
      <c r="M110" s="134"/>
      <c r="N110" s="134"/>
      <c r="O110" s="134"/>
      <c r="P110" s="134"/>
      <c r="Q110" s="242"/>
      <c r="R110" s="242"/>
      <c r="S110" s="242"/>
      <c r="T110" s="242"/>
      <c r="U110" s="242"/>
      <c r="V110" s="242"/>
      <c r="W110" s="242"/>
      <c r="X110" s="242"/>
      <c r="Y110" s="242"/>
      <c r="Z110" s="242"/>
    </row>
    <row r="111" spans="1:26" x14ac:dyDescent="0.15">
      <c r="A111" s="245" t="s">
        <v>357</v>
      </c>
      <c r="B111" s="342" t="str">
        <f>VLOOKUP(A111,'imp-questions'!A:H,4,FALSE)</f>
        <v>Software Dependencies</v>
      </c>
      <c r="C111" s="295">
        <f>VLOOKUP(A111,'imp-questions'!A:H,5,FALSE)</f>
        <v>1</v>
      </c>
      <c r="D111" s="288" t="str">
        <f>VLOOKUP(A111,'imp-questions'!A:H,6,FALSE)</f>
        <v>Do you evaluate security risk stemming from used dependencies?</v>
      </c>
      <c r="E111" s="250" t="str">
        <f>CHAR(65+VLOOKUP(A111,'imp-questions'!A:H,8,FALSE))</f>
        <v>A</v>
      </c>
      <c r="F111" s="279"/>
      <c r="G111" s="18">
        <f>IFERROR(VLOOKUP(F111,AnsATBL,2,FALSE),0)</f>
        <v>0</v>
      </c>
      <c r="H111" s="105"/>
      <c r="I111" s="315"/>
      <c r="J111" s="11"/>
      <c r="K111" s="242"/>
      <c r="L111" s="134"/>
      <c r="M111" s="134"/>
      <c r="N111" s="134"/>
      <c r="O111" s="134"/>
      <c r="P111" s="134"/>
      <c r="Q111" s="242"/>
      <c r="R111" s="242"/>
      <c r="S111" s="242"/>
      <c r="T111" s="242"/>
      <c r="U111" s="242"/>
      <c r="V111" s="242"/>
      <c r="W111" s="242"/>
      <c r="X111" s="242"/>
      <c r="Y111" s="242"/>
      <c r="Z111" s="242"/>
    </row>
    <row r="112" spans="1:26" ht="56" x14ac:dyDescent="0.15">
      <c r="A112"/>
      <c r="B112" s="343"/>
      <c r="C112" s="224"/>
      <c r="D112" s="277" t="str">
        <f>VLOOKUP(A111,'imp-questions'!A:H,7,FALSE)</f>
        <v xml:space="preserve">You have current bill of materials (BOM) for every application
You can quickly find out which applications are affected by a particular CVE
You have provably analyzed and addressed findings from dependencies at least once in the last three months
</v>
      </c>
      <c r="E112" s="255"/>
      <c r="F112" s="27"/>
      <c r="G112" s="22"/>
      <c r="H112" s="117"/>
      <c r="I112" s="316"/>
      <c r="J112" s="11"/>
      <c r="K112" s="242"/>
      <c r="L112" s="134"/>
      <c r="M112" s="134"/>
      <c r="N112" s="134"/>
      <c r="O112" s="134"/>
      <c r="P112" s="134"/>
      <c r="Q112" s="242"/>
      <c r="R112" s="242"/>
      <c r="S112" s="242"/>
      <c r="T112" s="242"/>
      <c r="U112" s="242"/>
      <c r="V112" s="242"/>
      <c r="W112" s="242"/>
      <c r="X112" s="242"/>
      <c r="Y112" s="242"/>
      <c r="Z112" s="242"/>
    </row>
    <row r="113" spans="1:26" x14ac:dyDescent="0.15">
      <c r="A113" s="245" t="s">
        <v>361</v>
      </c>
      <c r="B113" s="343"/>
      <c r="C113" s="295">
        <f>VLOOKUP(A113,'imp-questions'!A:H,5,FALSE)</f>
        <v>2</v>
      </c>
      <c r="D113" s="288" t="str">
        <f>VLOOKUP(A113,'imp-questions'!A:H,6,FALSE)</f>
        <v>Is 3rd party dependency risk handled by a formal process?</v>
      </c>
      <c r="E113" s="250" t="str">
        <f>CHAR(65+VLOOKUP(A113,'imp-questions'!A:H,8,FALSE))</f>
        <v>A</v>
      </c>
      <c r="F113" s="279"/>
      <c r="G113" s="18">
        <f>IFERROR(VLOOKUP(F113,AnsATBL,2,FALSE),0)</f>
        <v>0</v>
      </c>
      <c r="H113" s="105"/>
      <c r="I113" s="315"/>
      <c r="J113" s="11"/>
      <c r="K113" s="291"/>
      <c r="L113" s="134"/>
      <c r="M113" s="134"/>
      <c r="N113" s="134"/>
      <c r="O113" s="134"/>
      <c r="P113" s="134"/>
      <c r="Q113" s="291"/>
      <c r="R113" s="291"/>
      <c r="S113" s="291"/>
      <c r="T113" s="291"/>
      <c r="U113" s="291"/>
      <c r="V113" s="291"/>
      <c r="W113" s="291"/>
      <c r="X113" s="291"/>
      <c r="Y113" s="291"/>
      <c r="Z113" s="291"/>
    </row>
    <row r="114" spans="1:26" ht="70" x14ac:dyDescent="0.15">
      <c r="A114"/>
      <c r="B114" s="343"/>
      <c r="C114" s="224"/>
      <c r="D114" s="277" t="str">
        <f>VLOOKUP(A113,'imp-questions'!A:H,7,FALSE)</f>
        <v xml:space="preserve">Dependencies are automatically evaluated for new CVEs
Above defined criticality threshold, responsible staff is alerted
License changes with possible impact on legal application usage are automatically detected and alerted
Usage of unmaintained dependencies is tracked and alerted
</v>
      </c>
      <c r="E114" s="255"/>
      <c r="F114" s="27"/>
      <c r="G114" s="22"/>
      <c r="H114" s="117"/>
      <c r="I114" s="316"/>
      <c r="J114" s="11"/>
      <c r="K114" s="291"/>
      <c r="L114" s="134"/>
      <c r="M114" s="134"/>
      <c r="N114" s="134"/>
      <c r="O114" s="134"/>
      <c r="P114" s="134"/>
      <c r="Q114" s="291"/>
      <c r="R114" s="291"/>
      <c r="S114" s="291"/>
      <c r="T114" s="291"/>
      <c r="U114" s="291"/>
      <c r="V114" s="291"/>
      <c r="W114" s="291"/>
      <c r="X114" s="291"/>
      <c r="Y114" s="291"/>
      <c r="Z114" s="291"/>
    </row>
    <row r="115" spans="1:26" x14ac:dyDescent="0.15">
      <c r="A115" s="245" t="s">
        <v>364</v>
      </c>
      <c r="B115" s="343"/>
      <c r="C115" s="295">
        <f>VLOOKUP(A115,'imp-questions'!A:H,5,FALSE)</f>
        <v>3</v>
      </c>
      <c r="D115" s="288" t="str">
        <f>VLOOKUP(A115,'imp-questions'!A:H,6,FALSE)</f>
        <v>Do you prevent build of software if it's affected by vulnerabilities in dependencies?</v>
      </c>
      <c r="E115" s="250" t="str">
        <f>CHAR(65+VLOOKUP(A115,'imp-questions'!A:H,8,FALSE))</f>
        <v>A</v>
      </c>
      <c r="F115" s="279"/>
      <c r="G115" s="18">
        <f>IFERROR(VLOOKUP(F115,AnsATBL,2,FALSE),0)</f>
        <v>0</v>
      </c>
      <c r="H115" s="105"/>
      <c r="I115" s="315"/>
      <c r="J115" s="11"/>
      <c r="K115" s="242"/>
      <c r="L115" s="134"/>
      <c r="M115" s="134"/>
      <c r="N115" s="134"/>
      <c r="O115" s="134"/>
      <c r="P115" s="134"/>
      <c r="Q115" s="242"/>
      <c r="R115" s="242"/>
      <c r="S115" s="242"/>
      <c r="T115" s="242"/>
      <c r="U115" s="242"/>
      <c r="V115" s="242"/>
      <c r="W115" s="242"/>
      <c r="X115" s="242"/>
      <c r="Y115" s="242"/>
      <c r="Z115" s="242"/>
    </row>
    <row r="116" spans="1:26" ht="84" x14ac:dyDescent="0.15">
      <c r="A116"/>
      <c r="B116" s="344"/>
      <c r="C116" s="259"/>
      <c r="D116" s="269" t="str">
        <f>VLOOKUP(A115,'imp-questions'!A:H,7,FALSE)</f>
        <v xml:space="preserve">Your build system is connected to a system for tracking 3rd party dependency risk, causing build to fail unless the vulnerability is evaluated to be a false positive or the risk is explicitely accepted.
You scan your dependencies using a static analysis tool
You report findings back to dependency authors using an established responsible disclosure process
Using a new dependency which has not been evaluated for security risk causes failing the build
</v>
      </c>
      <c r="E116" s="255"/>
      <c r="F116" s="27"/>
      <c r="G116" s="22"/>
      <c r="H116" s="117"/>
      <c r="I116" s="316"/>
      <c r="J116" s="11"/>
      <c r="K116" s="242"/>
      <c r="L116" s="134"/>
      <c r="M116" s="134"/>
      <c r="N116" s="134"/>
      <c r="O116" s="134"/>
      <c r="P116" s="134"/>
      <c r="Q116" s="242"/>
      <c r="R116" s="242"/>
      <c r="S116" s="242"/>
      <c r="T116" s="242"/>
      <c r="U116" s="242"/>
      <c r="V116" s="242"/>
      <c r="W116" s="242"/>
      <c r="X116" s="242"/>
      <c r="Y116" s="242"/>
      <c r="Z116" s="242"/>
    </row>
    <row r="117" spans="1:26" x14ac:dyDescent="0.15">
      <c r="A117"/>
      <c r="B117" s="403" t="s">
        <v>368</v>
      </c>
      <c r="C117" s="404"/>
      <c r="D117" s="405"/>
      <c r="E117" s="266"/>
      <c r="F117" s="267" t="s">
        <v>70</v>
      </c>
      <c r="G117" s="267"/>
      <c r="H117" s="268"/>
      <c r="I117" s="265" t="s">
        <v>26</v>
      </c>
      <c r="J117" s="265" t="s">
        <v>68</v>
      </c>
      <c r="K117" s="242"/>
      <c r="L117" s="134"/>
      <c r="M117" s="134"/>
      <c r="N117" s="134"/>
      <c r="O117" s="134"/>
      <c r="P117" s="134"/>
      <c r="Q117" s="242"/>
      <c r="R117" s="242"/>
      <c r="S117" s="242"/>
      <c r="T117" s="242"/>
      <c r="U117" s="242"/>
      <c r="V117" s="242"/>
      <c r="W117" s="242"/>
      <c r="X117" s="242"/>
      <c r="Y117" s="242"/>
      <c r="Z117" s="242"/>
    </row>
    <row r="118" spans="1:26" x14ac:dyDescent="0.15">
      <c r="A118" s="245" t="s">
        <v>367</v>
      </c>
      <c r="B118" s="342" t="str">
        <f>VLOOKUP(A118,'imp-questions'!A:H,4,FALSE)</f>
        <v>Deployment Process</v>
      </c>
      <c r="C118" s="295">
        <f>VLOOKUP(A118,'imp-questions'!A:H,5,FALSE)</f>
        <v>1</v>
      </c>
      <c r="D118" s="288" t="str">
        <f>VLOOKUP(A118,'imp-questions'!A:H,6,FALSE)</f>
        <v>Do you use repeatable deployment processes?</v>
      </c>
      <c r="E118" s="250" t="str">
        <f>CHAR(65+VLOOKUP(A118,'imp-questions'!A:H,8,FALSE))</f>
        <v>A</v>
      </c>
      <c r="F118" s="279"/>
      <c r="G118" s="18">
        <f>IFERROR(VLOOKUP(F118,AnsATBL,2,FALSE),0)</f>
        <v>0</v>
      </c>
      <c r="H118" s="298">
        <v>0</v>
      </c>
      <c r="I118" s="325"/>
      <c r="J118" s="309">
        <v>0</v>
      </c>
      <c r="K118" s="242"/>
      <c r="L118" s="134"/>
      <c r="M118" s="134"/>
      <c r="N118" s="134"/>
      <c r="O118" s="134"/>
      <c r="P118" s="134"/>
      <c r="Q118" s="242"/>
      <c r="R118" s="242"/>
      <c r="S118" s="242"/>
      <c r="T118" s="242"/>
      <c r="U118" s="242"/>
      <c r="V118" s="242"/>
      <c r="W118" s="242"/>
      <c r="X118" s="242"/>
      <c r="Y118" s="242"/>
      <c r="Z118" s="242"/>
    </row>
    <row r="119" spans="1:26" ht="84" x14ac:dyDescent="0.15">
      <c r="A119"/>
      <c r="B119" s="343"/>
      <c r="C119" s="224"/>
      <c r="D119" s="277" t="str">
        <f>VLOOKUP(A118,'imp-questions'!A:H,7,FALSE)</f>
        <v xml:space="preserve">You have enough information to run the deployment processes
Your deployment documentation up to date
Your deployment documentation is accessible to relevant stakeholders
You ensure that only defined qualified personnel can trigger a deployment
You harden the tools that are used within the deployment process
</v>
      </c>
      <c r="E119" s="255"/>
      <c r="F119" s="27"/>
      <c r="G119" s="22"/>
      <c r="H119" s="299"/>
      <c r="I119" s="326"/>
      <c r="J119" s="310"/>
      <c r="K119" s="242"/>
      <c r="L119" s="134"/>
      <c r="M119" s="134"/>
      <c r="N119" s="134"/>
      <c r="O119" s="134"/>
      <c r="P119" s="134"/>
      <c r="Q119" s="242"/>
      <c r="R119" s="242"/>
      <c r="S119" s="242"/>
      <c r="T119" s="242"/>
      <c r="U119" s="242"/>
      <c r="V119" s="242"/>
      <c r="W119" s="242"/>
      <c r="X119" s="242"/>
      <c r="Y119" s="242"/>
      <c r="Z119" s="242"/>
    </row>
    <row r="120" spans="1:26" x14ac:dyDescent="0.15">
      <c r="A120" s="245" t="s">
        <v>372</v>
      </c>
      <c r="B120" s="343"/>
      <c r="C120" s="295">
        <f>VLOOKUP(A120,'imp-questions'!A:H,5,FALSE)</f>
        <v>2</v>
      </c>
      <c r="D120" s="288" t="str">
        <f>VLOOKUP(A120,'imp-questions'!A:H,6,FALSE)</f>
        <v>Are deployment processes automated and taking into account security?</v>
      </c>
      <c r="E120" s="250" t="str">
        <f>CHAR(65+VLOOKUP(A120,'imp-questions'!A:H,8,FALSE))</f>
        <v>A</v>
      </c>
      <c r="F120" s="279"/>
      <c r="G120" s="18">
        <f>IFERROR(VLOOKUP(F120,AnsATBL,2,FALSE),0)</f>
        <v>0</v>
      </c>
      <c r="H120" s="300">
        <v>0</v>
      </c>
      <c r="I120" s="317"/>
      <c r="J120" s="301"/>
      <c r="K120" s="291"/>
      <c r="L120" s="134"/>
      <c r="M120" s="134"/>
      <c r="N120" s="134"/>
      <c r="O120" s="134"/>
      <c r="P120" s="134"/>
      <c r="Q120" s="291"/>
      <c r="R120" s="291"/>
      <c r="S120" s="291"/>
      <c r="T120" s="291"/>
      <c r="U120" s="291"/>
      <c r="V120" s="291"/>
      <c r="W120" s="291"/>
      <c r="X120" s="291"/>
      <c r="Y120" s="291"/>
      <c r="Z120" s="291"/>
    </row>
    <row r="121" spans="1:26" ht="56" x14ac:dyDescent="0.15">
      <c r="A121"/>
      <c r="B121" s="343"/>
      <c r="C121" s="224"/>
      <c r="D121" s="277" t="str">
        <f>VLOOKUP(A120,'imp-questions'!A:H,7,FALSE)</f>
        <v xml:space="preserve">Deployment includes automated security testing procedures
Responsible staff is alerted with identified vulnerabilities
You have logs available for your past deployments for a defined period of time
</v>
      </c>
      <c r="E121" s="255"/>
      <c r="F121" s="27"/>
      <c r="G121" s="22"/>
      <c r="H121" s="302"/>
      <c r="I121" s="318"/>
      <c r="J121" s="301"/>
      <c r="K121" s="291"/>
      <c r="L121" s="134"/>
      <c r="M121" s="134"/>
      <c r="N121" s="134"/>
      <c r="O121" s="134"/>
      <c r="P121" s="134"/>
      <c r="Q121" s="291"/>
      <c r="R121" s="291"/>
      <c r="S121" s="291"/>
      <c r="T121" s="291"/>
      <c r="U121" s="291"/>
      <c r="V121" s="291"/>
      <c r="W121" s="291"/>
      <c r="X121" s="291"/>
      <c r="Y121" s="291"/>
      <c r="Z121" s="291"/>
    </row>
    <row r="122" spans="1:26" x14ac:dyDescent="0.15">
      <c r="A122" s="245" t="s">
        <v>375</v>
      </c>
      <c r="B122" s="343"/>
      <c r="C122" s="295">
        <f>VLOOKUP(A122,'imp-questions'!A:H,5,FALSE)</f>
        <v>3</v>
      </c>
      <c r="D122" s="288" t="str">
        <f>VLOOKUP(A122,'imp-questions'!A:H,6,FALSE)</f>
        <v>Do you consistently validate the integrity of deployed artifacts?</v>
      </c>
      <c r="E122" s="250" t="str">
        <f>CHAR(65+VLOOKUP(A122,'imp-questions'!A:H,8,FALSE))</f>
        <v>A</v>
      </c>
      <c r="F122" s="279"/>
      <c r="G122" s="18">
        <f>IFERROR(VLOOKUP(F122,AnsATBL,2,FALSE),0)</f>
        <v>0</v>
      </c>
      <c r="H122" s="300">
        <v>0</v>
      </c>
      <c r="I122" s="336"/>
      <c r="J122" s="301"/>
      <c r="K122" s="242"/>
      <c r="L122" s="134"/>
      <c r="M122" s="134"/>
      <c r="N122" s="134"/>
      <c r="O122" s="134"/>
      <c r="P122" s="134"/>
      <c r="Q122" s="242"/>
      <c r="R122" s="242"/>
      <c r="S122" s="242"/>
      <c r="T122" s="242"/>
      <c r="U122" s="242"/>
      <c r="V122" s="242"/>
      <c r="W122" s="242"/>
      <c r="X122" s="242"/>
      <c r="Y122" s="242"/>
      <c r="Z122" s="242"/>
    </row>
    <row r="123" spans="1:26" ht="42" x14ac:dyDescent="0.15">
      <c r="A123"/>
      <c r="B123" s="344"/>
      <c r="C123" s="259"/>
      <c r="D123" s="269" t="str">
        <f>VLOOKUP(A122,'imp-questions'!A:H,7,FALSE)</f>
        <v xml:space="preserve">Deployment is prevented or rolled back in case integrity breach is detected
Software without a valid integrity check is not deployed
</v>
      </c>
      <c r="E123" s="255"/>
      <c r="F123" s="27"/>
      <c r="G123" s="22"/>
      <c r="H123" s="302"/>
      <c r="I123" s="318"/>
      <c r="J123" s="301"/>
      <c r="K123" s="242"/>
      <c r="L123" s="134"/>
      <c r="M123" s="134"/>
      <c r="N123" s="134"/>
      <c r="O123" s="134"/>
      <c r="P123" s="134"/>
      <c r="Q123" s="242"/>
      <c r="R123" s="242"/>
      <c r="S123" s="242"/>
      <c r="T123" s="242"/>
      <c r="U123" s="242"/>
      <c r="V123" s="242"/>
      <c r="W123" s="242"/>
      <c r="X123" s="242"/>
      <c r="Y123" s="242"/>
      <c r="Z123" s="242"/>
    </row>
    <row r="124" spans="1:26" x14ac:dyDescent="0.15">
      <c r="A124"/>
      <c r="B124" s="330"/>
      <c r="C124" s="331"/>
      <c r="D124" s="331"/>
      <c r="E124" s="331"/>
      <c r="F124" s="331"/>
      <c r="G124" s="331"/>
      <c r="H124" s="331"/>
      <c r="I124" s="332"/>
      <c r="J124" s="11"/>
      <c r="K124" s="242"/>
      <c r="L124" s="134"/>
      <c r="M124" s="134"/>
      <c r="N124" s="134"/>
      <c r="O124" s="134"/>
      <c r="P124" s="134"/>
      <c r="Q124" s="242"/>
      <c r="R124" s="242"/>
      <c r="S124" s="242"/>
      <c r="T124" s="242"/>
      <c r="U124" s="242"/>
      <c r="V124" s="242"/>
      <c r="W124" s="242"/>
      <c r="X124" s="242"/>
      <c r="Y124" s="242"/>
      <c r="Z124" s="242"/>
    </row>
    <row r="125" spans="1:26" x14ac:dyDescent="0.15">
      <c r="A125" s="245" t="s">
        <v>378</v>
      </c>
      <c r="B125" s="342" t="str">
        <f>VLOOKUP(A125,'imp-questions'!A:H,4,FALSE)</f>
        <v>Secret Management</v>
      </c>
      <c r="C125" s="295">
        <f>VLOOKUP(A125,'imp-questions'!A:H,5,FALSE)</f>
        <v>1</v>
      </c>
      <c r="D125" s="288" t="str">
        <f>VLOOKUP(A125,'imp-questions'!A:H,6,FALSE)</f>
        <v>Do you limit access to application secrets according to the need to know principle?</v>
      </c>
      <c r="E125" s="250" t="str">
        <f>CHAR(65+VLOOKUP(A125,'imp-questions'!A:H,8,FALSE))</f>
        <v>A</v>
      </c>
      <c r="F125" s="279"/>
      <c r="G125" s="18">
        <f>IFERROR(VLOOKUP(F125,AnsATBL,2,FALSE),0)</f>
        <v>0</v>
      </c>
      <c r="H125" s="105"/>
      <c r="I125" s="315"/>
      <c r="J125" s="11"/>
      <c r="K125" s="242"/>
      <c r="L125" s="134"/>
      <c r="M125" s="134"/>
      <c r="N125" s="134"/>
      <c r="O125" s="134"/>
      <c r="P125" s="134"/>
      <c r="Q125" s="242"/>
      <c r="R125" s="242"/>
      <c r="S125" s="242"/>
      <c r="T125" s="242"/>
      <c r="U125" s="242"/>
      <c r="V125" s="242"/>
      <c r="W125" s="242"/>
      <c r="X125" s="242"/>
      <c r="Y125" s="242"/>
      <c r="Z125" s="242"/>
    </row>
    <row r="126" spans="1:26" ht="28" x14ac:dyDescent="0.15">
      <c r="A126"/>
      <c r="B126" s="343"/>
      <c r="C126" s="224"/>
      <c r="D126" s="277" t="str">
        <f>VLOOKUP(A125,'imp-questions'!A:H,7,FALSE)</f>
        <v xml:space="preserve">You store application secrets protected in a secured location
</v>
      </c>
      <c r="E126" s="255"/>
      <c r="F126" s="27"/>
      <c r="G126" s="22"/>
      <c r="H126" s="117"/>
      <c r="I126" s="316"/>
      <c r="J126" s="11"/>
      <c r="K126" s="242"/>
      <c r="L126" s="134"/>
      <c r="M126" s="134"/>
      <c r="N126" s="134"/>
      <c r="O126" s="134"/>
      <c r="P126" s="134"/>
      <c r="Q126" s="242"/>
      <c r="R126" s="242"/>
      <c r="S126" s="242"/>
      <c r="T126" s="242"/>
      <c r="U126" s="242"/>
      <c r="V126" s="242"/>
      <c r="W126" s="242"/>
      <c r="X126" s="242"/>
      <c r="Y126" s="242"/>
      <c r="Z126" s="242"/>
    </row>
    <row r="127" spans="1:26" ht="28" x14ac:dyDescent="0.15">
      <c r="A127" s="245" t="s">
        <v>382</v>
      </c>
      <c r="B127" s="343"/>
      <c r="C127" s="295">
        <f>VLOOKUP(A127,'imp-questions'!A:H,5,FALSE)</f>
        <v>2</v>
      </c>
      <c r="D127" s="288" t="str">
        <f>VLOOKUP(A127,'imp-questions'!A:H,6,FALSE)</f>
        <v>Do you minimize permanent storage of secrets in application artefacts, for instance by injecting them into the configuration using an automated process?</v>
      </c>
      <c r="E127" s="250" t="str">
        <f>CHAR(65+VLOOKUP(A127,'imp-questions'!A:H,8,FALSE))</f>
        <v>A</v>
      </c>
      <c r="F127" s="279"/>
      <c r="G127" s="18">
        <f>IFERROR(VLOOKUP(F127,AnsATBL,2,FALSE),0)</f>
        <v>0</v>
      </c>
      <c r="H127" s="105"/>
      <c r="I127" s="315"/>
      <c r="J127" s="11"/>
      <c r="K127" s="291"/>
      <c r="L127" s="134"/>
      <c r="M127" s="134"/>
      <c r="N127" s="134"/>
      <c r="O127" s="134"/>
      <c r="P127" s="134"/>
      <c r="Q127" s="291"/>
      <c r="R127" s="291"/>
      <c r="S127" s="291"/>
      <c r="T127" s="291"/>
      <c r="U127" s="291"/>
      <c r="V127" s="291"/>
      <c r="W127" s="291"/>
      <c r="X127" s="291"/>
      <c r="Y127" s="291"/>
      <c r="Z127" s="291"/>
    </row>
    <row r="128" spans="1:26" ht="42" x14ac:dyDescent="0.15">
      <c r="A128"/>
      <c r="B128" s="343"/>
      <c r="C128" s="224"/>
      <c r="D128" s="277" t="str">
        <f>VLOOKUP(A127,'imp-questions'!A:H,7,FALSE)</f>
        <v xml:space="preserve">Under normal circumstances, no humans access secrets during deployment procedures
Any abnormal access to secrets is logged and alerted
</v>
      </c>
      <c r="E128" s="255"/>
      <c r="F128" s="27"/>
      <c r="G128" s="22"/>
      <c r="H128" s="117"/>
      <c r="I128" s="316"/>
      <c r="J128" s="11"/>
      <c r="K128" s="291"/>
      <c r="L128" s="134"/>
      <c r="M128" s="134"/>
      <c r="N128" s="134"/>
      <c r="O128" s="134"/>
      <c r="P128" s="134"/>
      <c r="Q128" s="291"/>
      <c r="R128" s="291"/>
      <c r="S128" s="291"/>
      <c r="T128" s="291"/>
      <c r="U128" s="291"/>
      <c r="V128" s="291"/>
      <c r="W128" s="291"/>
      <c r="X128" s="291"/>
      <c r="Y128" s="291"/>
      <c r="Z128" s="291"/>
    </row>
    <row r="129" spans="1:26" x14ac:dyDescent="0.15">
      <c r="A129" s="245" t="s">
        <v>385</v>
      </c>
      <c r="B129" s="343"/>
      <c r="C129" s="295">
        <f>VLOOKUP(A129,'imp-questions'!A:H,5,FALSE)</f>
        <v>3</v>
      </c>
      <c r="D129" s="288" t="str">
        <f>VLOOKUP(A129,'imp-questions'!A:H,6,FALSE)</f>
        <v>Do you regenerate application secrets during deployment?</v>
      </c>
      <c r="E129" s="250" t="str">
        <f>CHAR(65+VLOOKUP(A129,'imp-questions'!A:H,8,FALSE))</f>
        <v>A</v>
      </c>
      <c r="F129" s="279"/>
      <c r="G129" s="18">
        <f>IFERROR(VLOOKUP(F129,AnsATBL,2,FALSE),0)</f>
        <v>0</v>
      </c>
      <c r="H129" s="105"/>
      <c r="I129" s="315"/>
      <c r="J129" s="11"/>
      <c r="K129" s="242"/>
      <c r="L129" s="134"/>
      <c r="M129" s="134"/>
      <c r="N129" s="134"/>
      <c r="O129" s="134"/>
      <c r="P129" s="134"/>
      <c r="Q129" s="242"/>
      <c r="R129" s="242"/>
      <c r="S129" s="242"/>
      <c r="T129" s="242"/>
      <c r="U129" s="242"/>
      <c r="V129" s="242"/>
      <c r="W129" s="242"/>
      <c r="X129" s="242"/>
      <c r="Y129" s="242"/>
      <c r="Z129" s="242"/>
    </row>
    <row r="130" spans="1:26" ht="42" x14ac:dyDescent="0.15">
      <c r="A130"/>
      <c r="B130" s="344"/>
      <c r="C130" s="259"/>
      <c r="D130" s="269" t="str">
        <f>VLOOKUP(A129,'imp-questions'!A:H,7,FALSE)</f>
        <v xml:space="preserve">Secrets are generated and synchronized using a vetted solution
Detection of a secret in a configuration file fails the deployment
</v>
      </c>
      <c r="E130" s="255"/>
      <c r="F130" s="27"/>
      <c r="G130" s="22"/>
      <c r="H130" s="117"/>
      <c r="I130" s="316"/>
      <c r="J130" s="11"/>
      <c r="K130" s="242"/>
      <c r="L130" s="134"/>
      <c r="M130" s="134"/>
      <c r="N130" s="134"/>
      <c r="O130" s="134"/>
      <c r="P130" s="134"/>
      <c r="Q130" s="242"/>
      <c r="R130" s="242"/>
      <c r="S130" s="242"/>
      <c r="T130" s="242"/>
      <c r="U130" s="242"/>
      <c r="V130" s="242"/>
      <c r="W130" s="242"/>
      <c r="X130" s="242"/>
      <c r="Y130" s="242"/>
      <c r="Z130" s="242"/>
    </row>
    <row r="131" spans="1:26" x14ac:dyDescent="0.15">
      <c r="A131"/>
      <c r="B131" s="403" t="s">
        <v>389</v>
      </c>
      <c r="C131" s="404"/>
      <c r="D131" s="405"/>
      <c r="E131" s="266"/>
      <c r="F131" s="267" t="s">
        <v>70</v>
      </c>
      <c r="G131" s="267"/>
      <c r="H131" s="268"/>
      <c r="I131" s="265" t="s">
        <v>26</v>
      </c>
      <c r="J131" s="265" t="s">
        <v>68</v>
      </c>
      <c r="K131" s="242"/>
      <c r="L131" s="134"/>
      <c r="M131" s="134"/>
      <c r="N131" s="134"/>
      <c r="O131" s="134"/>
      <c r="P131" s="134"/>
      <c r="Q131" s="242"/>
      <c r="R131" s="242"/>
      <c r="S131" s="242"/>
      <c r="T131" s="242"/>
      <c r="U131" s="242"/>
      <c r="V131" s="242"/>
      <c r="W131" s="242"/>
      <c r="X131" s="242"/>
      <c r="Y131" s="242"/>
      <c r="Z131" s="242"/>
    </row>
    <row r="132" spans="1:26" x14ac:dyDescent="0.15">
      <c r="A132" s="245" t="s">
        <v>388</v>
      </c>
      <c r="B132" s="342" t="str">
        <f>VLOOKUP(A132,'imp-questions'!A:H,4,FALSE)</f>
        <v>Defect Tracking (Flaws/Bugs/Process)</v>
      </c>
      <c r="C132" s="295">
        <f>VLOOKUP(A132,'imp-questions'!A:H,5,FALSE)</f>
        <v>1</v>
      </c>
      <c r="D132" s="288" t="str">
        <f>VLOOKUP(A132,'imp-questions'!A:H,6,FALSE)</f>
        <v>Do you track all known security defects in a central location per defined scope?</v>
      </c>
      <c r="E132" s="250" t="str">
        <f>CHAR(65+VLOOKUP(A132,'imp-questions'!A:H,8,FALSE))</f>
        <v>A</v>
      </c>
      <c r="F132" s="279"/>
      <c r="G132" s="18">
        <f>IFERROR(VLOOKUP(F132,AnsATBL,2,FALSE),0)</f>
        <v>0</v>
      </c>
      <c r="H132" s="298">
        <v>0</v>
      </c>
      <c r="I132" s="325"/>
      <c r="J132" s="309">
        <v>0</v>
      </c>
      <c r="K132" s="242"/>
      <c r="L132" s="134"/>
      <c r="M132" s="134"/>
      <c r="N132" s="134"/>
      <c r="O132" s="134"/>
      <c r="P132" s="134"/>
      <c r="Q132" s="242"/>
      <c r="R132" s="242"/>
      <c r="S132" s="242"/>
      <c r="T132" s="242"/>
      <c r="U132" s="242"/>
      <c r="V132" s="242"/>
      <c r="W132" s="242"/>
      <c r="X132" s="242"/>
      <c r="Y132" s="242"/>
      <c r="Z132" s="242"/>
    </row>
    <row r="133" spans="1:26" ht="56" x14ac:dyDescent="0.15">
      <c r="A133"/>
      <c r="B133" s="343"/>
      <c r="C133" s="224"/>
      <c r="D133" s="277" t="str">
        <f>VLOOKUP(A132,'imp-questions'!A:H,7,FALSE)</f>
        <v xml:space="preserve">The process includess strategy for handling false positives and accepting risk
Defects stem from various sources / activities
Deduplication is ensured per location
</v>
      </c>
      <c r="E133" s="255"/>
      <c r="F133" s="27"/>
      <c r="G133" s="22"/>
      <c r="H133" s="299"/>
      <c r="I133" s="326"/>
      <c r="J133" s="310"/>
      <c r="K133" s="242"/>
      <c r="L133" s="134"/>
      <c r="M133" s="134"/>
      <c r="N133" s="134"/>
      <c r="O133" s="134"/>
      <c r="P133" s="134"/>
      <c r="Q133" s="242"/>
      <c r="R133" s="242"/>
      <c r="S133" s="242"/>
      <c r="T133" s="242"/>
      <c r="U133" s="242"/>
      <c r="V133" s="242"/>
      <c r="W133" s="242"/>
      <c r="X133" s="242"/>
      <c r="Y133" s="242"/>
      <c r="Z133" s="242"/>
    </row>
    <row r="134" spans="1:26" x14ac:dyDescent="0.15">
      <c r="A134" s="245" t="s">
        <v>393</v>
      </c>
      <c r="B134" s="343"/>
      <c r="C134" s="295">
        <f>VLOOKUP(A134,'imp-questions'!A:H,5,FALSE)</f>
        <v>2</v>
      </c>
      <c r="D134" s="288" t="str">
        <f>VLOOKUP(A134,'imp-questions'!A:H,6,FALSE)</f>
        <v>Do you take action on defects exceeding defined threshold?</v>
      </c>
      <c r="E134" s="250" t="str">
        <f>CHAR(65+VLOOKUP(A134,'imp-questions'!A:H,8,FALSE))</f>
        <v>A</v>
      </c>
      <c r="F134" s="279"/>
      <c r="G134" s="18">
        <f>IFERROR(VLOOKUP(F134,AnsATBL,2,FALSE),0)</f>
        <v>0</v>
      </c>
      <c r="H134" s="300">
        <v>0</v>
      </c>
      <c r="I134" s="317"/>
      <c r="J134" s="301"/>
      <c r="K134" s="291"/>
      <c r="L134" s="134"/>
      <c r="M134" s="134"/>
      <c r="N134" s="134"/>
      <c r="O134" s="134"/>
      <c r="P134" s="134"/>
      <c r="Q134" s="291"/>
      <c r="R134" s="291"/>
      <c r="S134" s="291"/>
      <c r="T134" s="291"/>
      <c r="U134" s="291"/>
      <c r="V134" s="291"/>
      <c r="W134" s="291"/>
      <c r="X134" s="291"/>
      <c r="Y134" s="291"/>
      <c r="Z134" s="291"/>
    </row>
    <row r="135" spans="1:26" ht="56" x14ac:dyDescent="0.15">
      <c r="A135"/>
      <c r="B135" s="343"/>
      <c r="C135" s="224"/>
      <c r="D135" s="277" t="str">
        <f>VLOOKUP(A134,'imp-questions'!A:H,7,FALSE)</f>
        <v xml:space="preserve">The defined threshold is documented in an accessible location
Reaching the threshold triggers a timely alert to the relevant stakeholders
You don't deploy applications exceeding the threshold
</v>
      </c>
      <c r="E135" s="255"/>
      <c r="F135" s="27"/>
      <c r="G135" s="22"/>
      <c r="H135" s="302"/>
      <c r="I135" s="318"/>
      <c r="J135" s="301"/>
      <c r="K135" s="291"/>
      <c r="L135" s="134"/>
      <c r="M135" s="134"/>
      <c r="N135" s="134"/>
      <c r="O135" s="134"/>
      <c r="P135" s="134"/>
      <c r="Q135" s="291"/>
      <c r="R135" s="291"/>
      <c r="S135" s="291"/>
      <c r="T135" s="291"/>
      <c r="U135" s="291"/>
      <c r="V135" s="291"/>
      <c r="W135" s="291"/>
      <c r="X135" s="291"/>
      <c r="Y135" s="291"/>
      <c r="Z135" s="291"/>
    </row>
    <row r="136" spans="1:26" x14ac:dyDescent="0.15">
      <c r="A136" s="245" t="s">
        <v>396</v>
      </c>
      <c r="B136" s="343"/>
      <c r="C136" s="295">
        <f>VLOOKUP(A136,'imp-questions'!A:H,5,FALSE)</f>
        <v>3</v>
      </c>
      <c r="D136" s="288" t="str">
        <f>VLOOKUP(A136,'imp-questions'!A:H,6,FALSE)</f>
        <v>Does independent security staff enforce the defined threshold?</v>
      </c>
      <c r="E136" s="250" t="str">
        <f>CHAR(65+VLOOKUP(A136,'imp-questions'!A:H,8,FALSE))</f>
        <v>A</v>
      </c>
      <c r="F136" s="279"/>
      <c r="G136" s="18">
        <f>IFERROR(VLOOKUP(F136,AnsATBL,2,FALSE),0)</f>
        <v>0</v>
      </c>
      <c r="H136" s="300">
        <v>0</v>
      </c>
      <c r="I136" s="336"/>
      <c r="J136" s="301"/>
      <c r="K136" s="242"/>
      <c r="L136" s="134"/>
      <c r="M136" s="134"/>
      <c r="N136" s="134"/>
      <c r="O136" s="134"/>
      <c r="P136" s="134"/>
      <c r="Q136" s="242"/>
      <c r="R136" s="242"/>
      <c r="S136" s="242"/>
      <c r="T136" s="242"/>
      <c r="U136" s="242"/>
      <c r="V136" s="242"/>
      <c r="W136" s="242"/>
      <c r="X136" s="242"/>
      <c r="Y136" s="242"/>
      <c r="Z136" s="242"/>
    </row>
    <row r="137" spans="1:26" ht="42" x14ac:dyDescent="0.15">
      <c r="A137"/>
      <c r="B137" s="344"/>
      <c r="C137" s="259"/>
      <c r="D137" s="269" t="str">
        <f>VLOOKUP(A136,'imp-questions'!A:H,7,FALSE)</f>
        <v xml:space="preserve">Knowledgeable decision based on input from defect management system is ensured upon deployment
The classification of the defects is regularly verified
</v>
      </c>
      <c r="E137" s="255"/>
      <c r="F137" s="27"/>
      <c r="G137" s="22"/>
      <c r="H137" s="302"/>
      <c r="I137" s="318"/>
      <c r="J137" s="301"/>
      <c r="K137" s="242"/>
      <c r="L137" s="134"/>
      <c r="M137" s="134"/>
      <c r="N137" s="134"/>
      <c r="O137" s="134"/>
      <c r="P137" s="134"/>
      <c r="Q137" s="242"/>
      <c r="R137" s="242"/>
      <c r="S137" s="242"/>
      <c r="T137" s="242"/>
      <c r="U137" s="242"/>
      <c r="V137" s="242"/>
      <c r="W137" s="242"/>
      <c r="X137" s="242"/>
      <c r="Y137" s="242"/>
      <c r="Z137" s="242"/>
    </row>
    <row r="138" spans="1:26" x14ac:dyDescent="0.15">
      <c r="A138"/>
      <c r="B138" s="330"/>
      <c r="C138" s="331"/>
      <c r="D138" s="331"/>
      <c r="E138" s="331"/>
      <c r="F138" s="331"/>
      <c r="G138" s="331"/>
      <c r="H138" s="331"/>
      <c r="I138" s="332"/>
      <c r="J138" s="11"/>
      <c r="K138" s="242"/>
      <c r="L138" s="134"/>
      <c r="M138" s="134"/>
      <c r="N138" s="134"/>
      <c r="O138" s="134"/>
      <c r="P138" s="134"/>
      <c r="Q138" s="242"/>
      <c r="R138" s="242"/>
      <c r="S138" s="242"/>
      <c r="T138" s="242"/>
      <c r="U138" s="242"/>
      <c r="V138" s="242"/>
      <c r="W138" s="242"/>
      <c r="X138" s="242"/>
      <c r="Y138" s="242"/>
      <c r="Z138" s="242"/>
    </row>
    <row r="139" spans="1:26" x14ac:dyDescent="0.15">
      <c r="A139" s="245" t="s">
        <v>399</v>
      </c>
      <c r="B139" s="342" t="str">
        <f>VLOOKUP(A139,'imp-questions'!A:H,4,FALSE)</f>
        <v>Metrics and Feedback/Learning</v>
      </c>
      <c r="C139" s="295">
        <f>VLOOKUP(A139,'imp-questions'!A:H,5,FALSE)</f>
        <v>1</v>
      </c>
      <c r="D139" s="288" t="str">
        <f>VLOOKUP(A139,'imp-questions'!A:H,6,FALSE)</f>
        <v>Do you share defect information for remediation and improving training materials?</v>
      </c>
      <c r="E139" s="250" t="str">
        <f>CHAR(65+VLOOKUP(A139,'imp-questions'!A:H,8,FALSE))</f>
        <v>A</v>
      </c>
      <c r="F139" s="279"/>
      <c r="G139" s="18">
        <f>IFERROR(VLOOKUP(F139,AnsATBL,2,FALSE),0)</f>
        <v>0</v>
      </c>
      <c r="H139" s="105"/>
      <c r="I139" s="315"/>
      <c r="J139" s="11"/>
      <c r="K139" s="242"/>
      <c r="L139" s="134"/>
      <c r="M139" s="134"/>
      <c r="N139" s="134"/>
      <c r="O139" s="134"/>
      <c r="P139" s="134"/>
      <c r="Q139" s="242"/>
      <c r="R139" s="242"/>
      <c r="S139" s="242"/>
      <c r="T139" s="242"/>
      <c r="U139" s="242"/>
      <c r="V139" s="242"/>
      <c r="W139" s="242"/>
      <c r="X139" s="242"/>
      <c r="Y139" s="242"/>
      <c r="Z139" s="242"/>
    </row>
    <row r="140" spans="1:26" ht="42" x14ac:dyDescent="0.15">
      <c r="A140"/>
      <c r="B140" s="343"/>
      <c r="C140" s="224"/>
      <c r="D140" s="277" t="str">
        <f>VLOOKUP(A139,'imp-questions'!A:H,7,FALSE)</f>
        <v xml:space="preserve">Basic information about defects is made available to fix them
You have improved your training materials based on the defect information in the last year
</v>
      </c>
      <c r="E140" s="255"/>
      <c r="F140" s="27"/>
      <c r="G140" s="22"/>
      <c r="H140" s="117"/>
      <c r="I140" s="316"/>
      <c r="J140" s="11"/>
      <c r="K140" s="242"/>
      <c r="L140" s="134"/>
      <c r="M140" s="134"/>
      <c r="N140" s="134"/>
      <c r="O140" s="134"/>
      <c r="P140" s="134"/>
      <c r="Q140" s="242"/>
      <c r="R140" s="242"/>
      <c r="S140" s="242"/>
      <c r="T140" s="242"/>
      <c r="U140" s="242"/>
      <c r="V140" s="242"/>
      <c r="W140" s="242"/>
      <c r="X140" s="242"/>
      <c r="Y140" s="242"/>
      <c r="Z140" s="242"/>
    </row>
    <row r="141" spans="1:26" x14ac:dyDescent="0.15">
      <c r="A141" s="245" t="s">
        <v>403</v>
      </c>
      <c r="B141" s="343"/>
      <c r="C141" s="295">
        <f>VLOOKUP(A141,'imp-questions'!A:H,5,FALSE)</f>
        <v>2</v>
      </c>
      <c r="D141" s="288" t="str">
        <f>VLOOKUP(A141,'imp-questions'!A:H,6,FALSE)</f>
        <v>Do you improve your assurance program upon well-defined metrics?</v>
      </c>
      <c r="E141" s="250" t="str">
        <f>CHAR(65+VLOOKUP(A141,'imp-questions'!A:H,8,FALSE))</f>
        <v>A</v>
      </c>
      <c r="F141" s="279"/>
      <c r="G141" s="18">
        <f>IFERROR(VLOOKUP(F141,AnsATBL,2,FALSE),0)</f>
        <v>0</v>
      </c>
      <c r="H141" s="105"/>
      <c r="I141" s="315"/>
      <c r="J141" s="11"/>
      <c r="K141" s="291"/>
      <c r="L141" s="134"/>
      <c r="M141" s="134"/>
      <c r="N141" s="134"/>
      <c r="O141" s="134"/>
      <c r="P141" s="134"/>
      <c r="Q141" s="291"/>
      <c r="R141" s="291"/>
      <c r="S141" s="291"/>
      <c r="T141" s="291"/>
      <c r="U141" s="291"/>
      <c r="V141" s="291"/>
      <c r="W141" s="291"/>
      <c r="X141" s="291"/>
      <c r="Y141" s="291"/>
      <c r="Z141" s="291"/>
    </row>
    <row r="142" spans="1:26" ht="56" x14ac:dyDescent="0.15">
      <c r="A142"/>
      <c r="B142" s="343"/>
      <c r="C142" s="224"/>
      <c r="D142" s="277" t="str">
        <f>VLOOKUP(A141,'imp-questions'!A:H,7,FALSE)</f>
        <v xml:space="preserve">Metrics for defect classification and categorization is documented and up to date
Executive management regularly receives information about defects has acted upon it in the last year
Defects are mapped to a list of threats
</v>
      </c>
      <c r="E142" s="255"/>
      <c r="F142" s="27"/>
      <c r="G142" s="22"/>
      <c r="H142" s="117"/>
      <c r="I142" s="316"/>
      <c r="J142" s="11"/>
      <c r="K142" s="291"/>
      <c r="L142" s="134"/>
      <c r="M142" s="134"/>
      <c r="N142" s="134"/>
      <c r="O142" s="134"/>
      <c r="P142" s="134"/>
      <c r="Q142" s="291"/>
      <c r="R142" s="291"/>
      <c r="S142" s="291"/>
      <c r="T142" s="291"/>
      <c r="U142" s="291"/>
      <c r="V142" s="291"/>
      <c r="W142" s="291"/>
      <c r="X142" s="291"/>
      <c r="Y142" s="291"/>
      <c r="Z142" s="291"/>
    </row>
    <row r="143" spans="1:26" x14ac:dyDescent="0.15">
      <c r="A143" s="245" t="s">
        <v>406</v>
      </c>
      <c r="B143" s="343"/>
      <c r="C143" s="295">
        <f>VLOOKUP(A143,'imp-questions'!A:H,5,FALSE)</f>
        <v>3</v>
      </c>
      <c r="D143" s="288" t="str">
        <f>VLOOKUP(A143,'imp-questions'!A:H,6,FALSE)</f>
        <v>Do you enrich defect metrics with relevant real time information?</v>
      </c>
      <c r="E143" s="250" t="str">
        <f>CHAR(65+VLOOKUP(A143,'imp-questions'!A:H,8,FALSE))</f>
        <v>A</v>
      </c>
      <c r="F143" s="279"/>
      <c r="G143" s="18">
        <f>IFERROR(VLOOKUP(F143,AnsATBL,2,FALSE),0)</f>
        <v>0</v>
      </c>
      <c r="H143" s="105"/>
      <c r="I143" s="315"/>
      <c r="J143" s="11"/>
      <c r="K143" s="242"/>
      <c r="L143" s="134"/>
      <c r="M143" s="134"/>
      <c r="N143" s="134"/>
      <c r="O143" s="134"/>
      <c r="P143" s="134"/>
      <c r="Q143" s="242"/>
      <c r="R143" s="242"/>
      <c r="S143" s="242"/>
      <c r="T143" s="242"/>
      <c r="U143" s="242"/>
      <c r="V143" s="242"/>
      <c r="W143" s="242"/>
      <c r="X143" s="242"/>
      <c r="Y143" s="242"/>
      <c r="Z143" s="242"/>
    </row>
    <row r="144" spans="1:26" ht="56" x14ac:dyDescent="0.15">
      <c r="A144"/>
      <c r="B144" s="344"/>
      <c r="C144" s="259"/>
      <c r="D144" s="269" t="str">
        <f>VLOOKUP(A143,'imp-questions'!A:H,7,FALSE)</f>
        <v xml:space="preserve">Defect metrics are automatically correlated with real-time environment information
Relevant stakeholders get timely update on significant changes in the defect classification
Trends in defect development have been updated in the last year
</v>
      </c>
      <c r="E144" s="255"/>
      <c r="F144" s="27"/>
      <c r="G144" s="22"/>
      <c r="H144" s="117"/>
      <c r="I144" s="316"/>
      <c r="J144" s="11"/>
      <c r="K144" s="242"/>
      <c r="L144" s="134"/>
      <c r="M144" s="134"/>
      <c r="N144" s="134"/>
      <c r="O144" s="134"/>
      <c r="P144" s="134"/>
      <c r="Q144" s="242"/>
      <c r="R144" s="242"/>
      <c r="S144" s="242"/>
      <c r="T144" s="242"/>
      <c r="U144" s="242"/>
      <c r="V144" s="242"/>
      <c r="W144" s="242"/>
      <c r="X144" s="242"/>
      <c r="Y144" s="242"/>
      <c r="Z144" s="242"/>
    </row>
    <row r="145" spans="1:26" ht="13" x14ac:dyDescent="0.15">
      <c r="A145"/>
      <c r="B145" s="335" t="s">
        <v>51</v>
      </c>
      <c r="C145" s="335"/>
      <c r="D145" s="335"/>
      <c r="E145" s="335"/>
      <c r="F145" s="335"/>
      <c r="G145" s="335"/>
      <c r="H145" s="335"/>
      <c r="I145" s="335"/>
      <c r="J145" s="335"/>
      <c r="K145" s="242"/>
      <c r="L145" s="134"/>
      <c r="M145" s="134"/>
      <c r="N145" s="134"/>
      <c r="O145" s="134"/>
      <c r="P145" s="134"/>
      <c r="Q145" s="242"/>
      <c r="R145" s="242"/>
      <c r="S145" s="242"/>
      <c r="T145" s="242"/>
      <c r="U145" s="242"/>
      <c r="V145" s="242"/>
      <c r="W145" s="242"/>
      <c r="X145" s="242"/>
      <c r="Y145" s="242"/>
      <c r="Z145" s="242"/>
    </row>
    <row r="146" spans="1:26" x14ac:dyDescent="0.15">
      <c r="A146"/>
      <c r="B146" s="390" t="s">
        <v>410</v>
      </c>
      <c r="C146" s="391"/>
      <c r="D146" s="392"/>
      <c r="E146" s="236"/>
      <c r="F146" s="79" t="s">
        <v>70</v>
      </c>
      <c r="G146" s="79"/>
      <c r="H146" s="123"/>
      <c r="I146" s="80" t="s">
        <v>26</v>
      </c>
      <c r="J146" s="80" t="s">
        <v>68</v>
      </c>
      <c r="K146" s="242"/>
      <c r="L146" s="134"/>
      <c r="M146" s="134"/>
      <c r="N146" s="134"/>
      <c r="O146" s="134"/>
      <c r="P146" s="134"/>
      <c r="Q146" s="242"/>
      <c r="R146" s="242"/>
      <c r="S146" s="242"/>
      <c r="T146" s="242"/>
      <c r="U146" s="242"/>
      <c r="V146" s="242"/>
      <c r="W146" s="242"/>
      <c r="X146" s="242"/>
      <c r="Y146" s="242"/>
      <c r="Z146" s="242"/>
    </row>
    <row r="147" spans="1:26" x14ac:dyDescent="0.15">
      <c r="A147" s="245" t="s">
        <v>409</v>
      </c>
      <c r="B147" s="327" t="str">
        <f>VLOOKUP(A147,'imp-questions'!A:H,4,FALSE)</f>
        <v>Architecture Validation</v>
      </c>
      <c r="C147" s="296">
        <f>VLOOKUP(A147,'imp-questions'!A:H,5,FALSE)</f>
        <v>1</v>
      </c>
      <c r="D147" s="288" t="str">
        <f>VLOOKUP(A147,'imp-questions'!A:H,6,FALSE)</f>
        <v>Do you review the application architecture for key security objectives and threats on an ad-hoc basis?</v>
      </c>
      <c r="E147" s="270" t="str">
        <f>CHAR(65+VLOOKUP(A147,'imp-questions'!A:H,8,FALSE))</f>
        <v>A</v>
      </c>
      <c r="F147" s="279"/>
      <c r="G147" s="18">
        <f>IFERROR(VLOOKUP(F147,AnsATBL,2,FALSE),0)</f>
        <v>0</v>
      </c>
      <c r="H147" s="298">
        <v>0</v>
      </c>
      <c r="I147" s="325"/>
      <c r="J147" s="311">
        <v>0</v>
      </c>
      <c r="K147" s="242"/>
      <c r="L147" s="134"/>
      <c r="M147" s="134"/>
      <c r="N147" s="134"/>
      <c r="O147" s="134"/>
      <c r="P147" s="134"/>
      <c r="Q147" s="242"/>
      <c r="R147" s="242"/>
      <c r="S147" s="242"/>
      <c r="T147" s="242"/>
      <c r="U147" s="242"/>
      <c r="V147" s="242"/>
      <c r="W147" s="242"/>
      <c r="X147" s="242"/>
      <c r="Y147" s="242"/>
      <c r="Z147" s="242"/>
    </row>
    <row r="148" spans="1:26" ht="70" x14ac:dyDescent="0.15">
      <c r="A148"/>
      <c r="B148" s="328"/>
      <c r="C148" s="224"/>
      <c r="D148" s="277" t="str">
        <f>VLOOKUP(A147,'imp-questions'!A:H,7,FALSE)</f>
        <v xml:space="preserve">You have an agreed upon model of the overall software architecture
You include components, interfaces, and integrations in the architecture model
You verify the security controls in the software architecture cover the key security objectives and threats
You log missing security controls as defects
</v>
      </c>
      <c r="E148" s="273"/>
      <c r="F148" s="274"/>
      <c r="G148" s="275"/>
      <c r="H148" s="299"/>
      <c r="I148" s="326"/>
      <c r="J148" s="312"/>
      <c r="K148" s="242"/>
      <c r="L148" s="134"/>
      <c r="M148" s="134"/>
      <c r="N148" s="134"/>
      <c r="O148" s="134"/>
      <c r="P148" s="134"/>
      <c r="Q148" s="242"/>
      <c r="R148" s="242"/>
      <c r="S148" s="242"/>
      <c r="T148" s="242"/>
      <c r="U148" s="242"/>
      <c r="V148" s="242"/>
      <c r="W148" s="242"/>
      <c r="X148" s="242"/>
      <c r="Y148" s="242"/>
      <c r="Z148" s="242"/>
    </row>
    <row r="149" spans="1:26" x14ac:dyDescent="0.15">
      <c r="A149" s="245" t="s">
        <v>414</v>
      </c>
      <c r="B149" s="328"/>
      <c r="C149" s="296">
        <f>VLOOKUP(A149,'imp-questions'!A:H,5,FALSE)</f>
        <v>2</v>
      </c>
      <c r="D149" s="288" t="str">
        <f>VLOOKUP(A149,'imp-questions'!A:H,6,FALSE)</f>
        <v>Do you thoroughly review your software architecture regularly using an agreed upon methodology?</v>
      </c>
      <c r="E149" s="270" t="str">
        <f>CHAR(65+VLOOKUP(A149,'imp-questions'!A:H,8,FALSE))</f>
        <v>A</v>
      </c>
      <c r="F149" s="279"/>
      <c r="G149" s="18">
        <f>IFERROR(VLOOKUP(F149,AnsATBL,2,FALSE),0)</f>
        <v>0</v>
      </c>
      <c r="H149" s="300">
        <v>0</v>
      </c>
      <c r="I149" s="317"/>
      <c r="J149" s="301"/>
      <c r="K149" s="291"/>
      <c r="L149" s="134"/>
      <c r="M149" s="134"/>
      <c r="N149" s="134"/>
      <c r="O149" s="134"/>
      <c r="P149" s="134"/>
      <c r="Q149" s="291"/>
      <c r="R149" s="291"/>
      <c r="S149" s="291"/>
      <c r="T149" s="291"/>
      <c r="U149" s="291"/>
      <c r="V149" s="291"/>
      <c r="W149" s="291"/>
      <c r="X149" s="291"/>
      <c r="Y149" s="291"/>
      <c r="Z149" s="291"/>
    </row>
    <row r="150" spans="1:26" ht="70" x14ac:dyDescent="0.15">
      <c r="A150"/>
      <c r="B150" s="328"/>
      <c r="C150" s="224"/>
      <c r="D150" s="277" t="str">
        <f>VLOOKUP(A149,'imp-questions'!A:H,7,FALSE)</f>
        <v xml:space="preserve">Your process and template for reviewing software architectures is aligned with your organization's risk tolerance
You verify the architecture meets all the defined security requirements
You verify every component is protected by the expected security controls (e.g., authentication, authorization, logging)
You log missing security controls as defects
</v>
      </c>
      <c r="E150" s="273"/>
      <c r="F150" s="274"/>
      <c r="G150" s="275"/>
      <c r="H150" s="302"/>
      <c r="I150" s="318"/>
      <c r="J150" s="301"/>
      <c r="K150" s="291"/>
      <c r="L150" s="134"/>
      <c r="M150" s="134"/>
      <c r="N150" s="134"/>
      <c r="O150" s="134"/>
      <c r="P150" s="134"/>
      <c r="Q150" s="291"/>
      <c r="R150" s="291"/>
      <c r="S150" s="291"/>
      <c r="T150" s="291"/>
      <c r="U150" s="291"/>
      <c r="V150" s="291"/>
      <c r="W150" s="291"/>
      <c r="X150" s="291"/>
      <c r="Y150" s="291"/>
      <c r="Z150" s="291"/>
    </row>
    <row r="151" spans="1:26" x14ac:dyDescent="0.15">
      <c r="A151" s="245" t="s">
        <v>416</v>
      </c>
      <c r="B151" s="328"/>
      <c r="C151" s="296">
        <f>VLOOKUP(A151,'imp-questions'!A:H,5,FALSE)</f>
        <v>3</v>
      </c>
      <c r="D151" s="288" t="str">
        <f>VLOOKUP(A151,'imp-questions'!A:H,6,FALSE)</f>
        <v>Do you regularly review the effectiveness of the security controls?</v>
      </c>
      <c r="E151" s="270" t="str">
        <f>CHAR(65+VLOOKUP(A151,'imp-questions'!A:H,8,FALSE))</f>
        <v>A</v>
      </c>
      <c r="F151" s="279"/>
      <c r="G151" s="18">
        <f>IFERROR(VLOOKUP(F151,AnsATBL,2,FALSE),0)</f>
        <v>0</v>
      </c>
      <c r="H151" s="300">
        <v>0</v>
      </c>
      <c r="I151" s="336"/>
      <c r="J151" s="301"/>
      <c r="K151" s="242"/>
      <c r="L151" s="134"/>
      <c r="M151" s="134"/>
      <c r="N151" s="134"/>
      <c r="O151" s="134"/>
      <c r="P151" s="134"/>
      <c r="Q151" s="242"/>
      <c r="R151" s="242"/>
      <c r="S151" s="242"/>
      <c r="T151" s="242"/>
      <c r="U151" s="242"/>
      <c r="V151" s="242"/>
      <c r="W151" s="242"/>
      <c r="X151" s="242"/>
      <c r="Y151" s="242"/>
      <c r="Z151" s="242"/>
    </row>
    <row r="152" spans="1:26" ht="70" x14ac:dyDescent="0.15">
      <c r="A152"/>
      <c r="B152" s="329"/>
      <c r="C152" s="259"/>
      <c r="D152" s="269" t="str">
        <f>VLOOKUP(A151,'imp-questions'!A:H,7,FALSE)</f>
        <v xml:space="preserve">You evaluate the preventive, detective and response capabilities of security controls
You evaluate the strategy alignment, appropriate support, and scalability of security controls
You evaluate the effectiveness at least yearly
You log identified shortcomings as defects
</v>
      </c>
      <c r="E152" s="273"/>
      <c r="F152" s="274"/>
      <c r="G152" s="275"/>
      <c r="H152" s="302"/>
      <c r="I152" s="318"/>
      <c r="J152" s="301"/>
      <c r="K152" s="242"/>
      <c r="L152" s="134"/>
      <c r="M152" s="134"/>
      <c r="N152" s="134"/>
      <c r="O152" s="134"/>
      <c r="P152" s="134"/>
      <c r="Q152" s="242"/>
      <c r="R152" s="242"/>
      <c r="S152" s="242"/>
      <c r="T152" s="242"/>
      <c r="U152" s="242"/>
      <c r="V152" s="242"/>
      <c r="W152" s="242"/>
      <c r="X152" s="242"/>
      <c r="Y152" s="242"/>
      <c r="Z152" s="242"/>
    </row>
    <row r="153" spans="1:26" x14ac:dyDescent="0.15">
      <c r="A153"/>
      <c r="B153" s="322"/>
      <c r="C153" s="323"/>
      <c r="D153" s="323"/>
      <c r="E153" s="323"/>
      <c r="F153" s="323"/>
      <c r="G153" s="323"/>
      <c r="H153" s="323"/>
      <c r="I153" s="324"/>
      <c r="J153" s="11"/>
      <c r="K153" s="242"/>
      <c r="L153" s="134"/>
      <c r="M153" s="134"/>
      <c r="N153" s="134"/>
      <c r="O153" s="134"/>
      <c r="P153" s="134"/>
      <c r="Q153" s="242"/>
      <c r="R153" s="242"/>
      <c r="S153" s="242"/>
      <c r="T153" s="242"/>
      <c r="U153" s="242"/>
      <c r="V153" s="242"/>
      <c r="W153" s="242"/>
      <c r="X153" s="242"/>
      <c r="Y153" s="242"/>
      <c r="Z153" s="242"/>
    </row>
    <row r="154" spans="1:26" x14ac:dyDescent="0.15">
      <c r="A154" s="245" t="s">
        <v>419</v>
      </c>
      <c r="B154" s="327" t="str">
        <f>VLOOKUP(A154,'imp-questions'!A:H,4,FALSE)</f>
        <v>Architecture Compliance</v>
      </c>
      <c r="C154" s="296">
        <f>VLOOKUP(A154,'imp-questions'!A:H,5,FALSE)</f>
        <v>1</v>
      </c>
      <c r="D154" s="288" t="str">
        <f>VLOOKUP(A154,'imp-questions'!A:H,6,FALSE)</f>
        <v>Do you review the architecture against compliance requirements?</v>
      </c>
      <c r="E154" s="270" t="str">
        <f>CHAR(65+VLOOKUP(A154,'imp-questions'!A:H,8,FALSE))</f>
        <v>B</v>
      </c>
      <c r="F154" s="286"/>
      <c r="G154" s="18">
        <f>IFERROR(VLOOKUP(F154,AnsBTBL,2,FALSE),0)</f>
        <v>0</v>
      </c>
      <c r="H154" s="272"/>
      <c r="I154" s="319"/>
      <c r="J154" s="11"/>
      <c r="K154" s="242"/>
      <c r="L154" s="134"/>
      <c r="M154" s="134"/>
      <c r="N154" s="134"/>
      <c r="O154" s="134"/>
      <c r="P154" s="134"/>
      <c r="Q154" s="242"/>
      <c r="R154" s="242"/>
      <c r="S154" s="242"/>
      <c r="T154" s="242"/>
      <c r="U154" s="242"/>
      <c r="V154" s="242"/>
      <c r="W154" s="242"/>
      <c r="X154" s="242"/>
      <c r="Y154" s="242"/>
      <c r="Z154" s="242"/>
    </row>
    <row r="155" spans="1:26" ht="56" x14ac:dyDescent="0.15">
      <c r="A155"/>
      <c r="B155" s="328"/>
      <c r="C155" s="224"/>
      <c r="D155" s="277" t="str">
        <f>VLOOKUP(A154,'imp-questions'!A:H,7,FALSE)</f>
        <v xml:space="preserve">You indicate which design-level feature(s) address each compliance requirement.
The analysis is conducted by security-savvy staff with input from architects, and other stakeholders.
You record all missing compliance requirements and handle them following organisational risk management
</v>
      </c>
      <c r="E155" s="273"/>
      <c r="F155" s="274"/>
      <c r="G155" s="275"/>
      <c r="H155" s="276"/>
      <c r="I155" s="320"/>
      <c r="J155" s="11"/>
      <c r="K155" s="242"/>
      <c r="L155" s="134"/>
      <c r="M155" s="134"/>
      <c r="N155" s="134"/>
      <c r="O155" s="134"/>
      <c r="P155" s="134"/>
      <c r="Q155" s="242"/>
      <c r="R155" s="242"/>
      <c r="S155" s="242"/>
      <c r="T155" s="242"/>
      <c r="U155" s="242"/>
      <c r="V155" s="242"/>
      <c r="W155" s="242"/>
      <c r="X155" s="242"/>
      <c r="Y155" s="242"/>
      <c r="Z155" s="242"/>
    </row>
    <row r="156" spans="1:26" x14ac:dyDescent="0.15">
      <c r="A156" s="245" t="s">
        <v>423</v>
      </c>
      <c r="B156" s="328"/>
      <c r="C156" s="296">
        <f>VLOOKUP(A156,'imp-questions'!A:H,5,FALSE)</f>
        <v>2</v>
      </c>
      <c r="D156" s="288" t="str">
        <f>VLOOKUP(A156,'imp-questions'!A:H,6,FALSE)</f>
        <v>Do you analyze the architecture against known security requirements and best practices ?</v>
      </c>
      <c r="E156" s="270" t="str">
        <f>CHAR(65+VLOOKUP(A156,'imp-questions'!A:H,8,FALSE))</f>
        <v>B</v>
      </c>
      <c r="F156" s="287"/>
      <c r="G156" s="18">
        <f>IFERROR(VLOOKUP(F156,AnsBTBL,2,FALSE),0)</f>
        <v>0</v>
      </c>
      <c r="H156" s="272"/>
      <c r="I156" s="319"/>
      <c r="J156" s="11"/>
      <c r="K156" s="291"/>
      <c r="L156" s="134"/>
      <c r="M156" s="134"/>
      <c r="N156" s="134"/>
      <c r="O156" s="134"/>
      <c r="P156" s="134"/>
      <c r="Q156" s="291"/>
      <c r="R156" s="291"/>
      <c r="S156" s="291"/>
      <c r="T156" s="291"/>
      <c r="U156" s="291"/>
      <c r="V156" s="291"/>
      <c r="W156" s="291"/>
      <c r="X156" s="291"/>
      <c r="Y156" s="291"/>
      <c r="Z156" s="291"/>
    </row>
    <row r="157" spans="1:26" ht="56" x14ac:dyDescent="0.15">
      <c r="A157"/>
      <c r="B157" s="328"/>
      <c r="C157" s="224"/>
      <c r="D157" s="277" t="str">
        <f>VLOOKUP(A156,'imp-questions'!A:H,7,FALSE)</f>
        <v xml:space="preserve">You identify any security assumptions underpinning the safe operation of the system.
You indicate which design-level feature(s) address each security requirement.
You record all unsatisfied security requirements and handle them following organisational risk management
</v>
      </c>
      <c r="E157" s="273"/>
      <c r="F157" s="274"/>
      <c r="G157" s="275"/>
      <c r="H157" s="276"/>
      <c r="I157" s="320"/>
      <c r="J157" s="11"/>
      <c r="K157" s="291"/>
      <c r="L157" s="134"/>
      <c r="M157" s="134"/>
      <c r="N157" s="134"/>
      <c r="O157" s="134"/>
      <c r="P157" s="134"/>
      <c r="Q157" s="291"/>
      <c r="R157" s="291"/>
      <c r="S157" s="291"/>
      <c r="T157" s="291"/>
      <c r="U157" s="291"/>
      <c r="V157" s="291"/>
      <c r="W157" s="291"/>
      <c r="X157" s="291"/>
      <c r="Y157" s="291"/>
      <c r="Z157" s="291"/>
    </row>
    <row r="158" spans="1:26" x14ac:dyDescent="0.15">
      <c r="A158" s="245" t="s">
        <v>426</v>
      </c>
      <c r="B158" s="328"/>
      <c r="C158" s="296">
        <f>VLOOKUP(A158,'imp-questions'!A:H,5,FALSE)</f>
        <v>3</v>
      </c>
      <c r="D158" s="288" t="str">
        <f>VLOOKUP(A158,'imp-questions'!A:H,6,FALSE)</f>
        <v>Do you feed architecture review results back into the enterprise architecture?</v>
      </c>
      <c r="E158" s="270" t="str">
        <f>CHAR(65+VLOOKUP(A158,'imp-questions'!A:H,8,FALSE))</f>
        <v>B</v>
      </c>
      <c r="F158" s="287"/>
      <c r="G158" s="18">
        <f>IFERROR(VLOOKUP(F158,AnsBTBL,2,FALSE),0)</f>
        <v>0</v>
      </c>
      <c r="H158" s="272"/>
      <c r="I158" s="319"/>
      <c r="J158" s="11"/>
      <c r="K158" s="242"/>
      <c r="L158" s="134"/>
      <c r="M158" s="134"/>
      <c r="N158" s="134"/>
      <c r="O158" s="134"/>
      <c r="P158" s="134"/>
      <c r="Q158" s="242"/>
      <c r="R158" s="242"/>
      <c r="S158" s="242"/>
      <c r="T158" s="242"/>
      <c r="U158" s="242"/>
      <c r="V158" s="242"/>
      <c r="W158" s="242"/>
      <c r="X158" s="242"/>
      <c r="Y158" s="242"/>
      <c r="Z158" s="242"/>
    </row>
    <row r="159" spans="1:26" ht="42" x14ac:dyDescent="0.15">
      <c r="A159"/>
      <c r="B159" s="329"/>
      <c r="C159" s="259"/>
      <c r="D159" s="269" t="str">
        <f>VLOOKUP(A158,'imp-questions'!A:H,7,FALSE)</f>
        <v xml:space="preserve">You map the security features to security compliance requirements
You identify the cause of gaps in the mapping and handle them following organisational risk management
</v>
      </c>
      <c r="E159" s="273"/>
      <c r="F159" s="274"/>
      <c r="G159" s="275"/>
      <c r="H159" s="276"/>
      <c r="I159" s="320"/>
      <c r="J159" s="11"/>
      <c r="K159" s="242"/>
      <c r="L159" s="134"/>
      <c r="M159" s="134"/>
      <c r="N159" s="134"/>
      <c r="O159" s="134"/>
      <c r="P159" s="134"/>
      <c r="Q159" s="242"/>
      <c r="R159" s="242"/>
      <c r="S159" s="242"/>
      <c r="T159" s="242"/>
      <c r="U159" s="242"/>
      <c r="V159" s="242"/>
      <c r="W159" s="242"/>
      <c r="X159" s="242"/>
      <c r="Y159" s="242"/>
      <c r="Z159" s="242"/>
    </row>
    <row r="160" spans="1:26" x14ac:dyDescent="0.15">
      <c r="A160"/>
      <c r="B160" s="371" t="s">
        <v>430</v>
      </c>
      <c r="C160" s="372"/>
      <c r="D160" s="373"/>
      <c r="E160" s="235"/>
      <c r="F160" s="81" t="s">
        <v>70</v>
      </c>
      <c r="G160" s="81"/>
      <c r="H160" s="124"/>
      <c r="I160" s="80" t="s">
        <v>26</v>
      </c>
      <c r="J160" s="80" t="s">
        <v>68</v>
      </c>
      <c r="K160" s="242"/>
      <c r="L160" s="134"/>
      <c r="M160" s="134"/>
      <c r="N160" s="134"/>
      <c r="O160" s="134"/>
      <c r="P160" s="134"/>
      <c r="Q160" s="242"/>
      <c r="R160" s="242"/>
      <c r="S160" s="242"/>
      <c r="T160" s="242"/>
      <c r="U160" s="242"/>
      <c r="V160" s="242"/>
      <c r="W160" s="242"/>
      <c r="X160" s="242"/>
      <c r="Y160" s="242"/>
      <c r="Z160" s="242"/>
    </row>
    <row r="161" spans="1:26" x14ac:dyDescent="0.15">
      <c r="A161" s="245" t="s">
        <v>429</v>
      </c>
      <c r="B161" s="327" t="str">
        <f>VLOOKUP(A161,'imp-questions'!A:H,4,FALSE)</f>
        <v>Control Verification</v>
      </c>
      <c r="C161" s="296">
        <f>VLOOKUP(A161,'imp-questions'!A:H,5,FALSE)</f>
        <v>1</v>
      </c>
      <c r="D161" s="288" t="str">
        <f>VLOOKUP(A161,'imp-questions'!A:H,6,FALSE)</f>
        <v>Do you test applications for the correct functioning of standard security controls?</v>
      </c>
      <c r="E161" s="250" t="str">
        <f>CHAR(65+VLOOKUP(A161,'imp-questions'!A:H,8,FALSE))</f>
        <v>B</v>
      </c>
      <c r="F161" s="279"/>
      <c r="G161" s="18">
        <f>IFERROR(VLOOKUP(F161,AnsBTBL,2,FALSE),0)</f>
        <v>0</v>
      </c>
      <c r="H161" s="298">
        <v>0</v>
      </c>
      <c r="I161" s="325"/>
      <c r="J161" s="311">
        <v>0</v>
      </c>
      <c r="K161" s="242"/>
      <c r="L161" s="134"/>
      <c r="M161" s="134"/>
      <c r="N161" s="134"/>
      <c r="O161" s="134"/>
      <c r="P161" s="134"/>
      <c r="Q161" s="242"/>
      <c r="R161" s="242"/>
      <c r="S161" s="242"/>
      <c r="T161" s="242"/>
      <c r="U161" s="242"/>
      <c r="V161" s="242"/>
      <c r="W161" s="242"/>
      <c r="X161" s="242"/>
      <c r="Y161" s="242"/>
      <c r="Z161" s="242"/>
    </row>
    <row r="162" spans="1:26" ht="56" x14ac:dyDescent="0.15">
      <c r="A162"/>
      <c r="B162" s="328"/>
      <c r="C162" s="224"/>
      <c r="D162" s="277" t="str">
        <f>VLOOKUP(A161,'imp-questions'!A:H,7,FALSE)</f>
        <v xml:space="preserve">Security testing at least verifies the implementation of authentication, access control, input validation, encoding and escaping data, and encryption controls.
Security testing executes whenever the application changes its use of the controls.
</v>
      </c>
      <c r="E162" s="255"/>
      <c r="F162" s="27"/>
      <c r="G162" s="22"/>
      <c r="H162" s="299"/>
      <c r="I162" s="326"/>
      <c r="J162" s="312"/>
      <c r="K162" s="242"/>
      <c r="L162" s="134"/>
      <c r="M162" s="134"/>
      <c r="N162" s="134"/>
      <c r="O162" s="134"/>
      <c r="P162" s="134"/>
      <c r="Q162" s="242"/>
      <c r="R162" s="242"/>
      <c r="S162" s="242"/>
      <c r="T162" s="242"/>
      <c r="U162" s="242"/>
      <c r="V162" s="242"/>
      <c r="W162" s="242"/>
      <c r="X162" s="242"/>
      <c r="Y162" s="242"/>
      <c r="Z162" s="242"/>
    </row>
    <row r="163" spans="1:26" x14ac:dyDescent="0.15">
      <c r="A163" s="245" t="s">
        <v>434</v>
      </c>
      <c r="B163" s="328"/>
      <c r="C163" s="296">
        <f>VLOOKUP(A163,'imp-questions'!A:H,5,FALSE)</f>
        <v>2</v>
      </c>
      <c r="D163" s="288" t="str">
        <f>VLOOKUP(A163,'imp-questions'!A:H,6,FALSE)</f>
        <v>Do you test security controls based on the specific application security requirements?</v>
      </c>
      <c r="E163" s="250" t="str">
        <f>CHAR(65+VLOOKUP(A163,'imp-questions'!A:H,8,FALSE))</f>
        <v>B</v>
      </c>
      <c r="F163" s="284"/>
      <c r="G163" s="18">
        <f>IFERROR(VLOOKUP(F163,AnsBTBL,2,FALSE),0)</f>
        <v>0</v>
      </c>
      <c r="H163" s="300">
        <v>0</v>
      </c>
      <c r="I163" s="317"/>
      <c r="J163" s="301"/>
      <c r="K163" s="291"/>
      <c r="L163" s="134"/>
      <c r="M163" s="134"/>
      <c r="N163" s="134"/>
      <c r="O163" s="134"/>
      <c r="P163" s="134"/>
      <c r="Q163" s="291"/>
      <c r="R163" s="291"/>
      <c r="S163" s="291"/>
      <c r="T163" s="291"/>
      <c r="U163" s="291"/>
      <c r="V163" s="291"/>
      <c r="W163" s="291"/>
      <c r="X163" s="291"/>
      <c r="Y163" s="291"/>
      <c r="Z163" s="291"/>
    </row>
    <row r="164" spans="1:26" ht="42" x14ac:dyDescent="0.15">
      <c r="A164"/>
      <c r="B164" s="328"/>
      <c r="C164" s="224"/>
      <c r="D164" s="277" t="str">
        <f>VLOOKUP(A163,'imp-questions'!A:H,7,FALSE)</f>
        <v xml:space="preserve">Tests are tailored to each application and assert expected security functionality.
Test results are captured as a pass or fail condition
</v>
      </c>
      <c r="E164" s="255"/>
      <c r="F164" s="27"/>
      <c r="G164" s="22"/>
      <c r="H164" s="302"/>
      <c r="I164" s="318"/>
      <c r="J164" s="301"/>
      <c r="K164" s="291"/>
      <c r="L164" s="134"/>
      <c r="M164" s="134"/>
      <c r="N164" s="134"/>
      <c r="O164" s="134"/>
      <c r="P164" s="134"/>
      <c r="Q164" s="291"/>
      <c r="R164" s="291"/>
      <c r="S164" s="291"/>
      <c r="T164" s="291"/>
      <c r="U164" s="291"/>
      <c r="V164" s="291"/>
      <c r="W164" s="291"/>
      <c r="X164" s="291"/>
      <c r="Y164" s="291"/>
      <c r="Z164" s="291"/>
    </row>
    <row r="165" spans="1:26" x14ac:dyDescent="0.15">
      <c r="A165" s="245" t="s">
        <v>437</v>
      </c>
      <c r="B165" s="328"/>
      <c r="C165" s="296">
        <f>VLOOKUP(A165,'imp-questions'!A:H,5,FALSE)</f>
        <v>3</v>
      </c>
      <c r="D165" s="288" t="str">
        <f>VLOOKUP(A165,'imp-questions'!A:H,6,FALSE)</f>
        <v>Do you automatically test applications for security regressions?</v>
      </c>
      <c r="E165" s="250" t="str">
        <f>CHAR(65+VLOOKUP(A165,'imp-questions'!A:H,8,FALSE))</f>
        <v>B</v>
      </c>
      <c r="F165" s="284"/>
      <c r="G165" s="18">
        <f>IFERROR(VLOOKUP(F165,AnsBTBL,2,FALSE),0)</f>
        <v>0</v>
      </c>
      <c r="H165" s="300">
        <v>0</v>
      </c>
      <c r="I165" s="336"/>
      <c r="J165" s="301"/>
      <c r="K165" s="242"/>
      <c r="L165" s="134"/>
      <c r="M165" s="134"/>
      <c r="N165" s="134"/>
      <c r="O165" s="134"/>
      <c r="P165" s="134"/>
      <c r="Q165" s="242"/>
      <c r="R165" s="242"/>
      <c r="S165" s="242"/>
      <c r="T165" s="242"/>
      <c r="U165" s="242"/>
      <c r="V165" s="242"/>
      <c r="W165" s="242"/>
      <c r="X165" s="242"/>
      <c r="Y165" s="242"/>
      <c r="Z165" s="242"/>
    </row>
    <row r="166" spans="1:26" ht="42" x14ac:dyDescent="0.15">
      <c r="A166"/>
      <c r="B166" s="329"/>
      <c r="C166" s="259"/>
      <c r="D166" s="269" t="str">
        <f>VLOOKUP(A165,'imp-questions'!A:H,7,FALSE)</f>
        <v xml:space="preserve">Tests are consistently written for all identified bugs (possibly exceeding a pre-defined severity threshhold)
Security tests are collected in a test suite that is part of the existing unit testing framework
</v>
      </c>
      <c r="E166" s="255"/>
      <c r="F166" s="27"/>
      <c r="G166" s="22"/>
      <c r="H166" s="302"/>
      <c r="I166" s="318"/>
      <c r="J166" s="301"/>
      <c r="K166" s="242"/>
      <c r="L166" s="134"/>
      <c r="M166" s="134"/>
      <c r="N166" s="134"/>
      <c r="O166" s="134"/>
      <c r="P166" s="134"/>
      <c r="Q166" s="242"/>
      <c r="R166" s="242"/>
      <c r="S166" s="242"/>
      <c r="T166" s="242"/>
      <c r="U166" s="242"/>
      <c r="V166" s="242"/>
      <c r="W166" s="242"/>
      <c r="X166" s="242"/>
      <c r="Y166" s="242"/>
      <c r="Z166" s="242"/>
    </row>
    <row r="167" spans="1:26" x14ac:dyDescent="0.15">
      <c r="A167"/>
      <c r="B167" s="330"/>
      <c r="C167" s="331"/>
      <c r="D167" s="331"/>
      <c r="E167" s="331"/>
      <c r="F167" s="331"/>
      <c r="G167" s="331"/>
      <c r="H167" s="331"/>
      <c r="I167" s="332"/>
      <c r="J167" s="11"/>
      <c r="K167" s="242"/>
      <c r="L167" s="134"/>
      <c r="M167" s="134"/>
      <c r="N167" s="134"/>
      <c r="O167" s="134"/>
      <c r="P167" s="134"/>
      <c r="Q167" s="242"/>
      <c r="R167" s="242"/>
      <c r="S167" s="242"/>
      <c r="T167" s="242"/>
      <c r="U167" s="242"/>
      <c r="V167" s="242"/>
      <c r="W167" s="242"/>
      <c r="X167" s="242"/>
      <c r="Y167" s="242"/>
      <c r="Z167" s="242"/>
    </row>
    <row r="168" spans="1:26" x14ac:dyDescent="0.15">
      <c r="A168" s="245" t="s">
        <v>440</v>
      </c>
      <c r="B168" s="327" t="str">
        <f>VLOOKUP(A168,'imp-questions'!A:H,4,FALSE)</f>
        <v>Misuse/Abuse Testing</v>
      </c>
      <c r="C168" s="296">
        <f>VLOOKUP(A168,'imp-questions'!A:H,5,FALSE)</f>
        <v>1</v>
      </c>
      <c r="D168" s="288" t="str">
        <f>VLOOKUP(A168,'imp-questions'!A:H,6,FALSE)</f>
        <v>Do you test applications using randomization techniques?</v>
      </c>
      <c r="E168" s="250" t="str">
        <f>CHAR(65+VLOOKUP(A168,'imp-questions'!A:H,8,FALSE))</f>
        <v>B</v>
      </c>
      <c r="F168" s="279"/>
      <c r="G168" s="18">
        <f>IFERROR(VLOOKUP(F168,AnsBTBL,2,FALSE),0)</f>
        <v>0</v>
      </c>
      <c r="H168" s="105"/>
      <c r="I168" s="315"/>
      <c r="J168" s="11"/>
      <c r="K168" s="242"/>
      <c r="L168" s="134"/>
      <c r="M168" s="134"/>
      <c r="N168" s="134"/>
      <c r="O168" s="134"/>
      <c r="P168" s="134"/>
      <c r="Q168" s="242"/>
      <c r="R168" s="242"/>
      <c r="S168" s="242"/>
      <c r="T168" s="242"/>
      <c r="U168" s="242"/>
      <c r="V168" s="242"/>
      <c r="W168" s="242"/>
      <c r="X168" s="242"/>
      <c r="Y168" s="242"/>
      <c r="Z168" s="242"/>
    </row>
    <row r="169" spans="1:26" ht="42" x14ac:dyDescent="0.15">
      <c r="A169"/>
      <c r="B169" s="328"/>
      <c r="C169" s="224"/>
      <c r="D169" s="277" t="str">
        <f>VLOOKUP(A168,'imp-questions'!A:H,7,FALSE)</f>
        <v xml:space="preserve">Testing covers most or all of the application's main input parameters
All application crashes are recorded and systematically inspected for security impact
</v>
      </c>
      <c r="E169" s="255"/>
      <c r="F169" s="27"/>
      <c r="G169" s="22"/>
      <c r="H169" s="117"/>
      <c r="I169" s="316"/>
      <c r="J169" s="11"/>
      <c r="K169" s="242"/>
      <c r="L169" s="134"/>
      <c r="M169" s="134"/>
      <c r="N169" s="134"/>
      <c r="O169" s="134"/>
      <c r="P169" s="134"/>
      <c r="Q169" s="242"/>
      <c r="R169" s="242"/>
      <c r="S169" s="242"/>
      <c r="T169" s="242"/>
      <c r="U169" s="242"/>
      <c r="V169" s="242"/>
      <c r="W169" s="242"/>
      <c r="X169" s="242"/>
      <c r="Y169" s="242"/>
      <c r="Z169" s="242"/>
    </row>
    <row r="170" spans="1:26" x14ac:dyDescent="0.15">
      <c r="A170" s="245" t="s">
        <v>444</v>
      </c>
      <c r="B170" s="328"/>
      <c r="C170" s="296">
        <f>VLOOKUP(A170,'imp-questions'!A:H,5,FALSE)</f>
        <v>2</v>
      </c>
      <c r="D170" s="288" t="str">
        <f>VLOOKUP(A170,'imp-questions'!A:H,6,FALSE)</f>
        <v>Do you create abuse cases from functional requirements and use them to drive security tests?</v>
      </c>
      <c r="E170" s="250" t="str">
        <f>CHAR(65+VLOOKUP(A170,'imp-questions'!A:H,8,FALSE))</f>
        <v>E</v>
      </c>
      <c r="F170" s="284"/>
      <c r="G170" s="271">
        <f>IFERROR(VLOOKUP(F170,AnsETBL,2,FALSE),0)</f>
        <v>0</v>
      </c>
      <c r="H170" s="105"/>
      <c r="I170" s="315"/>
      <c r="J170" s="11"/>
      <c r="K170" s="291"/>
      <c r="L170" s="134"/>
      <c r="M170" s="134"/>
      <c r="N170" s="134"/>
      <c r="O170" s="134"/>
      <c r="P170" s="134"/>
      <c r="Q170" s="291"/>
      <c r="R170" s="291"/>
      <c r="S170" s="291"/>
      <c r="T170" s="291"/>
      <c r="U170" s="291"/>
      <c r="V170" s="291"/>
      <c r="W170" s="291"/>
      <c r="X170" s="291"/>
      <c r="Y170" s="291"/>
      <c r="Z170" s="291"/>
    </row>
    <row r="171" spans="1:26" ht="56" x14ac:dyDescent="0.15">
      <c r="A171"/>
      <c r="B171" s="328"/>
      <c r="C171" s="224"/>
      <c r="D171" s="277" t="str">
        <f>VLOOKUP(A170,'imp-questions'!A:H,7,FALSE)</f>
        <v xml:space="preserve">Important business functionality has corresponding abuse cases
You build abuse stories around relevant personas with well-defined motivations and characteristics
You capture identified weaknesses as security requirements
</v>
      </c>
      <c r="E171" s="255"/>
      <c r="F171" s="27"/>
      <c r="G171" s="22"/>
      <c r="H171" s="117"/>
      <c r="I171" s="316"/>
      <c r="J171" s="11"/>
      <c r="K171" s="291"/>
      <c r="L171" s="134"/>
      <c r="M171" s="134"/>
      <c r="N171" s="134"/>
      <c r="O171" s="134"/>
      <c r="P171" s="134"/>
      <c r="Q171" s="291"/>
      <c r="R171" s="291"/>
      <c r="S171" s="291"/>
      <c r="T171" s="291"/>
      <c r="U171" s="291"/>
      <c r="V171" s="291"/>
      <c r="W171" s="291"/>
      <c r="X171" s="291"/>
      <c r="Y171" s="291"/>
      <c r="Z171" s="291"/>
    </row>
    <row r="172" spans="1:26" x14ac:dyDescent="0.15">
      <c r="A172" s="245" t="s">
        <v>447</v>
      </c>
      <c r="B172" s="328"/>
      <c r="C172" s="296">
        <f>VLOOKUP(A172,'imp-questions'!A:H,5,FALSE)</f>
        <v>3</v>
      </c>
      <c r="D172" s="288" t="str">
        <f>VLOOKUP(A172,'imp-questions'!A:H,6,FALSE)</f>
        <v>Do you perform denial of service and security stress testing?</v>
      </c>
      <c r="E172" s="250" t="str">
        <f>CHAR(65+VLOOKUP(A172,'imp-questions'!A:H,8,FALSE))</f>
        <v>E</v>
      </c>
      <c r="F172" s="284"/>
      <c r="G172" s="271">
        <f>IFERROR(VLOOKUP(F172,AnsETBL,2,FALSE),0)</f>
        <v>0</v>
      </c>
      <c r="H172" s="105"/>
      <c r="I172" s="315"/>
      <c r="J172" s="11"/>
      <c r="K172" s="242"/>
      <c r="L172" s="134"/>
      <c r="M172" s="134"/>
      <c r="N172" s="134"/>
      <c r="O172" s="134"/>
      <c r="P172" s="134"/>
      <c r="Q172" s="242"/>
      <c r="R172" s="242"/>
      <c r="S172" s="242"/>
      <c r="T172" s="242"/>
      <c r="U172" s="242"/>
      <c r="V172" s="242"/>
      <c r="W172" s="242"/>
      <c r="X172" s="242"/>
      <c r="Y172" s="242"/>
      <c r="Z172" s="242"/>
    </row>
    <row r="173" spans="1:26" ht="42" x14ac:dyDescent="0.15">
      <c r="A173"/>
      <c r="B173" s="329"/>
      <c r="C173" s="259"/>
      <c r="D173" s="269" t="str">
        <f>VLOOKUP(A172,'imp-questions'!A:H,7,FALSE)</f>
        <v xml:space="preserve">Stress tests target specific application resources (e.g. memory exhaustion by saving large amounts of data to a user session)
You design tests around relevant personas with well-defined capabilities (knowledge, resources)
</v>
      </c>
      <c r="E173" s="255"/>
      <c r="F173" s="27"/>
      <c r="G173" s="22"/>
      <c r="H173" s="117"/>
      <c r="I173" s="316"/>
      <c r="J173" s="11"/>
      <c r="K173" s="242"/>
      <c r="L173" s="134"/>
      <c r="M173" s="134"/>
      <c r="N173" s="134"/>
      <c r="O173" s="134"/>
      <c r="P173" s="134"/>
      <c r="Q173" s="242"/>
      <c r="R173" s="242"/>
      <c r="S173" s="242"/>
      <c r="T173" s="242"/>
      <c r="U173" s="242"/>
      <c r="V173" s="242"/>
      <c r="W173" s="242"/>
      <c r="X173" s="242"/>
      <c r="Y173" s="242"/>
      <c r="Z173" s="242"/>
    </row>
    <row r="174" spans="1:26" x14ac:dyDescent="0.15">
      <c r="A174"/>
      <c r="B174" s="371" t="s">
        <v>56</v>
      </c>
      <c r="C174" s="372"/>
      <c r="D174" s="373"/>
      <c r="E174" s="235"/>
      <c r="F174" s="81" t="s">
        <v>70</v>
      </c>
      <c r="G174" s="81"/>
      <c r="H174" s="124"/>
      <c r="I174" s="80" t="s">
        <v>26</v>
      </c>
      <c r="J174" s="80" t="s">
        <v>68</v>
      </c>
      <c r="K174" s="242"/>
      <c r="L174" s="134"/>
      <c r="M174" s="134"/>
      <c r="N174" s="134"/>
      <c r="O174" s="134"/>
      <c r="P174" s="134"/>
      <c r="Q174" s="242"/>
      <c r="R174" s="242"/>
      <c r="S174" s="242"/>
      <c r="T174" s="242"/>
      <c r="U174" s="242"/>
      <c r="V174" s="242"/>
      <c r="W174" s="242"/>
      <c r="X174" s="242"/>
      <c r="Y174" s="242"/>
      <c r="Z174" s="242"/>
    </row>
    <row r="175" spans="1:26" x14ac:dyDescent="0.15">
      <c r="A175" s="245" t="s">
        <v>450</v>
      </c>
      <c r="B175" s="327" t="str">
        <f>VLOOKUP(A175,'imp-questions'!A:H,4,FALSE)</f>
        <v>Scalable Baseline</v>
      </c>
      <c r="C175" s="296">
        <f>VLOOKUP(A175,'imp-questions'!A:H,5,FALSE)</f>
        <v>1</v>
      </c>
      <c r="D175" s="288" t="str">
        <f>VLOOKUP(A175,'imp-questions'!A:H,6,FALSE)</f>
        <v>Do you scan applications with automated security testing tools?</v>
      </c>
      <c r="E175" s="250" t="str">
        <f>CHAR(65+VLOOKUP(A175,'imp-questions'!A:H,8,FALSE))</f>
        <v>B</v>
      </c>
      <c r="F175" s="279"/>
      <c r="G175" s="18">
        <f>IFERROR(VLOOKUP(F175,AnsBTBL,2,FALSE),0)</f>
        <v>0</v>
      </c>
      <c r="H175" s="298">
        <v>0</v>
      </c>
      <c r="I175" s="325"/>
      <c r="J175" s="311">
        <v>0</v>
      </c>
      <c r="K175" s="242"/>
      <c r="L175" s="134"/>
      <c r="M175" s="134"/>
      <c r="N175" s="134"/>
      <c r="O175" s="134"/>
      <c r="P175" s="134"/>
      <c r="Q175" s="242"/>
      <c r="R175" s="242"/>
      <c r="S175" s="242"/>
      <c r="T175" s="242"/>
      <c r="U175" s="242"/>
      <c r="V175" s="242"/>
      <c r="W175" s="242"/>
      <c r="X175" s="242"/>
      <c r="Y175" s="242"/>
      <c r="Z175" s="242"/>
    </row>
    <row r="176" spans="1:26" ht="56" x14ac:dyDescent="0.15">
      <c r="A176"/>
      <c r="B176" s="328"/>
      <c r="C176" s="224"/>
      <c r="D176" s="277" t="str">
        <f>VLOOKUP(A175,'imp-questions'!A:H,7,FALSE)</f>
        <v xml:space="preserve">Inputs for security tests are dynamically generated using automated tools.
The security testing tools are chosen to fit the organization's architecture and technology stack, and balances depth and accuracy of inspection with usability of findings to the organization.
</v>
      </c>
      <c r="E176" s="255"/>
      <c r="F176" s="27"/>
      <c r="G176" s="22"/>
      <c r="H176" s="299"/>
      <c r="I176" s="326"/>
      <c r="J176" s="312"/>
      <c r="K176" s="242"/>
      <c r="L176" s="134"/>
      <c r="M176" s="134"/>
      <c r="N176" s="134"/>
      <c r="O176" s="134"/>
      <c r="P176" s="134"/>
      <c r="Q176" s="242"/>
      <c r="R176" s="242"/>
      <c r="S176" s="242"/>
      <c r="T176" s="242"/>
      <c r="U176" s="242"/>
      <c r="V176" s="242"/>
      <c r="W176" s="242"/>
      <c r="X176" s="242"/>
      <c r="Y176" s="242"/>
      <c r="Z176" s="242"/>
    </row>
    <row r="177" spans="1:26" x14ac:dyDescent="0.15">
      <c r="A177" s="245" t="s">
        <v>454</v>
      </c>
      <c r="B177" s="328"/>
      <c r="C177" s="296">
        <f>VLOOKUP(A177,'imp-questions'!A:H,5,FALSE)</f>
        <v>2</v>
      </c>
      <c r="D177" s="288" t="str">
        <f>VLOOKUP(A177,'imp-questions'!A:H,6,FALSE)</f>
        <v>Do you verify business logic with automated security tests, created from application security requirements?</v>
      </c>
      <c r="E177" s="250" t="str">
        <f>CHAR(65+VLOOKUP(A177,'imp-questions'!A:H,8,FALSE))</f>
        <v>B</v>
      </c>
      <c r="F177" s="284"/>
      <c r="G177" s="18">
        <f>IFERROR(VLOOKUP(F177,AnsBTBL,2,FALSE),0)</f>
        <v>0</v>
      </c>
      <c r="H177" s="300">
        <v>0</v>
      </c>
      <c r="I177" s="317"/>
      <c r="J177" s="301"/>
      <c r="K177" s="291"/>
      <c r="L177" s="134"/>
      <c r="M177" s="134"/>
      <c r="N177" s="134"/>
      <c r="O177" s="134"/>
      <c r="P177" s="134"/>
      <c r="Q177" s="291"/>
      <c r="R177" s="291"/>
      <c r="S177" s="291"/>
      <c r="T177" s="291"/>
      <c r="U177" s="291"/>
      <c r="V177" s="291"/>
      <c r="W177" s="291"/>
      <c r="X177" s="291"/>
      <c r="Y177" s="291"/>
      <c r="Z177" s="291"/>
    </row>
    <row r="178" spans="1:26" ht="56" x14ac:dyDescent="0.15">
      <c r="A178"/>
      <c r="B178" s="328"/>
      <c r="C178" s="224"/>
      <c r="D178" s="277" t="str">
        <f>VLOOKUP(A177,'imp-questions'!A:H,7,FALSE)</f>
        <v xml:space="preserve">Tests are specifically customized for software interfaces in the project.
Tests and the security requirements they verify are expressed in a structured format, such as a DSL.
Tests include organization-specific technical standards and compliance concerns.
</v>
      </c>
      <c r="E178" s="255"/>
      <c r="F178" s="27"/>
      <c r="G178" s="22"/>
      <c r="H178" s="302"/>
      <c r="I178" s="318"/>
      <c r="J178" s="301"/>
      <c r="K178" s="291"/>
      <c r="L178" s="134"/>
      <c r="M178" s="134"/>
      <c r="N178" s="134"/>
      <c r="O178" s="134"/>
      <c r="P178" s="134"/>
      <c r="Q178" s="291"/>
      <c r="R178" s="291"/>
      <c r="S178" s="291"/>
      <c r="T178" s="291"/>
      <c r="U178" s="291"/>
      <c r="V178" s="291"/>
      <c r="W178" s="291"/>
      <c r="X178" s="291"/>
      <c r="Y178" s="291"/>
      <c r="Z178" s="291"/>
    </row>
    <row r="179" spans="1:26" x14ac:dyDescent="0.15">
      <c r="A179" s="245" t="s">
        <v>457</v>
      </c>
      <c r="B179" s="328"/>
      <c r="C179" s="296">
        <f>VLOOKUP(A179,'imp-questions'!A:H,5,FALSE)</f>
        <v>3</v>
      </c>
      <c r="D179" s="288" t="str">
        <f>VLOOKUP(A179,'imp-questions'!A:H,6,FALSE)</f>
        <v>Do you integrate automated security testing into the build and deploy process?</v>
      </c>
      <c r="E179" s="250" t="str">
        <f>CHAR(65+VLOOKUP(A179,'imp-questions'!A:H,8,FALSE))</f>
        <v>B</v>
      </c>
      <c r="F179" s="284"/>
      <c r="G179" s="18">
        <f>IFERROR(VLOOKUP(F179,AnsBTBL,2,FALSE),0)</f>
        <v>0</v>
      </c>
      <c r="H179" s="300">
        <v>0</v>
      </c>
      <c r="I179" s="336"/>
      <c r="J179" s="301"/>
      <c r="K179" s="242"/>
      <c r="L179" s="134"/>
      <c r="M179" s="134"/>
      <c r="N179" s="134"/>
      <c r="O179" s="134"/>
      <c r="P179" s="134"/>
      <c r="Q179" s="242"/>
      <c r="R179" s="242"/>
      <c r="S179" s="242"/>
      <c r="T179" s="242"/>
      <c r="U179" s="242"/>
      <c r="V179" s="242"/>
      <c r="W179" s="242"/>
      <c r="X179" s="242"/>
      <c r="Y179" s="242"/>
      <c r="Z179" s="242"/>
    </row>
    <row r="180" spans="1:26" ht="42" x14ac:dyDescent="0.15">
      <c r="A180"/>
      <c r="B180" s="329"/>
      <c r="C180" s="259"/>
      <c r="D180" s="269" t="str">
        <f>VLOOKUP(A179,'imp-questions'!A:H,7,FALSE)</f>
        <v xml:space="preserve">Test results are tracked and reviewed by management and business stakeholders throughout the development cycle
Tests results are merged into a central dashboard and fed into defect management.
</v>
      </c>
      <c r="E180" s="255"/>
      <c r="F180" s="27"/>
      <c r="G180" s="22"/>
      <c r="H180" s="302"/>
      <c r="I180" s="318"/>
      <c r="J180" s="301"/>
      <c r="K180" s="242"/>
      <c r="L180" s="134"/>
      <c r="M180" s="134"/>
      <c r="N180" s="134"/>
      <c r="O180" s="134"/>
      <c r="P180" s="134"/>
      <c r="Q180" s="242"/>
      <c r="R180" s="242"/>
      <c r="S180" s="242"/>
      <c r="T180" s="242"/>
      <c r="U180" s="242"/>
      <c r="V180" s="242"/>
      <c r="W180" s="242"/>
      <c r="X180" s="242"/>
      <c r="Y180" s="242"/>
      <c r="Z180" s="242"/>
    </row>
    <row r="181" spans="1:26" x14ac:dyDescent="0.15">
      <c r="A181"/>
      <c r="B181" s="330"/>
      <c r="C181" s="331"/>
      <c r="D181" s="331"/>
      <c r="E181" s="331"/>
      <c r="F181" s="331"/>
      <c r="G181" s="331"/>
      <c r="H181" s="331"/>
      <c r="I181" s="332"/>
      <c r="J181" s="11"/>
      <c r="K181" s="242"/>
      <c r="L181" s="134"/>
      <c r="M181" s="134"/>
      <c r="N181" s="134"/>
      <c r="O181" s="134"/>
      <c r="P181" s="134"/>
      <c r="Q181" s="242"/>
      <c r="R181" s="242"/>
      <c r="S181" s="242"/>
      <c r="T181" s="242"/>
      <c r="U181" s="242"/>
      <c r="V181" s="242"/>
      <c r="W181" s="242"/>
      <c r="X181" s="242"/>
      <c r="Y181" s="242"/>
      <c r="Z181" s="242"/>
    </row>
    <row r="182" spans="1:26" x14ac:dyDescent="0.15">
      <c r="A182" s="245" t="s">
        <v>460</v>
      </c>
      <c r="B182" s="327" t="str">
        <f>VLOOKUP(A182,'imp-questions'!A:H,4,FALSE)</f>
        <v>Deep Understanding</v>
      </c>
      <c r="C182" s="296">
        <f>VLOOKUP(A182,'imp-questions'!A:H,5,FALSE)</f>
        <v>1</v>
      </c>
      <c r="D182" s="288" t="str">
        <f>VLOOKUP(A182,'imp-questions'!A:H,6,FALSE)</f>
        <v>Do you manually review the security quality of selected high-risk components?</v>
      </c>
      <c r="E182" s="250" t="str">
        <f>CHAR(65+VLOOKUP(A182,'imp-questions'!A:H,8,FALSE))</f>
        <v>B</v>
      </c>
      <c r="F182" s="279"/>
      <c r="G182" s="18">
        <f>IFERROR(VLOOKUP(F182,AnsBTBL,2,FALSE),0)</f>
        <v>0</v>
      </c>
      <c r="H182" s="105"/>
      <c r="I182" s="315"/>
      <c r="J182" s="11"/>
      <c r="K182" s="242"/>
      <c r="L182" s="134"/>
      <c r="M182" s="134"/>
      <c r="N182" s="134"/>
      <c r="O182" s="134"/>
      <c r="P182" s="134"/>
      <c r="Q182" s="242"/>
      <c r="R182" s="242"/>
      <c r="S182" s="242"/>
      <c r="T182" s="242"/>
      <c r="U182" s="242"/>
      <c r="V182" s="242"/>
      <c r="W182" s="242"/>
      <c r="X182" s="242"/>
      <c r="Y182" s="242"/>
      <c r="Z182" s="242"/>
    </row>
    <row r="183" spans="1:26" ht="56" x14ac:dyDescent="0.15">
      <c r="A183"/>
      <c r="B183" s="328"/>
      <c r="C183" s="224"/>
      <c r="D183" s="277" t="str">
        <f>VLOOKUP(A182,'imp-questions'!A:H,7,FALSE)</f>
        <v xml:space="preserve">Criteria exist to help the reviewer to focus on high-risk components
Reviews are conducted by qualified personel following documented guidelines
findings are addressed in accordance with the organisation's defect management policy
</v>
      </c>
      <c r="E183" s="255"/>
      <c r="F183" s="27"/>
      <c r="G183" s="22"/>
      <c r="H183" s="117"/>
      <c r="I183" s="316"/>
      <c r="J183" s="11"/>
      <c r="K183" s="242"/>
      <c r="L183" s="134"/>
      <c r="M183" s="134"/>
      <c r="N183" s="134"/>
      <c r="O183" s="134"/>
      <c r="P183" s="134"/>
      <c r="Q183" s="242"/>
      <c r="R183" s="242"/>
      <c r="S183" s="242"/>
      <c r="T183" s="242"/>
      <c r="U183" s="242"/>
      <c r="V183" s="242"/>
      <c r="W183" s="242"/>
      <c r="X183" s="242"/>
      <c r="Y183" s="242"/>
      <c r="Z183" s="242"/>
    </row>
    <row r="184" spans="1:26" x14ac:dyDescent="0.15">
      <c r="A184" s="245" t="s">
        <v>464</v>
      </c>
      <c r="B184" s="328"/>
      <c r="C184" s="296">
        <f>VLOOKUP(A184,'imp-questions'!A:H,5,FALSE)</f>
        <v>2</v>
      </c>
      <c r="D184" s="288" t="str">
        <f>VLOOKUP(A184,'imp-questions'!A:H,6,FALSE)</f>
        <v>Do you perform penetration testing for your applications at regular intervals?</v>
      </c>
      <c r="E184" s="250" t="str">
        <f>CHAR(65+VLOOKUP(A184,'imp-questions'!A:H,8,FALSE))</f>
        <v>B</v>
      </c>
      <c r="F184" s="284"/>
      <c r="G184" s="18">
        <f>IFERROR(VLOOKUP(F184,AnsBTBL,2,FALSE),0)</f>
        <v>0</v>
      </c>
      <c r="H184" s="105"/>
      <c r="I184" s="315"/>
      <c r="J184" s="11"/>
      <c r="K184" s="291"/>
      <c r="L184" s="134"/>
      <c r="M184" s="134"/>
      <c r="N184" s="134"/>
      <c r="O184" s="134"/>
      <c r="P184" s="134"/>
      <c r="Q184" s="291"/>
      <c r="R184" s="291"/>
      <c r="S184" s="291"/>
      <c r="T184" s="291"/>
      <c r="U184" s="291"/>
      <c r="V184" s="291"/>
      <c r="W184" s="291"/>
      <c r="X184" s="291"/>
      <c r="Y184" s="291"/>
      <c r="Z184" s="291"/>
    </row>
    <row r="185" spans="1:26" ht="70" x14ac:dyDescent="0.15">
      <c r="A185"/>
      <c r="B185" s="328"/>
      <c r="C185" s="224"/>
      <c r="D185" s="277" t="str">
        <f>VLOOKUP(A184,'imp-questions'!A:H,7,FALSE)</f>
        <v xml:space="preserve">Penetration testing uses application-specific security test cases to evaluate security
Penetration testing looks for both technical and logical issues in the application
Stakeholders review the test results and handle them in accordance with the organisation's risk management
Penetration testing is performed by qualified personel.
</v>
      </c>
      <c r="E185" s="255"/>
      <c r="F185" s="27"/>
      <c r="G185" s="22"/>
      <c r="H185" s="117"/>
      <c r="I185" s="316"/>
      <c r="J185" s="11"/>
      <c r="K185" s="291"/>
      <c r="L185" s="134"/>
      <c r="M185" s="134"/>
      <c r="N185" s="134"/>
      <c r="O185" s="134"/>
      <c r="P185" s="134"/>
      <c r="Q185" s="291"/>
      <c r="R185" s="291"/>
      <c r="S185" s="291"/>
      <c r="T185" s="291"/>
      <c r="U185" s="291"/>
      <c r="V185" s="291"/>
      <c r="W185" s="291"/>
      <c r="X185" s="291"/>
      <c r="Y185" s="291"/>
      <c r="Z185" s="291"/>
    </row>
    <row r="186" spans="1:26" x14ac:dyDescent="0.15">
      <c r="A186" s="245" t="s">
        <v>467</v>
      </c>
      <c r="B186" s="328"/>
      <c r="C186" s="296">
        <f>VLOOKUP(A186,'imp-questions'!A:H,5,FALSE)</f>
        <v>3</v>
      </c>
      <c r="D186" s="288" t="str">
        <f>VLOOKUP(A186,'imp-questions'!A:H,6,FALSE)</f>
        <v>Do you use the results of security testing to improve the development lifecycle?</v>
      </c>
      <c r="E186" s="250" t="str">
        <f>CHAR(65+VLOOKUP(A186,'imp-questions'!A:H,8,FALSE))</f>
        <v>E</v>
      </c>
      <c r="F186" s="284"/>
      <c r="G186" s="271">
        <f>IFERROR(VLOOKUP(F186,AnsBTBL,2,FALSE),0)</f>
        <v>0</v>
      </c>
      <c r="H186" s="105"/>
      <c r="I186" s="315"/>
      <c r="J186" s="11"/>
      <c r="K186" s="242"/>
      <c r="L186" s="134"/>
      <c r="M186" s="134"/>
      <c r="N186" s="134"/>
      <c r="O186" s="134"/>
      <c r="P186" s="134"/>
      <c r="Q186" s="242"/>
      <c r="R186" s="242"/>
      <c r="S186" s="242"/>
      <c r="T186" s="242"/>
      <c r="U186" s="242"/>
      <c r="V186" s="242"/>
      <c r="W186" s="242"/>
      <c r="X186" s="242"/>
      <c r="Y186" s="242"/>
      <c r="Z186" s="242"/>
    </row>
    <row r="187" spans="1:26" ht="56" x14ac:dyDescent="0.15">
      <c r="A187"/>
      <c r="B187" s="329"/>
      <c r="C187" s="259"/>
      <c r="D187" s="269" t="str">
        <f>VLOOKUP(A186,'imp-questions'!A:H,7,FALSE)</f>
        <v xml:space="preserve">You use results from other security activities to improve integrated security testing during development
You review test results and incorporate them into security awareness training and security testing playbooks
Stakeholders review the test results and handle them in accordance with the organisation's risk management
</v>
      </c>
      <c r="E187" s="255"/>
      <c r="F187" s="27"/>
      <c r="G187" s="22"/>
      <c r="H187" s="117"/>
      <c r="I187" s="316"/>
      <c r="J187" s="11"/>
      <c r="K187" s="242"/>
      <c r="L187" s="134"/>
      <c r="M187" s="134"/>
      <c r="N187" s="134"/>
      <c r="O187" s="134"/>
      <c r="P187" s="134"/>
      <c r="Q187" s="242"/>
      <c r="R187" s="242"/>
      <c r="S187" s="242"/>
      <c r="T187" s="242"/>
      <c r="U187" s="242"/>
      <c r="V187" s="242"/>
      <c r="W187" s="242"/>
      <c r="X187" s="242"/>
      <c r="Y187" s="242"/>
      <c r="Z187" s="242"/>
    </row>
    <row r="188" spans="1:26" ht="13" x14ac:dyDescent="0.15">
      <c r="A188"/>
      <c r="B188" s="380" t="s">
        <v>72</v>
      </c>
      <c r="C188" s="380"/>
      <c r="D188" s="380"/>
      <c r="E188" s="380"/>
      <c r="F188" s="380"/>
      <c r="G188" s="380"/>
      <c r="H188" s="380"/>
      <c r="I188" s="380"/>
      <c r="J188" s="380"/>
      <c r="K188" s="1"/>
      <c r="L188" s="134"/>
      <c r="M188" s="134"/>
      <c r="N188" s="134"/>
      <c r="O188" s="134"/>
      <c r="P188" s="134"/>
      <c r="Q188" s="1"/>
      <c r="R188" s="1"/>
      <c r="S188" s="1"/>
      <c r="T188" s="1"/>
      <c r="U188" s="1"/>
      <c r="V188" s="1"/>
      <c r="W188" s="1"/>
      <c r="X188" s="1"/>
      <c r="Y188" s="1"/>
      <c r="Z188" s="1"/>
    </row>
    <row r="189" spans="1:26" x14ac:dyDescent="0.15">
      <c r="A189"/>
      <c r="B189" s="374" t="s">
        <v>471</v>
      </c>
      <c r="C189" s="375"/>
      <c r="D189" s="376"/>
      <c r="E189" s="241"/>
      <c r="F189" s="84" t="s">
        <v>70</v>
      </c>
      <c r="G189" s="84"/>
      <c r="H189" s="125"/>
      <c r="I189" s="85" t="s">
        <v>26</v>
      </c>
      <c r="J189" s="85" t="s">
        <v>68</v>
      </c>
      <c r="K189" s="1"/>
      <c r="L189" s="134"/>
      <c r="M189" s="134"/>
      <c r="N189" s="134"/>
      <c r="O189" s="134"/>
      <c r="P189" s="134"/>
      <c r="Q189" s="1"/>
      <c r="R189" s="1"/>
      <c r="S189" s="1"/>
      <c r="T189" s="1"/>
      <c r="U189" s="1"/>
      <c r="V189" s="1"/>
      <c r="W189" s="1"/>
      <c r="X189" s="1"/>
      <c r="Y189" s="1"/>
      <c r="Z189" s="1"/>
    </row>
    <row r="190" spans="1:26" x14ac:dyDescent="0.15">
      <c r="A190" s="245" t="s">
        <v>470</v>
      </c>
      <c r="B190" s="385" t="str">
        <f>VLOOKUP(A190,'imp-questions'!A:H,4,FALSE)</f>
        <v>Incident Detection</v>
      </c>
      <c r="C190" s="297">
        <f>VLOOKUP(A190,'imp-questions'!A:H,5,FALSE)</f>
        <v>1</v>
      </c>
      <c r="D190" s="288" t="str">
        <f>VLOOKUP(A190,'imp-questions'!A:H,6,FALSE)</f>
        <v>Do you analyze log data for possible security incidents periodically?</v>
      </c>
      <c r="E190" s="250" t="str">
        <f>CHAR(65+VLOOKUP(A190,'imp-questions'!A:H,8,FALSE))</f>
        <v>A</v>
      </c>
      <c r="F190" s="279"/>
      <c r="G190" s="18">
        <f>IFERROR(VLOOKUP(F190,AnsATBL,2,FALSE),0)</f>
        <v>0</v>
      </c>
      <c r="H190" s="298">
        <v>0</v>
      </c>
      <c r="I190" s="325"/>
      <c r="J190" s="313">
        <v>0</v>
      </c>
      <c r="K190" s="1"/>
      <c r="L190" s="134"/>
      <c r="M190" s="134"/>
      <c r="N190" s="134"/>
      <c r="O190" s="134"/>
      <c r="P190" s="134"/>
      <c r="Q190" s="1"/>
      <c r="R190" s="1"/>
      <c r="S190" s="1"/>
      <c r="T190" s="1"/>
      <c r="U190" s="1"/>
      <c r="V190" s="1"/>
      <c r="W190" s="1"/>
      <c r="X190" s="1"/>
      <c r="Y190" s="1"/>
      <c r="Z190" s="1"/>
    </row>
    <row r="191" spans="1:26" ht="56" x14ac:dyDescent="0.15">
      <c r="A191"/>
      <c r="B191" s="386"/>
      <c r="C191" s="259"/>
      <c r="D191" s="269" t="str">
        <f>VLOOKUP(A190,'imp-questions'!A:H,7,FALSE)</f>
        <v xml:space="preserve">You have a contact point for the creation of security incidents
You analyze data in accordance with the log data retention periods
The frequency of this analysis is aligned with the criticality of your applications
</v>
      </c>
      <c r="E191" s="255"/>
      <c r="F191" s="260"/>
      <c r="G191" s="21"/>
      <c r="H191" s="299"/>
      <c r="I191" s="326"/>
      <c r="J191" s="314"/>
      <c r="K191" s="1"/>
      <c r="L191" s="134"/>
      <c r="M191" s="134"/>
      <c r="N191" s="134"/>
      <c r="O191" s="134"/>
      <c r="P191" s="134"/>
      <c r="Q191" s="1"/>
      <c r="R191" s="1"/>
      <c r="S191" s="1"/>
      <c r="T191" s="1"/>
      <c r="U191" s="1"/>
      <c r="V191" s="1"/>
      <c r="W191" s="1"/>
      <c r="X191" s="1"/>
      <c r="Y191" s="1"/>
      <c r="Z191" s="1"/>
    </row>
    <row r="192" spans="1:26" x14ac:dyDescent="0.15">
      <c r="A192" s="245" t="s">
        <v>475</v>
      </c>
      <c r="B192" s="386"/>
      <c r="C192" s="297">
        <f>VLOOKUP(A192,'imp-questions'!A:H,5,FALSE)</f>
        <v>2</v>
      </c>
      <c r="D192" s="288" t="str">
        <f>VLOOKUP(A192,'imp-questions'!A:H,6,FALSE)</f>
        <v>Do you follow a process for incident detection?</v>
      </c>
      <c r="E192" s="250" t="str">
        <f>CHAR(65+VLOOKUP(A192,'imp-questions'!A:H,8,FALSE))</f>
        <v>A</v>
      </c>
      <c r="F192" s="279"/>
      <c r="G192" s="18">
        <f>IFERROR(VLOOKUP(F192,AnsATBL,2,FALSE),0)</f>
        <v>0</v>
      </c>
      <c r="H192" s="300">
        <v>0</v>
      </c>
      <c r="I192" s="317"/>
      <c r="J192" s="301"/>
      <c r="K192" s="291"/>
      <c r="L192" s="134"/>
      <c r="M192" s="134"/>
      <c r="N192" s="134"/>
      <c r="O192" s="134"/>
      <c r="P192" s="134"/>
      <c r="Q192" s="291"/>
      <c r="R192" s="291"/>
      <c r="S192" s="291"/>
      <c r="T192" s="291"/>
      <c r="U192" s="291"/>
      <c r="V192" s="291"/>
      <c r="W192" s="291"/>
      <c r="X192" s="291"/>
      <c r="Y192" s="291"/>
      <c r="Z192" s="291"/>
    </row>
    <row r="193" spans="1:26" ht="84" x14ac:dyDescent="0.15">
      <c r="A193"/>
      <c r="B193" s="386"/>
      <c r="C193" s="259"/>
      <c r="D193" s="269" t="str">
        <f>VLOOKUP(A192,'imp-questions'!A:H,7,FALSE)</f>
        <v xml:space="preserve">The process has a dedicated owner
There is process documentation stored in an accessible location
The process considers and escalation path for further analysis
Employees responsible for incident detection are trained in this process
You have a checklist of potential attacks to simplify incident detection
</v>
      </c>
      <c r="E193" s="255"/>
      <c r="F193" s="25"/>
      <c r="G193" s="21"/>
      <c r="H193" s="302"/>
      <c r="I193" s="318"/>
      <c r="J193" s="301"/>
      <c r="K193" s="291"/>
      <c r="L193" s="134"/>
      <c r="M193" s="134"/>
      <c r="N193" s="134"/>
      <c r="O193" s="134"/>
      <c r="P193" s="134"/>
      <c r="Q193" s="291"/>
      <c r="R193" s="291"/>
      <c r="S193" s="291"/>
      <c r="T193" s="291"/>
      <c r="U193" s="291"/>
      <c r="V193" s="291"/>
      <c r="W193" s="291"/>
      <c r="X193" s="291"/>
      <c r="Y193" s="291"/>
      <c r="Z193" s="291"/>
    </row>
    <row r="194" spans="1:26" x14ac:dyDescent="0.15">
      <c r="A194" s="245" t="s">
        <v>478</v>
      </c>
      <c r="B194" s="386"/>
      <c r="C194" s="297">
        <f>VLOOKUP(A194,'imp-questions'!A:H,5,FALSE)</f>
        <v>3</v>
      </c>
      <c r="D194" s="288" t="str">
        <f>VLOOKUP(A194,'imp-questions'!A:H,6,FALSE)</f>
        <v>Do you review and update the incident detection process regularly?</v>
      </c>
      <c r="E194" s="250" t="str">
        <f>CHAR(65+VLOOKUP(A194,'imp-questions'!A:H,8,FALSE))</f>
        <v>A</v>
      </c>
      <c r="F194" s="279"/>
      <c r="G194" s="18">
        <f>IFERROR(VLOOKUP(F194,AnsATBL,2,FALSE),0)</f>
        <v>0</v>
      </c>
      <c r="H194" s="300">
        <v>0</v>
      </c>
      <c r="I194" s="336"/>
      <c r="J194" s="301"/>
      <c r="K194" s="1"/>
      <c r="L194" s="134"/>
      <c r="M194" s="134"/>
      <c r="N194" s="134"/>
      <c r="O194" s="134"/>
      <c r="P194" s="134"/>
      <c r="Q194" s="1"/>
      <c r="R194" s="1"/>
      <c r="S194" s="1"/>
      <c r="T194" s="1"/>
      <c r="U194" s="1"/>
      <c r="V194" s="1"/>
      <c r="W194" s="1"/>
      <c r="X194" s="1"/>
      <c r="Y194" s="1"/>
      <c r="Z194" s="1"/>
    </row>
    <row r="195" spans="1:26" ht="42" x14ac:dyDescent="0.15">
      <c r="A195"/>
      <c r="B195" s="387"/>
      <c r="C195" s="259"/>
      <c r="D195" s="269" t="str">
        <f>VLOOKUP(A194,'imp-questions'!A:H,7,FALSE)</f>
        <v xml:space="preserve">You perform reviews at least annually
You update the checklist of potential attacks with external and internal data
</v>
      </c>
      <c r="E195" s="255"/>
      <c r="F195" s="25"/>
      <c r="G195" s="21"/>
      <c r="H195" s="302"/>
      <c r="I195" s="318"/>
      <c r="J195" s="301"/>
      <c r="K195" s="1"/>
      <c r="L195" s="134"/>
      <c r="M195" s="134"/>
      <c r="N195" s="134"/>
      <c r="O195" s="134"/>
      <c r="P195" s="134"/>
      <c r="Q195" s="1"/>
      <c r="R195" s="1"/>
      <c r="S195" s="1"/>
      <c r="T195" s="1"/>
      <c r="U195" s="1"/>
      <c r="V195" s="1"/>
      <c r="W195" s="1"/>
      <c r="X195" s="1"/>
      <c r="Y195" s="1"/>
      <c r="Z195" s="1"/>
    </row>
    <row r="196" spans="1:26" x14ac:dyDescent="0.15">
      <c r="A196"/>
      <c r="B196" s="340"/>
      <c r="C196" s="331"/>
      <c r="D196" s="331"/>
      <c r="E196" s="331"/>
      <c r="F196" s="331"/>
      <c r="G196" s="331"/>
      <c r="H196" s="331"/>
      <c r="I196" s="341"/>
      <c r="J196" s="11"/>
      <c r="K196" s="1"/>
      <c r="L196" s="134"/>
      <c r="M196" s="134"/>
      <c r="N196" s="134"/>
      <c r="O196" s="134"/>
      <c r="P196" s="134"/>
      <c r="Q196" s="1"/>
      <c r="R196" s="1"/>
      <c r="S196" s="1"/>
      <c r="T196" s="1"/>
      <c r="U196" s="1"/>
      <c r="V196" s="1"/>
      <c r="W196" s="1"/>
      <c r="X196" s="1"/>
      <c r="Y196" s="1"/>
      <c r="Z196" s="1"/>
    </row>
    <row r="197" spans="1:26" x14ac:dyDescent="0.15">
      <c r="A197" s="245" t="s">
        <v>481</v>
      </c>
      <c r="B197" s="385" t="str">
        <f>VLOOKUP(A197,'imp-questions'!A:H,4,FALSE)</f>
        <v>Incident Response</v>
      </c>
      <c r="C197" s="297">
        <f>VLOOKUP(A197,'imp-questions'!A:H,5,FALSE)</f>
        <v>1</v>
      </c>
      <c r="D197" s="288" t="str">
        <f>VLOOKUP(A197,'imp-questions'!A:H,6,FALSE)</f>
        <v>Do you respond upon detected incidents?</v>
      </c>
      <c r="E197" s="250" t="str">
        <f>CHAR(65+VLOOKUP(A197,'imp-questions'!A:H,8,FALSE))</f>
        <v>H</v>
      </c>
      <c r="F197" s="5"/>
      <c r="G197" s="18">
        <f>IFERROR(VLOOKUP(F197,AnsHTBL,2,FALSE),0)</f>
        <v>0</v>
      </c>
      <c r="H197" s="105"/>
      <c r="I197" s="303"/>
      <c r="J197" s="11"/>
      <c r="K197" s="1"/>
      <c r="L197" s="134"/>
      <c r="M197" s="134"/>
      <c r="N197" s="134"/>
      <c r="O197" s="134"/>
      <c r="P197" s="134"/>
      <c r="Q197" s="1"/>
      <c r="R197" s="1"/>
      <c r="S197" s="1"/>
      <c r="T197" s="1"/>
      <c r="U197" s="1"/>
      <c r="V197" s="1"/>
      <c r="W197" s="1"/>
      <c r="X197" s="1"/>
      <c r="Y197" s="1"/>
      <c r="Z197" s="1"/>
    </row>
    <row r="198" spans="1:26" ht="42" x14ac:dyDescent="0.15">
      <c r="A198"/>
      <c r="B198" s="386"/>
      <c r="C198" s="259"/>
      <c r="D198" s="269" t="str">
        <f>VLOOKUP(A197,'imp-questions'!A:H,7,FALSE)</f>
        <v xml:space="preserve">You have a defined person or role for incident handling
You document security incidents
</v>
      </c>
      <c r="E198" s="255"/>
      <c r="F198" s="260"/>
      <c r="G198" s="21"/>
      <c r="H198" s="118"/>
      <c r="I198" s="304"/>
      <c r="J198" s="11"/>
      <c r="K198" s="1"/>
      <c r="L198" s="134"/>
      <c r="M198" s="134"/>
      <c r="N198" s="134"/>
      <c r="O198" s="134"/>
      <c r="P198" s="134"/>
      <c r="Q198" s="1"/>
      <c r="R198" s="1"/>
      <c r="S198" s="1"/>
      <c r="T198" s="1"/>
      <c r="U198" s="1"/>
      <c r="V198" s="1"/>
      <c r="W198" s="1"/>
      <c r="X198" s="1"/>
      <c r="Y198" s="1"/>
      <c r="Z198" s="1"/>
    </row>
    <row r="199" spans="1:26" x14ac:dyDescent="0.15">
      <c r="A199" s="245" t="s">
        <v>485</v>
      </c>
      <c r="B199" s="386"/>
      <c r="C199" s="297">
        <f>VLOOKUP(A199,'imp-questions'!A:H,5,FALSE)</f>
        <v>2</v>
      </c>
      <c r="D199" s="288" t="str">
        <f>VLOOKUP(A199,'imp-questions'!A:H,6,FALSE)</f>
        <v>Do you have a repeatable process for incident handling?</v>
      </c>
      <c r="E199" s="250" t="str">
        <f>CHAR(65+VLOOKUP(A199,'imp-questions'!A:H,8,FALSE))</f>
        <v>I</v>
      </c>
      <c r="F199" s="19"/>
      <c r="G199" s="18">
        <f>IFERROR(VLOOKUP(F199,AnsITBL,2,FALSE),0)</f>
        <v>0</v>
      </c>
      <c r="H199" s="105"/>
      <c r="I199" s="303"/>
      <c r="J199" s="11"/>
      <c r="K199" s="291"/>
      <c r="L199" s="134"/>
      <c r="M199" s="134"/>
      <c r="N199" s="134"/>
      <c r="O199" s="134"/>
      <c r="P199" s="134"/>
      <c r="Q199" s="291"/>
      <c r="R199" s="291"/>
      <c r="S199" s="291"/>
      <c r="T199" s="291"/>
      <c r="U199" s="291"/>
      <c r="V199" s="291"/>
      <c r="W199" s="291"/>
      <c r="X199" s="291"/>
      <c r="Y199" s="291"/>
      <c r="Z199" s="291"/>
    </row>
    <row r="200" spans="1:26" ht="70" x14ac:dyDescent="0.15">
      <c r="A200"/>
      <c r="B200" s="386"/>
      <c r="C200" s="259"/>
      <c r="D200" s="269" t="str">
        <f>VLOOKUP(A199,'imp-questions'!A:H,7,FALSE)</f>
        <v xml:space="preserve">You have an agreed upon incident classification
The process considers Root Case Analysis for high severity incidents
Employees responsible for incident response are trained in this process
Forensic analysis tooling is available
</v>
      </c>
      <c r="E200" s="255"/>
      <c r="F200" s="260"/>
      <c r="G200" s="21"/>
      <c r="H200" s="118"/>
      <c r="I200" s="304"/>
      <c r="J200" s="11"/>
      <c r="K200" s="291"/>
      <c r="L200" s="134"/>
      <c r="M200" s="134"/>
      <c r="N200" s="134"/>
      <c r="O200" s="134"/>
      <c r="P200" s="134"/>
      <c r="Q200" s="291"/>
      <c r="R200" s="291"/>
      <c r="S200" s="291"/>
      <c r="T200" s="291"/>
      <c r="U200" s="291"/>
      <c r="V200" s="291"/>
      <c r="W200" s="291"/>
      <c r="X200" s="291"/>
      <c r="Y200" s="291"/>
      <c r="Z200" s="291"/>
    </row>
    <row r="201" spans="1:26" x14ac:dyDescent="0.15">
      <c r="A201" s="245" t="s">
        <v>488</v>
      </c>
      <c r="B201" s="386"/>
      <c r="C201" s="297">
        <f>VLOOKUP(A201,'imp-questions'!A:H,5,FALSE)</f>
        <v>3</v>
      </c>
      <c r="D201" s="288" t="str">
        <f>VLOOKUP(A201,'imp-questions'!A:H,6,FALSE)</f>
        <v>Is there a dedicated incident response team available?</v>
      </c>
      <c r="E201" s="250" t="str">
        <f>CHAR(65+VLOOKUP(A201,'imp-questions'!A:H,8,FALSE))</f>
        <v>E</v>
      </c>
      <c r="F201" s="19"/>
      <c r="G201" s="18">
        <f>IFERROR(VLOOKUP(F201,AnsETBL,2,FALSE),0)</f>
        <v>0</v>
      </c>
      <c r="H201" s="105"/>
      <c r="I201" s="303"/>
      <c r="J201" s="11"/>
      <c r="K201" s="1"/>
      <c r="L201" s="134"/>
      <c r="M201" s="134"/>
      <c r="N201" s="134"/>
      <c r="O201" s="134"/>
      <c r="P201" s="134"/>
      <c r="Q201" s="1"/>
      <c r="R201" s="1"/>
      <c r="S201" s="1"/>
      <c r="T201" s="1"/>
      <c r="U201" s="1"/>
      <c r="V201" s="1"/>
      <c r="W201" s="1"/>
      <c r="X201" s="1"/>
      <c r="Y201" s="1"/>
      <c r="Z201" s="1"/>
    </row>
    <row r="202" spans="1:26" ht="42" x14ac:dyDescent="0.15">
      <c r="A202"/>
      <c r="B202" s="387"/>
      <c r="C202" s="259"/>
      <c r="D202" s="269" t="str">
        <f>VLOOKUP(A201,'imp-questions'!A:H,7,FALSE)</f>
        <v xml:space="preserve">The team performs Root Cause Analysis for all security incidents unless there is a specific reason not to do so
You review and update the response process at least annually
</v>
      </c>
      <c r="E202" s="255"/>
      <c r="F202" s="260"/>
      <c r="G202" s="21"/>
      <c r="H202" s="118"/>
      <c r="I202" s="304"/>
      <c r="J202" s="11"/>
      <c r="K202" s="1"/>
      <c r="L202" s="134"/>
      <c r="M202" s="134"/>
      <c r="N202" s="134"/>
      <c r="O202" s="134"/>
      <c r="P202" s="134"/>
      <c r="Q202" s="1"/>
      <c r="R202" s="1"/>
      <c r="S202" s="1"/>
      <c r="T202" s="1"/>
      <c r="U202" s="1"/>
      <c r="V202" s="1"/>
      <c r="W202" s="1"/>
      <c r="X202" s="1"/>
      <c r="Y202" s="1"/>
      <c r="Z202" s="1"/>
    </row>
    <row r="203" spans="1:26" x14ac:dyDescent="0.15">
      <c r="A203"/>
      <c r="B203" s="377" t="s">
        <v>492</v>
      </c>
      <c r="C203" s="378"/>
      <c r="D203" s="379"/>
      <c r="E203" s="240"/>
      <c r="F203" s="86" t="s">
        <v>70</v>
      </c>
      <c r="G203" s="86"/>
      <c r="H203" s="126"/>
      <c r="I203" s="85" t="s">
        <v>26</v>
      </c>
      <c r="J203" s="85" t="s">
        <v>68</v>
      </c>
      <c r="K203" s="1"/>
      <c r="L203" s="134"/>
      <c r="M203" s="134"/>
      <c r="N203" s="134"/>
      <c r="O203" s="134"/>
      <c r="P203" s="134"/>
      <c r="Q203" s="1"/>
      <c r="R203" s="1"/>
      <c r="S203" s="1"/>
      <c r="T203" s="1"/>
      <c r="U203" s="1"/>
      <c r="V203" s="1"/>
      <c r="W203" s="1"/>
      <c r="X203" s="1"/>
      <c r="Y203" s="1"/>
      <c r="Z203" s="1"/>
    </row>
    <row r="204" spans="1:26" x14ac:dyDescent="0.15">
      <c r="A204" s="245" t="s">
        <v>491</v>
      </c>
      <c r="B204" s="385" t="str">
        <f>VLOOKUP(A204,'imp-questions'!A:H,4,FALSE)</f>
        <v>Configuration Hardening</v>
      </c>
      <c r="C204" s="297">
        <f>VLOOKUP(A204,'imp-questions'!A:H,5,FALSE)</f>
        <v>1</v>
      </c>
      <c r="D204" s="288" t="str">
        <f>VLOOKUP(A204,'imp-questions'!A:H,6,FALSE)</f>
        <v>Do you harden configurations for key components across your whole technology stack?</v>
      </c>
      <c r="E204" s="250" t="str">
        <f>CHAR(65+VLOOKUP(A204,'imp-questions'!A:H,8,FALSE))</f>
        <v>A</v>
      </c>
      <c r="F204" s="279"/>
      <c r="G204" s="18">
        <f>IFERROR(VLOOKUP(F204,AnsATBL,2,FALSE),0)</f>
        <v>0</v>
      </c>
      <c r="H204" s="298">
        <v>0</v>
      </c>
      <c r="I204" s="325"/>
      <c r="J204" s="313">
        <v>0</v>
      </c>
      <c r="K204" s="1"/>
      <c r="L204" s="134"/>
      <c r="M204" s="134"/>
      <c r="N204" s="134"/>
      <c r="O204" s="134"/>
      <c r="P204" s="134"/>
      <c r="Q204" s="1"/>
      <c r="R204" s="1"/>
      <c r="S204" s="1"/>
      <c r="T204" s="1"/>
      <c r="U204" s="1"/>
      <c r="V204" s="1"/>
      <c r="W204" s="1"/>
      <c r="X204" s="1"/>
      <c r="Y204" s="1"/>
      <c r="Z204" s="1"/>
    </row>
    <row r="205" spans="1:26" ht="42" x14ac:dyDescent="0.15">
      <c r="A205"/>
      <c r="B205" s="386"/>
      <c r="C205" s="259"/>
      <c r="D205" s="269" t="str">
        <f>VLOOKUP(A204,'imp-questions'!A:H,7,FALSE)</f>
        <v xml:space="preserve">You have identified the scope for this activity
You work with public sources to gather recommendations for your configurations
</v>
      </c>
      <c r="E205" s="255"/>
      <c r="F205" s="260"/>
      <c r="G205" s="21"/>
      <c r="H205" s="299"/>
      <c r="I205" s="326"/>
      <c r="J205" s="314"/>
      <c r="K205" s="1"/>
      <c r="L205" s="134"/>
      <c r="M205" s="134"/>
      <c r="N205" s="134"/>
      <c r="O205" s="134"/>
      <c r="P205" s="134"/>
      <c r="Q205" s="1"/>
      <c r="R205" s="1"/>
      <c r="S205" s="1"/>
      <c r="T205" s="1"/>
      <c r="U205" s="1"/>
      <c r="V205" s="1"/>
      <c r="W205" s="1"/>
      <c r="X205" s="1"/>
      <c r="Y205" s="1"/>
      <c r="Z205" s="1"/>
    </row>
    <row r="206" spans="1:26" x14ac:dyDescent="0.15">
      <c r="A206" s="245" t="s">
        <v>496</v>
      </c>
      <c r="B206" s="386"/>
      <c r="C206" s="297">
        <f>VLOOKUP(A206,'imp-questions'!A:H,5,FALSE)</f>
        <v>2</v>
      </c>
      <c r="D206" s="288" t="str">
        <f>VLOOKUP(A206,'imp-questions'!A:H,6,FALSE)</f>
        <v>Do you maintain hardening baselines for your components?</v>
      </c>
      <c r="E206" s="250" t="str">
        <f>CHAR(65+VLOOKUP(A206,'imp-questions'!A:H,8,FALSE))</f>
        <v>G</v>
      </c>
      <c r="F206" s="19"/>
      <c r="G206" s="18">
        <f>IFERROR(VLOOKUP(F206,AnsGTBL,2,FALSE),0)</f>
        <v>0</v>
      </c>
      <c r="H206" s="300">
        <v>0</v>
      </c>
      <c r="I206" s="317"/>
      <c r="J206" s="301"/>
      <c r="K206" s="291"/>
      <c r="L206" s="134"/>
      <c r="M206" s="134"/>
      <c r="N206" s="134"/>
      <c r="O206" s="134"/>
      <c r="P206" s="134"/>
      <c r="Q206" s="291"/>
      <c r="R206" s="291"/>
      <c r="S206" s="291"/>
      <c r="T206" s="291"/>
      <c r="U206" s="291"/>
      <c r="V206" s="291"/>
      <c r="W206" s="291"/>
      <c r="X206" s="291"/>
      <c r="Y206" s="291"/>
      <c r="Z206" s="291"/>
    </row>
    <row r="207" spans="1:26" ht="70" x14ac:dyDescent="0.15">
      <c r="A207"/>
      <c r="B207" s="386"/>
      <c r="C207" s="259"/>
      <c r="D207" s="269" t="str">
        <f>VLOOKUP(A206,'imp-questions'!A:H,7,FALSE)</f>
        <v xml:space="preserve">There is an owner for each baseline
The owner is responsible for keeping baselines up to date
Baselines are stored in an accessible location
Employees responsible for configurations are trained in these baselines
</v>
      </c>
      <c r="E207" s="255"/>
      <c r="F207" s="260"/>
      <c r="G207" s="21"/>
      <c r="H207" s="302"/>
      <c r="I207" s="318"/>
      <c r="J207" s="301"/>
      <c r="K207" s="291"/>
      <c r="L207" s="134"/>
      <c r="M207" s="134"/>
      <c r="N207" s="134"/>
      <c r="O207" s="134"/>
      <c r="P207" s="134"/>
      <c r="Q207" s="291"/>
      <c r="R207" s="291"/>
      <c r="S207" s="291"/>
      <c r="T207" s="291"/>
      <c r="U207" s="291"/>
      <c r="V207" s="291"/>
      <c r="W207" s="291"/>
      <c r="X207" s="291"/>
      <c r="Y207" s="291"/>
      <c r="Z207" s="291"/>
    </row>
    <row r="208" spans="1:26" x14ac:dyDescent="0.15">
      <c r="A208" s="245" t="s">
        <v>499</v>
      </c>
      <c r="B208" s="386"/>
      <c r="C208" s="297">
        <f>VLOOKUP(A208,'imp-questions'!A:H,5,FALSE)</f>
        <v>3</v>
      </c>
      <c r="D208" s="288" t="str">
        <f>VLOOKUP(A208,'imp-questions'!A:H,6,FALSE)</f>
        <v>Do you evaluate and track conformity with the hardening baselines?</v>
      </c>
      <c r="E208" s="250" t="str">
        <f>CHAR(65+VLOOKUP(A208,'imp-questions'!A:H,8,FALSE))</f>
        <v>A</v>
      </c>
      <c r="F208" s="279"/>
      <c r="G208" s="18">
        <f>IFERROR(VLOOKUP(F208,AnsATBL,2,FALSE),0)</f>
        <v>0</v>
      </c>
      <c r="H208" s="300">
        <v>0</v>
      </c>
      <c r="I208" s="336"/>
      <c r="J208" s="301"/>
      <c r="K208" s="1"/>
      <c r="L208" s="134"/>
      <c r="M208" s="134"/>
      <c r="N208" s="134"/>
      <c r="O208" s="134"/>
      <c r="P208" s="134"/>
      <c r="Q208" s="1"/>
      <c r="R208" s="1"/>
      <c r="S208" s="1"/>
      <c r="T208" s="1"/>
      <c r="U208" s="1"/>
      <c r="V208" s="1"/>
      <c r="W208" s="1"/>
      <c r="X208" s="1"/>
      <c r="Y208" s="1"/>
      <c r="Z208" s="1"/>
    </row>
    <row r="209" spans="1:26" ht="28" x14ac:dyDescent="0.15">
      <c r="A209"/>
      <c r="B209" s="387"/>
      <c r="C209" s="259"/>
      <c r="D209" s="269" t="str">
        <f>VLOOKUP(A208,'imp-questions'!A:H,7,FALSE)</f>
        <v xml:space="preserve">You review and update baselines at least annually
</v>
      </c>
      <c r="E209" s="255"/>
      <c r="F209" s="260"/>
      <c r="G209" s="21"/>
      <c r="H209" s="302"/>
      <c r="I209" s="318"/>
      <c r="J209" s="301"/>
      <c r="K209" s="1"/>
      <c r="L209" s="134"/>
      <c r="M209" s="134"/>
      <c r="N209" s="134"/>
      <c r="O209" s="134"/>
      <c r="P209" s="134"/>
      <c r="Q209" s="1"/>
      <c r="R209" s="1"/>
      <c r="S209" s="1"/>
      <c r="T209" s="1"/>
      <c r="U209" s="1"/>
      <c r="V209" s="1"/>
      <c r="W209" s="1"/>
      <c r="X209" s="1"/>
      <c r="Y209" s="1"/>
      <c r="Z209" s="1"/>
    </row>
    <row r="210" spans="1:26" x14ac:dyDescent="0.15">
      <c r="A210"/>
      <c r="B210" s="340"/>
      <c r="C210" s="331"/>
      <c r="D210" s="331"/>
      <c r="E210" s="331"/>
      <c r="F210" s="331"/>
      <c r="G210" s="331"/>
      <c r="H210" s="331"/>
      <c r="I210" s="341"/>
      <c r="J210" s="11"/>
      <c r="K210" s="1"/>
      <c r="L210" s="134"/>
      <c r="M210" s="134"/>
      <c r="N210" s="134"/>
      <c r="O210" s="134"/>
      <c r="P210" s="134"/>
      <c r="Q210" s="1"/>
      <c r="R210" s="1"/>
      <c r="S210" s="1"/>
      <c r="T210" s="1"/>
      <c r="U210" s="1"/>
      <c r="V210" s="1"/>
      <c r="W210" s="1"/>
      <c r="X210" s="1"/>
      <c r="Y210" s="1"/>
      <c r="Z210" s="1"/>
    </row>
    <row r="211" spans="1:26" x14ac:dyDescent="0.15">
      <c r="A211" s="245" t="s">
        <v>502</v>
      </c>
      <c r="B211" s="385" t="str">
        <f>VLOOKUP(A211,'imp-questions'!A:H,4,FALSE)</f>
        <v>Patching and Updating</v>
      </c>
      <c r="C211" s="297">
        <f>VLOOKUP(A211,'imp-questions'!A:H,5,FALSE)</f>
        <v>1</v>
      </c>
      <c r="D211" s="288" t="str">
        <f>VLOOKUP(A211,'imp-questions'!A:H,6,FALSE)</f>
        <v>Do you identify and patch vulnerable components?</v>
      </c>
      <c r="E211" s="250" t="str">
        <f>CHAR(65+VLOOKUP(A211,'imp-questions'!A:H,8,FALSE))</f>
        <v>G</v>
      </c>
      <c r="F211" s="5"/>
      <c r="G211" s="18">
        <f>IFERROR(VLOOKUP(F211,AnsGTBL,2,FALSE),0)</f>
        <v>0</v>
      </c>
      <c r="H211" s="105"/>
      <c r="I211" s="303"/>
      <c r="J211" s="11"/>
      <c r="K211" s="1"/>
      <c r="L211" s="134"/>
      <c r="M211" s="134"/>
      <c r="N211" s="134"/>
      <c r="O211" s="134"/>
      <c r="P211" s="134"/>
      <c r="Q211" s="1"/>
      <c r="R211" s="1"/>
      <c r="S211" s="1"/>
      <c r="T211" s="1"/>
      <c r="U211" s="1"/>
      <c r="V211" s="1"/>
      <c r="W211" s="1"/>
      <c r="X211" s="1"/>
      <c r="Y211" s="1"/>
      <c r="Z211" s="1"/>
    </row>
    <row r="212" spans="1:26" ht="42" x14ac:dyDescent="0.15">
      <c r="A212"/>
      <c r="B212" s="386"/>
      <c r="C212" s="259"/>
      <c r="D212" s="269" t="str">
        <f>VLOOKUP(A211,'imp-questions'!A:H,7,FALSE)</f>
        <v xml:space="preserve">You have an up-to-date list of components with versions
You review public sources regularly for vulnerabilities related to your components
</v>
      </c>
      <c r="E212" s="255"/>
      <c r="F212" s="260"/>
      <c r="G212" s="21"/>
      <c r="H212" s="118"/>
      <c r="I212" s="304"/>
      <c r="J212" s="11"/>
      <c r="K212" s="1"/>
      <c r="L212" s="134"/>
      <c r="M212" s="134"/>
      <c r="N212" s="134"/>
      <c r="O212" s="134"/>
      <c r="P212" s="134"/>
      <c r="Q212" s="1"/>
      <c r="R212" s="1"/>
      <c r="S212" s="1"/>
      <c r="T212" s="1"/>
      <c r="U212" s="1"/>
      <c r="V212" s="1"/>
      <c r="W212" s="1"/>
      <c r="X212" s="1"/>
      <c r="Y212" s="1"/>
      <c r="Z212" s="1"/>
    </row>
    <row r="213" spans="1:26" x14ac:dyDescent="0.15">
      <c r="A213" s="245" t="s">
        <v>506</v>
      </c>
      <c r="B213" s="386"/>
      <c r="C213" s="297">
        <f>VLOOKUP(A213,'imp-questions'!A:H,5,FALSE)</f>
        <v>2</v>
      </c>
      <c r="D213" s="288" t="str">
        <f>VLOOKUP(A213,'imp-questions'!A:H,6,FALSE)</f>
        <v>Do you follow an established process for updating components across your whole technology stack?</v>
      </c>
      <c r="E213" s="250" t="str">
        <f>CHAR(65+VLOOKUP(A213,'imp-questions'!A:H,8,FALSE))</f>
        <v>G</v>
      </c>
      <c r="F213" s="19"/>
      <c r="G213" s="18">
        <f>IFERROR(VLOOKUP(F213,AnsGTBL,2,FALSE),0)</f>
        <v>0</v>
      </c>
      <c r="H213" s="105"/>
      <c r="I213" s="303"/>
      <c r="J213" s="11"/>
      <c r="K213" s="291"/>
      <c r="L213" s="134"/>
      <c r="M213" s="134"/>
      <c r="N213" s="134"/>
      <c r="O213" s="134"/>
      <c r="P213" s="134"/>
      <c r="Q213" s="291"/>
      <c r="R213" s="291"/>
      <c r="S213" s="291"/>
      <c r="T213" s="291"/>
      <c r="U213" s="291"/>
      <c r="V213" s="291"/>
      <c r="W213" s="291"/>
      <c r="X213" s="291"/>
      <c r="Y213" s="291"/>
      <c r="Z213" s="291"/>
    </row>
    <row r="214" spans="1:26" ht="56" x14ac:dyDescent="0.15">
      <c r="A214"/>
      <c r="B214" s="386"/>
      <c r="C214" s="259"/>
      <c r="D214" s="269" t="str">
        <f>VLOOKUP(A213,'imp-questions'!A:H,7,FALSE)</f>
        <v xml:space="preserve">The process includes vendor information for 3rd party patches
The process considers external sources to gather information about zero day attacks, and take appropriate risk mitigation steps
The process includes guidance with priorities for updates of components
</v>
      </c>
      <c r="E214" s="255"/>
      <c r="F214" s="260"/>
      <c r="G214" s="256"/>
      <c r="H214" s="261"/>
      <c r="I214" s="304"/>
      <c r="J214" s="11"/>
      <c r="K214" s="291"/>
      <c r="L214" s="134"/>
      <c r="M214" s="134"/>
      <c r="N214" s="134"/>
      <c r="O214" s="134"/>
      <c r="P214" s="134"/>
      <c r="Q214" s="291"/>
      <c r="R214" s="291"/>
      <c r="S214" s="291"/>
      <c r="T214" s="291"/>
      <c r="U214" s="291"/>
      <c r="V214" s="291"/>
      <c r="W214" s="291"/>
      <c r="X214" s="291"/>
      <c r="Y214" s="291"/>
      <c r="Z214" s="291"/>
    </row>
    <row r="215" spans="1:26" x14ac:dyDescent="0.15">
      <c r="A215" s="245" t="s">
        <v>509</v>
      </c>
      <c r="B215" s="386"/>
      <c r="C215" s="297">
        <f>VLOOKUP(A215,'imp-questions'!A:H,5,FALSE)</f>
        <v>3</v>
      </c>
      <c r="D215" s="288" t="str">
        <f>VLOOKUP(A215,'imp-questions'!A:H,6,FALSE)</f>
        <v>Do you regularly evaluate components and review patch level status?</v>
      </c>
      <c r="E215" s="250" t="str">
        <f>CHAR(65+VLOOKUP(A215,'imp-questions'!A:H,8,FALSE))</f>
        <v>G</v>
      </c>
      <c r="F215" s="19"/>
      <c r="G215" s="18">
        <f>IFERROR(VLOOKUP(F215,AnsGTBL,2,FALSE),0)</f>
        <v>0</v>
      </c>
      <c r="H215" s="105"/>
      <c r="I215" s="303"/>
      <c r="J215" s="11"/>
      <c r="K215" s="1"/>
      <c r="L215" s="134"/>
      <c r="M215" s="134"/>
      <c r="N215" s="134"/>
      <c r="O215" s="134"/>
      <c r="P215" s="134"/>
      <c r="Q215" s="1"/>
      <c r="R215" s="1"/>
      <c r="S215" s="1"/>
      <c r="T215" s="1"/>
      <c r="U215" s="1"/>
      <c r="V215" s="1"/>
      <c r="W215" s="1"/>
      <c r="X215" s="1"/>
      <c r="Y215" s="1"/>
      <c r="Z215" s="1"/>
    </row>
    <row r="216" spans="1:26" ht="56" x14ac:dyDescent="0.15">
      <c r="A216"/>
      <c r="B216" s="387"/>
      <c r="C216" s="259"/>
      <c r="D216" s="269" t="str">
        <f>VLOOKUP(A215,'imp-questions'!A:H,7,FALSE)</f>
        <v xml:space="preserve">You update the list with components and versions
You identify and update missing updates according to existing SLA
You review and update the process based on feedback from the people who perform patching
</v>
      </c>
      <c r="E216" s="255"/>
      <c r="F216" s="260"/>
      <c r="G216" s="256"/>
      <c r="H216" s="261"/>
      <c r="I216" s="304"/>
      <c r="J216" s="11"/>
      <c r="K216" s="1"/>
      <c r="L216" s="134"/>
      <c r="M216" s="134"/>
      <c r="N216" s="134"/>
      <c r="O216" s="134"/>
      <c r="P216" s="134"/>
      <c r="Q216" s="1"/>
      <c r="R216" s="1"/>
      <c r="S216" s="1"/>
      <c r="T216" s="1"/>
      <c r="U216" s="1"/>
      <c r="V216" s="1"/>
      <c r="W216" s="1"/>
      <c r="X216" s="1"/>
      <c r="Y216" s="1"/>
      <c r="Z216" s="1"/>
    </row>
    <row r="217" spans="1:26" x14ac:dyDescent="0.15">
      <c r="A217"/>
      <c r="B217" s="377" t="s">
        <v>513</v>
      </c>
      <c r="C217" s="378"/>
      <c r="D217" s="379"/>
      <c r="E217" s="240"/>
      <c r="F217" s="86" t="s">
        <v>70</v>
      </c>
      <c r="G217" s="86"/>
      <c r="H217" s="126"/>
      <c r="I217" s="85" t="s">
        <v>26</v>
      </c>
      <c r="J217" s="85" t="s">
        <v>68</v>
      </c>
      <c r="K217" s="1"/>
      <c r="L217" s="134"/>
      <c r="M217" s="134"/>
      <c r="N217" s="134"/>
      <c r="O217" s="134"/>
      <c r="P217" s="134"/>
      <c r="Q217" s="1"/>
      <c r="R217" s="1"/>
      <c r="S217" s="1"/>
      <c r="T217" s="1"/>
      <c r="U217" s="1"/>
      <c r="V217" s="1"/>
      <c r="W217" s="1"/>
      <c r="X217" s="1"/>
      <c r="Y217" s="1"/>
      <c r="Z217" s="1"/>
    </row>
    <row r="218" spans="1:26" ht="28" x14ac:dyDescent="0.15">
      <c r="A218" s="245" t="s">
        <v>512</v>
      </c>
      <c r="B218" s="385" t="str">
        <f>VLOOKUP(A218,'imp-questions'!A:H,4,FALSE)</f>
        <v>Data Protection</v>
      </c>
      <c r="C218" s="297">
        <f>VLOOKUP(A218,'imp-questions'!A:H,5,FALSE)</f>
        <v>1</v>
      </c>
      <c r="D218" s="288" t="str">
        <f>VLOOKUP(A218,'imp-questions'!A:H,6,FALSE)</f>
        <v>Do you protect and handle information according to protection requirements for data stored and processed on each application?</v>
      </c>
      <c r="E218" s="250" t="str">
        <f>CHAR(65+VLOOKUP(A218,'imp-questions'!A:H,8,FALSE))</f>
        <v>A</v>
      </c>
      <c r="F218" s="279"/>
      <c r="G218" s="18">
        <f>IFERROR(VLOOKUP(F218,AnsATBL,2,FALSE),0)</f>
        <v>0</v>
      </c>
      <c r="H218" s="298">
        <v>0</v>
      </c>
      <c r="I218" s="325"/>
      <c r="J218" s="313">
        <v>0</v>
      </c>
      <c r="K218" s="1"/>
      <c r="L218" s="134"/>
      <c r="M218" s="134"/>
      <c r="N218" s="134"/>
      <c r="O218" s="134"/>
      <c r="P218" s="134"/>
      <c r="Q218" s="1"/>
      <c r="R218" s="1"/>
      <c r="S218" s="1"/>
      <c r="T218" s="1"/>
      <c r="U218" s="1"/>
      <c r="V218" s="1"/>
      <c r="W218" s="1"/>
      <c r="X218" s="1"/>
      <c r="Y218" s="1"/>
      <c r="Z218" s="1"/>
    </row>
    <row r="219" spans="1:26" ht="56" x14ac:dyDescent="0.15">
      <c r="A219"/>
      <c r="B219" s="386"/>
      <c r="C219" s="259"/>
      <c r="D219" s="269" t="str">
        <f>VLOOKUP(A218,'imp-questions'!A:H,7,FALSE)</f>
        <v xml:space="preserve">You have identified the data elements processed and stored by each application
You have determined the type and sensitivity level of each identified data element
You have controls to prevent propagation of unsanitized sensitive data from production environments to lower environments
</v>
      </c>
      <c r="E219" s="255"/>
      <c r="F219" s="260"/>
      <c r="G219" s="256"/>
      <c r="H219" s="299"/>
      <c r="I219" s="326"/>
      <c r="J219" s="314"/>
      <c r="K219" s="1"/>
      <c r="L219" s="134"/>
      <c r="M219" s="134"/>
      <c r="N219" s="134"/>
      <c r="O219" s="134"/>
      <c r="P219" s="134"/>
      <c r="Q219" s="1"/>
      <c r="R219" s="1"/>
      <c r="S219" s="1"/>
      <c r="T219" s="1"/>
      <c r="U219" s="1"/>
      <c r="V219" s="1"/>
      <c r="W219" s="1"/>
      <c r="X219" s="1"/>
      <c r="Y219" s="1"/>
      <c r="Z219" s="1"/>
    </row>
    <row r="220" spans="1:26" x14ac:dyDescent="0.15">
      <c r="A220" s="245" t="s">
        <v>517</v>
      </c>
      <c r="B220" s="386"/>
      <c r="C220" s="297">
        <f>VLOOKUP(A220,'imp-questions'!A:H,5,FALSE)</f>
        <v>2</v>
      </c>
      <c r="D220" s="288" t="str">
        <f>VLOOKUP(A220,'imp-questions'!A:H,6,FALSE)</f>
        <v>Do you maintain a data catalog, including types, sensitivity levels, and processing and storage locations?</v>
      </c>
      <c r="E220" s="250" t="str">
        <f>CHAR(65+VLOOKUP(A220,'imp-questions'!A:H,8,FALSE))</f>
        <v>J</v>
      </c>
      <c r="F220" s="19"/>
      <c r="G220" s="18">
        <f>IFERROR(VLOOKUP(F220,AnsJTBL,2,FALSE),0)</f>
        <v>0</v>
      </c>
      <c r="H220" s="300">
        <v>0</v>
      </c>
      <c r="I220" s="317"/>
      <c r="J220" s="301"/>
      <c r="K220" s="291"/>
      <c r="L220" s="134"/>
      <c r="M220" s="134"/>
      <c r="N220" s="134"/>
      <c r="O220" s="134"/>
      <c r="P220" s="134"/>
      <c r="Q220" s="291"/>
      <c r="R220" s="291"/>
      <c r="S220" s="291"/>
      <c r="T220" s="291"/>
      <c r="U220" s="291"/>
      <c r="V220" s="291"/>
      <c r="W220" s="291"/>
      <c r="X220" s="291"/>
      <c r="Y220" s="291"/>
      <c r="Z220" s="291"/>
    </row>
    <row r="221" spans="1:26" ht="70" x14ac:dyDescent="0.15">
      <c r="A221"/>
      <c r="B221" s="386"/>
      <c r="C221" s="259"/>
      <c r="D221" s="269" t="str">
        <f>VLOOKUP(A220,'imp-questions'!A:H,7,FALSE)</f>
        <v xml:space="preserve">The data catalog is stored in an accessible location
You have identified data elements subject to specific regulation
You have controls for protecting and preserving data throughout their lifetime
You have retention requirements for data, and you destroy backups in a timely manner after the relevant retention period ends
</v>
      </c>
      <c r="E221" s="255"/>
      <c r="F221" s="260"/>
      <c r="G221" s="256"/>
      <c r="H221" s="302"/>
      <c r="I221" s="318"/>
      <c r="J221" s="301"/>
      <c r="K221" s="291"/>
      <c r="L221" s="134"/>
      <c r="M221" s="134"/>
      <c r="N221" s="134"/>
      <c r="O221" s="134"/>
      <c r="P221" s="134"/>
      <c r="Q221" s="291"/>
      <c r="R221" s="291"/>
      <c r="S221" s="291"/>
      <c r="T221" s="291"/>
      <c r="U221" s="291"/>
      <c r="V221" s="291"/>
      <c r="W221" s="291"/>
      <c r="X221" s="291"/>
      <c r="Y221" s="291"/>
      <c r="Z221" s="291"/>
    </row>
    <row r="222" spans="1:26" x14ac:dyDescent="0.15">
      <c r="A222" s="245" t="s">
        <v>520</v>
      </c>
      <c r="B222" s="386"/>
      <c r="C222" s="297">
        <f>VLOOKUP(A222,'imp-questions'!A:H,5,FALSE)</f>
        <v>3</v>
      </c>
      <c r="D222" s="288" t="str">
        <f>VLOOKUP(A222,'imp-questions'!A:H,6,FALSE)</f>
        <v>Do you regularly review and update the data catalog and your data protection policies and procedures?</v>
      </c>
      <c r="E222" s="250" t="str">
        <f>CHAR(65+VLOOKUP(A222,'imp-questions'!A:H,8,FALSE))</f>
        <v>K</v>
      </c>
      <c r="F222" s="19"/>
      <c r="G222" s="18">
        <f>IFERROR(VLOOKUP(F222,AnsKTBL,2,FALSE),0)</f>
        <v>0</v>
      </c>
      <c r="H222" s="300">
        <v>0</v>
      </c>
      <c r="I222" s="336"/>
      <c r="J222" s="301"/>
      <c r="K222" s="1"/>
      <c r="L222" s="134"/>
      <c r="M222" s="134"/>
      <c r="N222" s="134"/>
      <c r="O222" s="134"/>
      <c r="P222" s="134"/>
      <c r="Q222" s="1"/>
      <c r="R222" s="1"/>
      <c r="S222" s="1"/>
      <c r="T222" s="1"/>
      <c r="U222" s="1"/>
      <c r="V222" s="1"/>
      <c r="W222" s="1"/>
      <c r="X222" s="1"/>
      <c r="Y222" s="1"/>
      <c r="Z222" s="1"/>
    </row>
    <row r="223" spans="1:26" ht="56" x14ac:dyDescent="0.15">
      <c r="A223"/>
      <c r="B223" s="387"/>
      <c r="C223" s="259"/>
      <c r="D223" s="269" t="str">
        <f>VLOOKUP(A222,'imp-questions'!A:H,7,FALSE)</f>
        <v xml:space="preserve">You have automated monitoring to detect attempted or actual violations of the Data Protection Policy
You have tools for data loss prevention, access control and tracking, or anomalous behavior detection
You periodically audit the operation of automated mechanisms, including backups and record deletions
</v>
      </c>
      <c r="E223" s="255"/>
      <c r="F223" s="260"/>
      <c r="G223" s="256"/>
      <c r="H223" s="302"/>
      <c r="I223" s="318"/>
      <c r="J223" s="301"/>
      <c r="K223" s="1"/>
      <c r="L223" s="134"/>
      <c r="M223" s="134"/>
      <c r="N223" s="134"/>
      <c r="O223" s="134"/>
      <c r="P223" s="134"/>
      <c r="Q223" s="1"/>
      <c r="R223" s="1"/>
      <c r="S223" s="1"/>
      <c r="T223" s="1"/>
      <c r="U223" s="1"/>
      <c r="V223" s="1"/>
      <c r="W223" s="1"/>
      <c r="X223" s="1"/>
      <c r="Y223" s="1"/>
      <c r="Z223" s="1"/>
    </row>
    <row r="224" spans="1:26" x14ac:dyDescent="0.15">
      <c r="A224"/>
      <c r="B224" s="340"/>
      <c r="C224" s="331"/>
      <c r="D224" s="331"/>
      <c r="E224" s="331"/>
      <c r="F224" s="331"/>
      <c r="G224" s="331"/>
      <c r="H224" s="331"/>
      <c r="I224" s="341"/>
      <c r="J224" s="11"/>
      <c r="K224" s="1"/>
      <c r="L224" s="134"/>
      <c r="M224" s="134"/>
      <c r="N224" s="134"/>
      <c r="O224" s="134"/>
      <c r="P224" s="134"/>
      <c r="Q224" s="1"/>
      <c r="R224" s="1"/>
      <c r="S224" s="1"/>
      <c r="T224" s="1"/>
      <c r="U224" s="1"/>
      <c r="V224" s="1"/>
      <c r="W224" s="1"/>
      <c r="X224" s="1"/>
      <c r="Y224" s="1"/>
      <c r="Z224" s="1"/>
    </row>
    <row r="225" spans="1:26" ht="28" x14ac:dyDescent="0.15">
      <c r="A225" s="245" t="s">
        <v>523</v>
      </c>
      <c r="B225" s="385" t="str">
        <f>VLOOKUP(A225,'imp-questions'!A:H,4,FALSE)</f>
        <v>System decommissioning / Legacy management</v>
      </c>
      <c r="C225" s="297">
        <f>VLOOKUP(A225,'imp-questions'!A:H,5,FALSE)</f>
        <v>1</v>
      </c>
      <c r="D225" s="288" t="str">
        <f>VLOOKUP(A225,'imp-questions'!A:H,6,FALSE)</f>
        <v>Do you identify and remove systems, applications, application dependencies, or services that are no longer used, have reached end of life, or are no longer actively developed or supported?</v>
      </c>
      <c r="E225" s="250" t="str">
        <f>CHAR(65+VLOOKUP(A225,'imp-questions'!A:H,8,FALSE))</f>
        <v>A</v>
      </c>
      <c r="F225" s="279"/>
      <c r="G225" s="18">
        <f>IFERROR(VLOOKUP(F225,AnsATBL,2,FALSE),0)</f>
        <v>0</v>
      </c>
      <c r="H225" s="105"/>
      <c r="I225" s="303"/>
      <c r="J225" s="11"/>
      <c r="K225" s="1"/>
      <c r="L225" s="134"/>
      <c r="M225" s="134"/>
      <c r="N225" s="134"/>
      <c r="O225" s="134"/>
      <c r="P225" s="134"/>
      <c r="Q225" s="1"/>
      <c r="R225" s="1"/>
      <c r="S225" s="1"/>
      <c r="T225" s="1"/>
      <c r="U225" s="1"/>
      <c r="V225" s="1"/>
      <c r="W225" s="1"/>
      <c r="X225" s="1"/>
      <c r="Y225" s="1"/>
      <c r="Z225" s="1"/>
    </row>
    <row r="226" spans="1:26" ht="42" x14ac:dyDescent="0.15">
      <c r="A226"/>
      <c r="B226" s="386"/>
      <c r="C226" s="259"/>
      <c r="D226" s="269" t="str">
        <f>VLOOKUP(A225,'imp-questions'!A:H,7,FALSE)</f>
        <v xml:space="preserve">You do not use unsupported applications or dependencies
You manage customer/user migration from older versions for each product and customer/user group
</v>
      </c>
      <c r="E226" s="255"/>
      <c r="F226" s="260"/>
      <c r="G226" s="256"/>
      <c r="H226" s="261"/>
      <c r="I226" s="304"/>
      <c r="J226" s="11"/>
      <c r="K226" s="1"/>
      <c r="L226" s="134"/>
      <c r="M226" s="134"/>
      <c r="N226" s="134"/>
      <c r="O226" s="134"/>
      <c r="P226" s="134"/>
      <c r="Q226" s="1"/>
      <c r="R226" s="1"/>
      <c r="S226" s="1"/>
      <c r="T226" s="1"/>
      <c r="U226" s="1"/>
      <c r="V226" s="1"/>
      <c r="W226" s="1"/>
      <c r="X226" s="1"/>
      <c r="Y226" s="1"/>
      <c r="Z226" s="1"/>
    </row>
    <row r="227" spans="1:26" ht="28" x14ac:dyDescent="0.15">
      <c r="A227" s="245" t="s">
        <v>527</v>
      </c>
      <c r="B227" s="386"/>
      <c r="C227" s="297">
        <f>VLOOKUP(A227,'imp-questions'!A:H,5,FALSE)</f>
        <v>2</v>
      </c>
      <c r="D227" s="288" t="str">
        <f>VLOOKUP(A227,'imp-questions'!A:H,6,FALSE)</f>
        <v>Do you follow an established process for removing all associated resources, as part of decommissioning of unused systems, applications, application dependencies, or services?</v>
      </c>
      <c r="E227" s="250" t="str">
        <f>CHAR(65+VLOOKUP(A227,'imp-questions'!A:H,8,FALSE))</f>
        <v>E</v>
      </c>
      <c r="F227" s="19"/>
      <c r="G227" s="18">
        <f>IFERROR(VLOOKUP(F227,AnsETBL,2,FALSE),0)</f>
        <v>0</v>
      </c>
      <c r="H227" s="105"/>
      <c r="I227" s="303"/>
      <c r="J227" s="11"/>
      <c r="K227" s="291"/>
      <c r="L227" s="134"/>
      <c r="M227" s="134"/>
      <c r="N227" s="134"/>
      <c r="O227" s="134"/>
      <c r="P227" s="134"/>
      <c r="Q227" s="291"/>
      <c r="R227" s="291"/>
      <c r="S227" s="291"/>
      <c r="T227" s="291"/>
      <c r="U227" s="291"/>
      <c r="V227" s="291"/>
      <c r="W227" s="291"/>
      <c r="X227" s="291"/>
      <c r="Y227" s="291"/>
      <c r="Z227" s="291"/>
    </row>
    <row r="228" spans="1:26" ht="70" x14ac:dyDescent="0.15">
      <c r="A228"/>
      <c r="B228" s="386"/>
      <c r="C228" s="259"/>
      <c r="D228" s="269" t="str">
        <f>VLOOKUP(A227,'imp-questions'!A:H,7,FALSE)</f>
        <v xml:space="preserve">You document the status of support for all released versions of your products, in an accessible location
The process includes replacement or upgrade of third-party applications, or application dependencies, that have reached end of life.
Operating environments do not contain orphaned accounts, firewall rules, or other configuration artifacts
</v>
      </c>
      <c r="E228" s="255"/>
      <c r="F228" s="260"/>
      <c r="G228" s="256"/>
      <c r="H228" s="261"/>
      <c r="I228" s="304"/>
      <c r="J228" s="11"/>
      <c r="K228" s="291"/>
      <c r="L228" s="134"/>
      <c r="M228" s="134"/>
      <c r="N228" s="134"/>
      <c r="O228" s="134"/>
      <c r="P228" s="134"/>
      <c r="Q228" s="291"/>
      <c r="R228" s="291"/>
      <c r="S228" s="291"/>
      <c r="T228" s="291"/>
      <c r="U228" s="291"/>
      <c r="V228" s="291"/>
      <c r="W228" s="291"/>
      <c r="X228" s="291"/>
      <c r="Y228" s="291"/>
      <c r="Z228" s="291"/>
    </row>
    <row r="229" spans="1:26" ht="28" x14ac:dyDescent="0.15">
      <c r="A229" s="245" t="s">
        <v>530</v>
      </c>
      <c r="B229" s="386"/>
      <c r="C229" s="297">
        <f>VLOOKUP(A229,'imp-questions'!A:H,5,FALSE)</f>
        <v>3</v>
      </c>
      <c r="D229" s="288" t="str">
        <f>VLOOKUP(A229,'imp-questions'!A:H,6,FALSE)</f>
        <v>Do you regularly evaluate the lifecycle state and support status of every software asset and underlying infrastructure component, and estimate their end-of-life?</v>
      </c>
      <c r="E229" s="250" t="str">
        <f>CHAR(65+VLOOKUP(A229,'imp-questions'!A:H,8,FALSE))</f>
        <v>L</v>
      </c>
      <c r="F229" s="19"/>
      <c r="G229" s="18">
        <f>IFERROR(VLOOKUP(F229,AnsLTBL,2,FALSE),0)</f>
        <v>0</v>
      </c>
      <c r="H229" s="105"/>
      <c r="I229" s="303"/>
      <c r="J229" s="11"/>
      <c r="K229" s="1"/>
      <c r="L229" s="134"/>
      <c r="M229" s="134"/>
      <c r="N229" s="134"/>
      <c r="O229" s="134"/>
      <c r="P229" s="134"/>
      <c r="Q229" s="1"/>
      <c r="R229" s="1"/>
      <c r="S229" s="1"/>
      <c r="T229" s="1"/>
      <c r="U229" s="1"/>
      <c r="V229" s="1"/>
      <c r="W229" s="1"/>
      <c r="X229" s="1"/>
      <c r="Y229" s="1"/>
      <c r="Z229" s="1"/>
    </row>
    <row r="230" spans="1:26" ht="56" x14ac:dyDescent="0.15">
      <c r="A230"/>
      <c r="B230" s="387"/>
      <c r="C230" s="259"/>
      <c r="D230" s="269" t="str">
        <f>VLOOKUP(A229,'imp-questions'!A:H,7,FALSE)</f>
        <v xml:space="preserve">Your end-of-life management process is agreed upon.
You inform customers and user groups of product timelines to prevent disruption of service or support.
You review the process at least annually
</v>
      </c>
      <c r="E230" s="255"/>
      <c r="F230" s="260"/>
      <c r="G230" s="256"/>
      <c r="H230" s="261"/>
      <c r="I230" s="304"/>
      <c r="J230" s="11"/>
      <c r="K230" s="1"/>
      <c r="L230" s="134"/>
      <c r="M230" s="134"/>
      <c r="N230" s="134"/>
      <c r="O230" s="134"/>
      <c r="P230" s="134"/>
      <c r="Q230" s="1"/>
      <c r="R230" s="1"/>
      <c r="S230" s="1"/>
      <c r="T230" s="1"/>
      <c r="U230" s="1"/>
      <c r="V230" s="1"/>
      <c r="W230" s="1"/>
      <c r="X230" s="1"/>
      <c r="Y230" s="1"/>
      <c r="Z230" s="1"/>
    </row>
  </sheetData>
  <customSheetViews>
    <customSheetView guid="{9846C184-355C-EA4B-8C35-9561D1AEE31C}" scale="90" hiddenRows="1" topLeftCell="A2">
      <selection activeCell="E2" sqref="E1:E1048576"/>
      <pageMargins left="0.75" right="0.75" top="1" bottom="1" header="0.5" footer="0.5"/>
      <pageSetup paperSize="9" scale="10" firstPageNumber="0" fitToWidth="0" fitToHeight="0" orientation="portrait" horizontalDpi="300" verticalDpi="300" r:id="rId1"/>
      <headerFooter alignWithMargins="0"/>
    </customSheetView>
  </customSheetViews>
  <mergeCells count="181">
    <mergeCell ref="J218:J219"/>
    <mergeCell ref="I222:I223"/>
    <mergeCell ref="J46:J47"/>
    <mergeCell ref="J61:J62"/>
    <mergeCell ref="J89:J90"/>
    <mergeCell ref="B18:B23"/>
    <mergeCell ref="B160:D160"/>
    <mergeCell ref="B146:D146"/>
    <mergeCell ref="B88:D88"/>
    <mergeCell ref="B74:D74"/>
    <mergeCell ref="B60:D60"/>
    <mergeCell ref="B45:D45"/>
    <mergeCell ref="B61:B66"/>
    <mergeCell ref="I77:I78"/>
    <mergeCell ref="I43:I44"/>
    <mergeCell ref="B52:I52"/>
    <mergeCell ref="B102:J102"/>
    <mergeCell ref="B103:D103"/>
    <mergeCell ref="B104:B109"/>
    <mergeCell ref="I104:I105"/>
    <mergeCell ref="I108:I109"/>
    <mergeCell ref="B110:I110"/>
    <mergeCell ref="B111:B116"/>
    <mergeCell ref="I111:I112"/>
    <mergeCell ref="B225:B230"/>
    <mergeCell ref="B218:B223"/>
    <mergeCell ref="B196:I196"/>
    <mergeCell ref="B210:I210"/>
    <mergeCell ref="B224:I224"/>
    <mergeCell ref="B217:D217"/>
    <mergeCell ref="I229:I230"/>
    <mergeCell ref="I215:I216"/>
    <mergeCell ref="I218:I219"/>
    <mergeCell ref="I220:I221"/>
    <mergeCell ref="I225:I226"/>
    <mergeCell ref="I201:I202"/>
    <mergeCell ref="B197:B202"/>
    <mergeCell ref="I211:I212"/>
    <mergeCell ref="I53:I54"/>
    <mergeCell ref="I57:I58"/>
    <mergeCell ref="I182:I183"/>
    <mergeCell ref="I186:I187"/>
    <mergeCell ref="I190:I191"/>
    <mergeCell ref="I194:I195"/>
    <mergeCell ref="B204:B209"/>
    <mergeCell ref="B211:B216"/>
    <mergeCell ref="B182:B187"/>
    <mergeCell ref="B190:B195"/>
    <mergeCell ref="I206:I207"/>
    <mergeCell ref="I197:I198"/>
    <mergeCell ref="I115:I116"/>
    <mergeCell ref="I120:I121"/>
    <mergeCell ref="B117:D117"/>
    <mergeCell ref="I122:I123"/>
    <mergeCell ref="B124:I124"/>
    <mergeCell ref="B125:B130"/>
    <mergeCell ref="I125:I126"/>
    <mergeCell ref="I129:I130"/>
    <mergeCell ref="I132:I133"/>
    <mergeCell ref="I134:I135"/>
    <mergeCell ref="B131:D131"/>
    <mergeCell ref="B132:B137"/>
    <mergeCell ref="I204:I205"/>
    <mergeCell ref="I208:I209"/>
    <mergeCell ref="B174:D174"/>
    <mergeCell ref="B189:D189"/>
    <mergeCell ref="B203:D203"/>
    <mergeCell ref="I179:I180"/>
    <mergeCell ref="I158:I159"/>
    <mergeCell ref="I161:I162"/>
    <mergeCell ref="I163:I164"/>
    <mergeCell ref="I165:I166"/>
    <mergeCell ref="I168:I169"/>
    <mergeCell ref="B188:J188"/>
    <mergeCell ref="J204:J205"/>
    <mergeCell ref="J175:J176"/>
    <mergeCell ref="B67:I67"/>
    <mergeCell ref="B81:I81"/>
    <mergeCell ref="I79:I80"/>
    <mergeCell ref="I82:I83"/>
    <mergeCell ref="I86:I87"/>
    <mergeCell ref="I68:I69"/>
    <mergeCell ref="I72:I73"/>
    <mergeCell ref="I75:I76"/>
    <mergeCell ref="I96:I97"/>
    <mergeCell ref="J132:J133"/>
    <mergeCell ref="I136:I137"/>
    <mergeCell ref="B138:I138"/>
    <mergeCell ref="B139:B144"/>
    <mergeCell ref="I139:I140"/>
    <mergeCell ref="I143:I144"/>
    <mergeCell ref="B1:I1"/>
    <mergeCell ref="B3:I3"/>
    <mergeCell ref="B4:I4"/>
    <mergeCell ref="B5:I5"/>
    <mergeCell ref="B24:I24"/>
    <mergeCell ref="B25:B30"/>
    <mergeCell ref="B11:C11"/>
    <mergeCell ref="B12:C12"/>
    <mergeCell ref="B13:C13"/>
    <mergeCell ref="B14:C14"/>
    <mergeCell ref="I18:I19"/>
    <mergeCell ref="I22:I23"/>
    <mergeCell ref="I25:I26"/>
    <mergeCell ref="I29:I30"/>
    <mergeCell ref="B6:I6"/>
    <mergeCell ref="B7:I7"/>
    <mergeCell ref="B8:I8"/>
    <mergeCell ref="B10:C10"/>
    <mergeCell ref="B181:I181"/>
    <mergeCell ref="B154:B159"/>
    <mergeCell ref="B161:B166"/>
    <mergeCell ref="B168:B173"/>
    <mergeCell ref="B16:J16"/>
    <mergeCell ref="B59:J59"/>
    <mergeCell ref="B145:J145"/>
    <mergeCell ref="B175:B180"/>
    <mergeCell ref="I154:I155"/>
    <mergeCell ref="I151:I152"/>
    <mergeCell ref="B89:B94"/>
    <mergeCell ref="B68:B73"/>
    <mergeCell ref="I93:I94"/>
    <mergeCell ref="J18:J19"/>
    <mergeCell ref="I100:I101"/>
    <mergeCell ref="I175:I176"/>
    <mergeCell ref="B75:B80"/>
    <mergeCell ref="I91:I92"/>
    <mergeCell ref="B95:I95"/>
    <mergeCell ref="B96:B101"/>
    <mergeCell ref="I89:I90"/>
    <mergeCell ref="B82:B87"/>
    <mergeCell ref="B118:B123"/>
    <mergeCell ref="I118:I119"/>
    <mergeCell ref="I172:I173"/>
    <mergeCell ref="I20:I21"/>
    <mergeCell ref="I27:I28"/>
    <mergeCell ref="I34:I35"/>
    <mergeCell ref="I41:I42"/>
    <mergeCell ref="I48:I49"/>
    <mergeCell ref="I55:I56"/>
    <mergeCell ref="B153:I153"/>
    <mergeCell ref="I147:I148"/>
    <mergeCell ref="B147:B152"/>
    <mergeCell ref="B167:I167"/>
    <mergeCell ref="B31:D31"/>
    <mergeCell ref="I61:I62"/>
    <mergeCell ref="I65:I66"/>
    <mergeCell ref="I32:I33"/>
    <mergeCell ref="I36:I37"/>
    <mergeCell ref="I39:I40"/>
    <mergeCell ref="B38:I38"/>
    <mergeCell ref="B32:B37"/>
    <mergeCell ref="B39:B44"/>
    <mergeCell ref="B53:B58"/>
    <mergeCell ref="B46:B51"/>
    <mergeCell ref="I46:I47"/>
    <mergeCell ref="I50:I51"/>
    <mergeCell ref="I213:I214"/>
    <mergeCell ref="I227:I228"/>
    <mergeCell ref="J32:J33"/>
    <mergeCell ref="J75:J76"/>
    <mergeCell ref="J104:J105"/>
    <mergeCell ref="J118:J119"/>
    <mergeCell ref="J147:J148"/>
    <mergeCell ref="J161:J162"/>
    <mergeCell ref="J190:J191"/>
    <mergeCell ref="I170:I171"/>
    <mergeCell ref="I177:I178"/>
    <mergeCell ref="I184:I185"/>
    <mergeCell ref="I192:I193"/>
    <mergeCell ref="I199:I200"/>
    <mergeCell ref="I113:I114"/>
    <mergeCell ref="I127:I128"/>
    <mergeCell ref="I141:I142"/>
    <mergeCell ref="I149:I150"/>
    <mergeCell ref="I156:I157"/>
    <mergeCell ref="I63:I64"/>
    <mergeCell ref="I70:I71"/>
    <mergeCell ref="I84:I85"/>
    <mergeCell ref="I98:I99"/>
    <mergeCell ref="I106:I107"/>
  </mergeCells>
  <phoneticPr fontId="0" type="noConversion"/>
  <conditionalFormatting sqref="F15">
    <cfRule type="expression" dxfId="9" priority="2">
      <formula>$H$25=1</formula>
    </cfRule>
  </conditionalFormatting>
  <dataValidations count="21">
    <dataValidation type="list" allowBlank="1" showInputMessage="1" showErrorMessage="1" sqref="M22:P22 M20:P20" xr:uid="{00000000-0002-0000-0100-000000000000}">
      <formula1>AnswerB</formula1>
    </dataValidation>
    <dataValidation type="list" allowBlank="1" showInputMessage="1" showErrorMessage="1" sqref="M18:P18" xr:uid="{00000000-0002-0000-0100-000002000000}">
      <formula1>AnswerA</formula1>
    </dataValidation>
    <dataValidation type="list" allowBlank="1" showInputMessage="1" showErrorMessage="1" sqref="F41 F225 F79 F91 F96 F104 F106 F111 F113 F118 F120 F125 F127 F132 F134 F139 F141 F208 F149 F194 F192 F204 F151 F39 F218 F100 F108 F115 F122 F129 F136 F190 F32 F43 F63 F93 F143 F147" xr:uid="{00000000-0002-0000-0100-000004000000}">
      <formula1>AnsA</formula1>
    </dataValidation>
    <dataValidation type="list" allowBlank="1" showInputMessage="1" showErrorMessage="1" sqref="F34" xr:uid="{00000000-0002-0000-0100-000005000000}">
      <formula1>AnsS</formula1>
    </dataValidation>
    <dataValidation type="list" allowBlank="1" showInputMessage="1" showErrorMessage="1" sqref="F18" xr:uid="{0C5FB901-CDD2-5B47-BA18-8B79870183CF}">
      <formula1>AnsN</formula1>
    </dataValidation>
    <dataValidation type="list" allowBlank="1" showInputMessage="1" showErrorMessage="1" sqref="F22 F36" xr:uid="{35AE7E9C-9CAA-A249-A63E-255AC743FC9D}">
      <formula1>AnsP</formula1>
    </dataValidation>
    <dataValidation type="list" allowBlank="1" showInputMessage="1" showErrorMessage="1" sqref="F20" xr:uid="{113F66FA-F9FF-8B46-A768-7E1C12EBF46E}">
      <formula1>AnsO</formula1>
    </dataValidation>
    <dataValidation type="list" allowBlank="1" showInputMessage="1" showErrorMessage="1" sqref="F27 F46 F82 F61 F70 F161 F84 F77 F154 F156 F158 F163 F165 F184 F179 F177 F168 F182 F175 F68 F86" xr:uid="{87B4231C-BB05-3A4D-9BDC-E10C52DB4362}">
      <formula1>AnsB</formula1>
    </dataValidation>
    <dataValidation type="list" allowBlank="1" showInputMessage="1" showErrorMessage="1" sqref="F201 F72 F75 F170 F227 F29 F89 F53 F172 F186" xr:uid="{3BA23193-A458-4749-8EFB-D01DD45F75E7}">
      <formula1>AnsE</formula1>
    </dataValidation>
    <dataValidation type="list" allowBlank="1" showInputMessage="1" showErrorMessage="1" sqref="F48" xr:uid="{9F8F7679-F251-C244-B73A-D7A58019D6BA}">
      <formula1>AnsC</formula1>
    </dataValidation>
    <dataValidation type="list" allowBlank="1" showInputMessage="1" showErrorMessage="1" sqref="F55 F57" xr:uid="{805C8F82-4A3E-4D47-8C81-5E6B2177963D}">
      <formula1>AnsF</formula1>
    </dataValidation>
    <dataValidation type="list" allowBlank="1" showInputMessage="1" showErrorMessage="1" sqref="F98" xr:uid="{BCA11F0E-74F8-2A4C-9799-D8FFCCFC7024}">
      <formula1>AnsM</formula1>
    </dataValidation>
    <dataValidation type="list" allowBlank="1" showInputMessage="1" showErrorMessage="1" sqref="F197" xr:uid="{702EFD79-16A2-2241-ABB7-1477A1D0FE14}">
      <formula1>AnsH</formula1>
    </dataValidation>
    <dataValidation type="list" allowBlank="1" showInputMessage="1" showErrorMessage="1" sqref="F199" xr:uid="{B12AF069-C7D5-5641-B712-4EAA7C07F3C2}">
      <formula1>AnsI</formula1>
    </dataValidation>
    <dataValidation type="list" allowBlank="1" showInputMessage="1" showErrorMessage="1" sqref="F211 F206 F213 F215" xr:uid="{F7C42B3D-AB72-6442-ACAE-D20D71042A34}">
      <formula1>AnsG</formula1>
    </dataValidation>
    <dataValidation type="list" allowBlank="1" showInputMessage="1" showErrorMessage="1" sqref="F220" xr:uid="{70B34F78-9786-244D-817E-16F0146FDA67}">
      <formula1>AnsJ</formula1>
    </dataValidation>
    <dataValidation type="list" allowBlank="1" showInputMessage="1" showErrorMessage="1" sqref="F25" xr:uid="{6E69CCF5-5433-3C40-A171-0F52C5C6BE69}">
      <formula1>AnsQ</formula1>
    </dataValidation>
    <dataValidation type="list" allowBlank="1" showInputMessage="1" showErrorMessage="1" sqref="F50" xr:uid="{72C1E794-7A49-614D-9FE4-DE5443FC89E6}">
      <formula1>AnsD</formula1>
    </dataValidation>
    <dataValidation type="list" allowBlank="1" showInputMessage="1" showErrorMessage="1" sqref="F65" xr:uid="{A9F98303-1245-B846-9986-48B1692F68A8}">
      <formula1>AnsR</formula1>
    </dataValidation>
    <dataValidation type="list" allowBlank="1" showInputMessage="1" showErrorMessage="1" sqref="F222" xr:uid="{890B488C-7691-824C-AED2-A59999F46AFF}">
      <formula1>AnsK</formula1>
    </dataValidation>
    <dataValidation type="list" allowBlank="1" showInputMessage="1" showErrorMessage="1" sqref="F229" xr:uid="{4B0069E1-4A11-B544-8694-91C8BE8D1FF1}">
      <formula1>AnsL</formula1>
    </dataValidation>
  </dataValidations>
  <pageMargins left="0.75" right="0.75" top="1" bottom="1" header="0.5" footer="0.5"/>
  <pageSetup paperSize="9" scale="10" firstPageNumber="0" fitToWidth="0" fitToHeight="0" orientation="portrait" horizontalDpi="300" verticalDpi="300" r:id="rId2"/>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Y129"/>
  <sheetViews>
    <sheetView topLeftCell="A33" zoomScale="101" workbookViewId="0">
      <selection activeCell="E19" sqref="E19"/>
    </sheetView>
  </sheetViews>
  <sheetFormatPr baseColWidth="10" defaultColWidth="8.83203125" defaultRowHeight="13" x14ac:dyDescent="0.15"/>
  <cols>
    <col min="1" max="1" width="14.33203125" customWidth="1"/>
    <col min="2" max="2" width="23.83203125" customWidth="1"/>
    <col min="3" max="3" width="9.1640625" customWidth="1"/>
    <col min="4" max="6" width="6.6640625" customWidth="1"/>
    <col min="7" max="7" width="15" hidden="1" customWidth="1"/>
    <col min="8" max="8" width="9.1640625" customWidth="1"/>
    <col min="9" max="10" width="15" bestFit="1" customWidth="1"/>
    <col min="11" max="11" width="7.33203125" customWidth="1"/>
    <col min="12" max="14" width="15" bestFit="1" customWidth="1"/>
    <col min="20" max="20" width="12" customWidth="1"/>
    <col min="21" max="21" width="20.33203125" bestFit="1" customWidth="1"/>
    <col min="22" max="22" width="10.1640625" bestFit="1" customWidth="1"/>
    <col min="23" max="23" width="10.5" bestFit="1" customWidth="1"/>
    <col min="24" max="24" width="9.33203125" bestFit="1" customWidth="1"/>
  </cols>
  <sheetData>
    <row r="1" spans="1:25" ht="25.5" customHeight="1" x14ac:dyDescent="0.15">
      <c r="A1" s="415" t="str">
        <f>CONCATENATE("SAMM Assessment Scorecard: ",C6," For ",C5)</f>
        <v xml:space="preserve">SAMM Assessment Scorecard:  For </v>
      </c>
      <c r="B1" s="415"/>
      <c r="C1" s="415"/>
      <c r="D1" s="416"/>
      <c r="E1" s="416"/>
      <c r="F1" s="416"/>
      <c r="G1" s="417"/>
      <c r="H1" s="417"/>
      <c r="I1" s="417"/>
      <c r="J1" s="417"/>
      <c r="K1" s="1"/>
      <c r="L1" s="1"/>
      <c r="M1" s="1"/>
      <c r="N1" s="1"/>
    </row>
    <row r="2" spans="1:25" ht="12.75" customHeight="1" thickBot="1" x14ac:dyDescent="0.2">
      <c r="A2" s="2"/>
      <c r="B2" s="2"/>
      <c r="C2" s="2"/>
      <c r="D2" s="2"/>
      <c r="E2" s="2"/>
      <c r="F2" s="2"/>
      <c r="G2" s="2"/>
      <c r="H2" s="2"/>
      <c r="I2" s="2"/>
      <c r="J2" s="2"/>
      <c r="K2" s="1"/>
      <c r="L2" s="1"/>
      <c r="M2" s="1"/>
      <c r="N2" s="1"/>
    </row>
    <row r="3" spans="1:25" ht="54" customHeight="1" thickBot="1" x14ac:dyDescent="0.2">
      <c r="A3" s="421" t="s">
        <v>158</v>
      </c>
      <c r="B3" s="422"/>
      <c r="C3" s="422"/>
      <c r="D3" s="422"/>
      <c r="E3" s="422"/>
      <c r="F3" s="422"/>
      <c r="G3" s="422"/>
      <c r="H3" s="422"/>
      <c r="I3" s="422"/>
      <c r="J3" s="422"/>
      <c r="K3" s="423"/>
      <c r="L3" s="1"/>
      <c r="M3" s="1"/>
      <c r="N3" s="1"/>
    </row>
    <row r="4" spans="1:25" ht="12.75" customHeight="1" x14ac:dyDescent="0.15">
      <c r="A4" s="4"/>
      <c r="B4" s="4"/>
      <c r="C4" s="4"/>
      <c r="D4" s="4"/>
      <c r="E4" s="4"/>
      <c r="F4" s="4"/>
      <c r="G4" s="4"/>
      <c r="H4" s="4"/>
      <c r="I4" s="4"/>
      <c r="J4" s="4"/>
      <c r="K4" s="1"/>
      <c r="L4" s="1"/>
      <c r="M4" s="1"/>
      <c r="N4" s="1"/>
    </row>
    <row r="5" spans="1:25" ht="12.75" customHeight="1" x14ac:dyDescent="0.15">
      <c r="A5" s="418" t="str">
        <f>Interview!B10</f>
        <v>Organization:</v>
      </c>
      <c r="B5" s="419"/>
      <c r="C5" s="419" t="str">
        <f>IF(ISBLANK(Interview!D10),"",Interview!D10)</f>
        <v/>
      </c>
      <c r="D5" s="419"/>
      <c r="E5" s="419"/>
      <c r="F5" s="419"/>
      <c r="G5" s="1"/>
      <c r="H5" s="1"/>
      <c r="I5" s="1"/>
      <c r="J5" s="1"/>
      <c r="K5" s="1"/>
      <c r="L5" s="1"/>
      <c r="M5" s="1"/>
      <c r="N5" s="1"/>
    </row>
    <row r="6" spans="1:25" ht="12.75" customHeight="1" x14ac:dyDescent="0.15">
      <c r="A6" s="418" t="str">
        <f>Interview!B11</f>
        <v>Team/Application:</v>
      </c>
      <c r="B6" s="419"/>
      <c r="C6" s="419" t="str">
        <f>IF(ISBLANK(Interview!D11),"",Interview!D11)</f>
        <v/>
      </c>
      <c r="D6" s="419"/>
      <c r="E6" s="419"/>
      <c r="F6" s="419"/>
      <c r="G6" s="1"/>
      <c r="H6" s="1"/>
      <c r="I6" s="1"/>
      <c r="J6" s="1"/>
      <c r="K6" s="1"/>
      <c r="L6" s="1"/>
      <c r="M6" s="1"/>
      <c r="N6" s="1"/>
    </row>
    <row r="7" spans="1:25" ht="12.75" customHeight="1" x14ac:dyDescent="0.15">
      <c r="A7" s="418" t="str">
        <f>Interview!B12</f>
        <v>Interview Date:</v>
      </c>
      <c r="B7" s="419"/>
      <c r="C7" s="420" t="str">
        <f>IF(ISBLANK(Interview!D12),"",Interview!D12)</f>
        <v/>
      </c>
      <c r="D7" s="420"/>
      <c r="E7" s="420"/>
      <c r="F7" s="420"/>
      <c r="G7" s="1"/>
      <c r="H7" s="1"/>
      <c r="I7" s="1"/>
      <c r="J7" s="1"/>
      <c r="K7" s="1"/>
      <c r="L7" s="1"/>
      <c r="M7" s="1"/>
      <c r="N7" s="1"/>
    </row>
    <row r="8" spans="1:25" ht="12.75" customHeight="1" x14ac:dyDescent="0.15">
      <c r="A8" s="418" t="str">
        <f>Interview!B13</f>
        <v xml:space="preserve">Team Lead: </v>
      </c>
      <c r="B8" s="419"/>
      <c r="C8" s="419" t="str">
        <f>IF(ISBLANK(Interview!D13),"",Interview!D13)</f>
        <v/>
      </c>
      <c r="D8" s="419"/>
      <c r="E8" s="419"/>
      <c r="F8" s="419"/>
      <c r="G8" s="1"/>
      <c r="H8" s="1"/>
      <c r="I8" s="1"/>
      <c r="J8" s="1"/>
      <c r="K8" s="1"/>
      <c r="L8" s="1"/>
      <c r="M8" s="1"/>
      <c r="N8" s="1"/>
    </row>
    <row r="9" spans="1:25" ht="12.75" customHeight="1" x14ac:dyDescent="0.15">
      <c r="A9" s="418" t="str">
        <f>Interview!B14</f>
        <v>Contributors:</v>
      </c>
      <c r="B9" s="419"/>
      <c r="C9" s="424" t="str">
        <f>IF(ISBLANK(Interview!D14),"",Interview!D14)</f>
        <v/>
      </c>
      <c r="D9" s="424"/>
      <c r="E9" s="424"/>
      <c r="F9" s="424"/>
      <c r="G9" s="424"/>
      <c r="H9" s="424"/>
      <c r="I9" s="424"/>
      <c r="J9" s="1"/>
      <c r="K9" s="1"/>
      <c r="L9" s="1"/>
      <c r="M9" s="1"/>
      <c r="N9" s="1"/>
    </row>
    <row r="10" spans="1:25" ht="12.75" customHeight="1" thickBot="1" x14ac:dyDescent="0.2">
      <c r="A10" s="133"/>
      <c r="B10" s="132"/>
      <c r="C10" s="132"/>
      <c r="D10" s="132"/>
      <c r="E10" s="132"/>
      <c r="F10" s="132"/>
      <c r="G10" s="132"/>
      <c r="H10" s="132"/>
      <c r="I10" s="132"/>
      <c r="J10" s="132"/>
      <c r="K10" s="132"/>
      <c r="L10" s="132"/>
      <c r="M10" s="132"/>
      <c r="N10" s="132"/>
    </row>
    <row r="11" spans="1:25" ht="25" customHeight="1" thickBot="1" x14ac:dyDescent="0.2">
      <c r="A11" s="409" t="s">
        <v>149</v>
      </c>
      <c r="B11" s="410"/>
      <c r="C11" s="410"/>
      <c r="D11" s="410"/>
      <c r="E11" s="410"/>
      <c r="F11" s="410"/>
      <c r="G11" s="410"/>
      <c r="H11" s="410"/>
      <c r="I11" s="410"/>
      <c r="J11" s="411"/>
      <c r="K11" s="130"/>
      <c r="L11" s="409" t="s">
        <v>149</v>
      </c>
      <c r="M11" s="410"/>
      <c r="N11" s="410"/>
      <c r="O11" s="410"/>
      <c r="P11" s="410"/>
      <c r="Q11" s="410"/>
      <c r="R11" s="411"/>
      <c r="T11" s="412" t="s">
        <v>149</v>
      </c>
      <c r="U11" s="413"/>
      <c r="V11" s="413"/>
      <c r="W11" s="413"/>
      <c r="X11" s="413"/>
      <c r="Y11" s="414"/>
    </row>
    <row r="12" spans="1:25" ht="12.75" customHeight="1" x14ac:dyDescent="0.15">
      <c r="A12" s="2"/>
      <c r="B12" s="2"/>
      <c r="C12" s="2"/>
      <c r="D12" s="406" t="s">
        <v>137</v>
      </c>
      <c r="E12" s="407"/>
      <c r="F12" s="408"/>
      <c r="G12" s="1"/>
      <c r="H12" s="1"/>
      <c r="I12" s="1"/>
      <c r="J12" s="1"/>
      <c r="K12" s="1"/>
      <c r="L12" s="1"/>
      <c r="M12" s="1"/>
      <c r="N12" s="1"/>
      <c r="V12" t="str">
        <f>T13</f>
        <v>Governance</v>
      </c>
      <c r="W12" t="str">
        <f>T16</f>
        <v>Construction</v>
      </c>
      <c r="X12" t="str">
        <f>T19</f>
        <v>Verification</v>
      </c>
      <c r="Y12" t="str">
        <f>T22</f>
        <v>Operations</v>
      </c>
    </row>
    <row r="13" spans="1:25" ht="15" customHeight="1" x14ac:dyDescent="0.15">
      <c r="A13" s="7" t="s">
        <v>4</v>
      </c>
      <c r="B13" s="7" t="s">
        <v>5</v>
      </c>
      <c r="C13" s="7" t="s">
        <v>106</v>
      </c>
      <c r="D13" s="131">
        <v>1</v>
      </c>
      <c r="E13" s="131">
        <v>2</v>
      </c>
      <c r="F13" s="131">
        <v>3</v>
      </c>
      <c r="G13" s="8" t="s">
        <v>9</v>
      </c>
      <c r="H13" s="1"/>
      <c r="I13" s="7" t="s">
        <v>4</v>
      </c>
      <c r="J13" s="7" t="s">
        <v>106</v>
      </c>
      <c r="L13" s="1"/>
      <c r="M13" s="1"/>
      <c r="N13" s="1"/>
      <c r="T13" s="68" t="s">
        <v>24</v>
      </c>
      <c r="U13" s="72" t="s">
        <v>25</v>
      </c>
      <c r="V13" s="103">
        <f>C14</f>
        <v>0</v>
      </c>
      <c r="W13" s="103">
        <v>0</v>
      </c>
      <c r="X13" s="103">
        <v>0</v>
      </c>
      <c r="Y13" s="103">
        <v>0</v>
      </c>
    </row>
    <row r="14" spans="1:25" ht="25" customHeight="1" x14ac:dyDescent="0.15">
      <c r="A14" s="68" t="s">
        <v>24</v>
      </c>
      <c r="B14" s="72" t="s">
        <v>25</v>
      </c>
      <c r="C14" s="103">
        <f>Interview!$J$18</f>
        <v>0</v>
      </c>
      <c r="D14" s="103">
        <f>Interview!H18</f>
        <v>0</v>
      </c>
      <c r="E14" s="103">
        <f>Interview!H25</f>
        <v>0</v>
      </c>
      <c r="F14" s="103" t="e">
        <f>Interview!#REF!</f>
        <v>#REF!</v>
      </c>
      <c r="G14" s="6">
        <f t="shared" ref="G14:G25" si="0">(((((IF((C14="0+"),0.5,0)+IF((C14=1),1,0))+IF((C14="1+"),1.5,0))+IF((C14=2),2,0))+IF((C14="2+"),2.5,0))+IF((C14=3),3,0))+IF((C14="3+"),3.5,0)</f>
        <v>0</v>
      </c>
      <c r="H14" s="3"/>
      <c r="I14" s="68" t="s">
        <v>24</v>
      </c>
      <c r="J14" s="103">
        <f>AVERAGE(C14:C16)</f>
        <v>0</v>
      </c>
      <c r="L14" s="1"/>
      <c r="M14" s="1"/>
      <c r="N14" s="1"/>
      <c r="T14" s="68" t="s">
        <v>24</v>
      </c>
      <c r="U14" s="72" t="s">
        <v>30</v>
      </c>
      <c r="V14" s="103">
        <f t="shared" ref="V14:V15" si="1">C15</f>
        <v>0</v>
      </c>
      <c r="W14" s="103">
        <v>0</v>
      </c>
      <c r="X14" s="103">
        <v>0</v>
      </c>
      <c r="Y14" s="103">
        <v>0</v>
      </c>
    </row>
    <row r="15" spans="1:25" ht="25" customHeight="1" x14ac:dyDescent="0.15">
      <c r="A15" s="68" t="s">
        <v>24</v>
      </c>
      <c r="B15" s="72" t="s">
        <v>30</v>
      </c>
      <c r="C15" s="103">
        <f>Interview!$J$32</f>
        <v>0</v>
      </c>
      <c r="D15" s="103">
        <f>Interview!H32</f>
        <v>0</v>
      </c>
      <c r="E15" s="103">
        <f>Interview!H39</f>
        <v>0</v>
      </c>
      <c r="F15" s="103" t="e">
        <f>Interview!#REF!</f>
        <v>#REF!</v>
      </c>
      <c r="G15" s="6">
        <f t="shared" si="0"/>
        <v>0</v>
      </c>
      <c r="H15" s="3"/>
      <c r="I15" s="73" t="s">
        <v>38</v>
      </c>
      <c r="J15" s="103">
        <f>AVERAGE(C17:C19)</f>
        <v>0</v>
      </c>
      <c r="L15" s="1"/>
      <c r="M15" s="1"/>
      <c r="N15" s="1"/>
      <c r="T15" s="68" t="s">
        <v>24</v>
      </c>
      <c r="U15" s="72" t="s">
        <v>34</v>
      </c>
      <c r="V15" s="103">
        <f t="shared" si="1"/>
        <v>0</v>
      </c>
      <c r="W15" s="103">
        <v>0</v>
      </c>
      <c r="X15" s="103">
        <v>0</v>
      </c>
      <c r="Y15" s="103">
        <v>0</v>
      </c>
    </row>
    <row r="16" spans="1:25" ht="25" customHeight="1" x14ac:dyDescent="0.15">
      <c r="A16" s="68" t="s">
        <v>24</v>
      </c>
      <c r="B16" s="72" t="s">
        <v>34</v>
      </c>
      <c r="C16" s="103">
        <f>Interview!$J$46</f>
        <v>0</v>
      </c>
      <c r="D16" s="103">
        <f>Interview!H46</f>
        <v>0</v>
      </c>
      <c r="E16" s="103">
        <f>Interview!H53</f>
        <v>0</v>
      </c>
      <c r="F16" s="103" t="e">
        <f>Interview!#REF!</f>
        <v>#REF!</v>
      </c>
      <c r="G16" s="6">
        <f t="shared" si="0"/>
        <v>0</v>
      </c>
      <c r="H16" s="3"/>
      <c r="I16" s="78" t="s">
        <v>51</v>
      </c>
      <c r="J16" s="103">
        <f>AVERAGE(C20:C22)</f>
        <v>0</v>
      </c>
      <c r="L16" s="1"/>
      <c r="M16" s="1"/>
      <c r="N16" s="1"/>
      <c r="T16" s="73" t="s">
        <v>38</v>
      </c>
      <c r="U16" s="77" t="s">
        <v>39</v>
      </c>
      <c r="V16" s="103">
        <v>0</v>
      </c>
      <c r="W16" s="103">
        <f>C17</f>
        <v>0</v>
      </c>
      <c r="X16" s="103">
        <v>0</v>
      </c>
      <c r="Y16" s="103">
        <v>0</v>
      </c>
    </row>
    <row r="17" spans="1:25" ht="25" customHeight="1" x14ac:dyDescent="0.15">
      <c r="A17" s="73" t="s">
        <v>38</v>
      </c>
      <c r="B17" s="77" t="s">
        <v>39</v>
      </c>
      <c r="C17" s="103">
        <f>Interview!$J$61</f>
        <v>0</v>
      </c>
      <c r="D17" s="103">
        <f>Interview!H61</f>
        <v>0</v>
      </c>
      <c r="E17" s="103">
        <f>Interview!H68</f>
        <v>0</v>
      </c>
      <c r="F17" s="103" t="e">
        <f>Interview!#REF!</f>
        <v>#REF!</v>
      </c>
      <c r="G17" s="6">
        <f t="shared" si="0"/>
        <v>0</v>
      </c>
      <c r="H17" s="3"/>
      <c r="I17" s="83" t="s">
        <v>72</v>
      </c>
      <c r="J17" s="103">
        <f>AVERAGE(C23:C25)</f>
        <v>0</v>
      </c>
      <c r="L17" s="1"/>
      <c r="M17" s="1"/>
      <c r="N17" s="1"/>
      <c r="T17" s="73" t="s">
        <v>38</v>
      </c>
      <c r="U17" s="77" t="s">
        <v>43</v>
      </c>
      <c r="V17" s="103">
        <v>0</v>
      </c>
      <c r="W17" s="103">
        <f t="shared" ref="W17:W18" si="2">C18</f>
        <v>0</v>
      </c>
      <c r="X17" s="103">
        <v>0</v>
      </c>
      <c r="Y17" s="103">
        <v>0</v>
      </c>
    </row>
    <row r="18" spans="1:25" ht="25" customHeight="1" x14ac:dyDescent="0.15">
      <c r="A18" s="73" t="s">
        <v>38</v>
      </c>
      <c r="B18" s="77" t="s">
        <v>43</v>
      </c>
      <c r="C18" s="103">
        <f>Interview!$J$75</f>
        <v>0</v>
      </c>
      <c r="D18" s="103">
        <f>Interview!H75</f>
        <v>0</v>
      </c>
      <c r="E18" s="103">
        <f>Interview!H82</f>
        <v>0</v>
      </c>
      <c r="F18" s="103" t="e">
        <f>Interview!#REF!</f>
        <v>#REF!</v>
      </c>
      <c r="G18" s="6">
        <f t="shared" si="0"/>
        <v>0</v>
      </c>
      <c r="H18" s="3"/>
      <c r="I18" s="1"/>
      <c r="J18" s="1"/>
      <c r="K18" s="1"/>
      <c r="L18" s="1"/>
      <c r="M18" s="1"/>
      <c r="N18" s="1"/>
      <c r="T18" s="73" t="s">
        <v>38</v>
      </c>
      <c r="U18" s="77" t="s">
        <v>47</v>
      </c>
      <c r="V18" s="103">
        <v>0</v>
      </c>
      <c r="W18" s="103">
        <f t="shared" si="2"/>
        <v>0</v>
      </c>
      <c r="X18" s="103">
        <v>0</v>
      </c>
      <c r="Y18" s="103">
        <v>0</v>
      </c>
    </row>
    <row r="19" spans="1:25" ht="25" customHeight="1" x14ac:dyDescent="0.15">
      <c r="A19" s="73" t="s">
        <v>38</v>
      </c>
      <c r="B19" s="77" t="s">
        <v>47</v>
      </c>
      <c r="C19" s="103">
        <f>Interview!$J$89</f>
        <v>0</v>
      </c>
      <c r="D19" s="103">
        <f>Interview!H89</f>
        <v>0</v>
      </c>
      <c r="E19" s="103">
        <f>Interview!H96</f>
        <v>0</v>
      </c>
      <c r="F19" s="103" t="e">
        <f>Interview!#REF!</f>
        <v>#REF!</v>
      </c>
      <c r="G19" s="6">
        <f t="shared" si="0"/>
        <v>0</v>
      </c>
      <c r="H19" s="3"/>
      <c r="I19" s="1"/>
      <c r="J19" s="1"/>
      <c r="K19" s="1"/>
      <c r="L19" s="1"/>
      <c r="M19" s="1"/>
      <c r="N19" s="1"/>
      <c r="T19" s="78" t="s">
        <v>51</v>
      </c>
      <c r="U19" s="82" t="s">
        <v>52</v>
      </c>
      <c r="V19" s="103">
        <v>0</v>
      </c>
      <c r="W19" s="103">
        <v>0</v>
      </c>
      <c r="X19" s="103">
        <f>C20</f>
        <v>0</v>
      </c>
      <c r="Y19" s="103">
        <v>0</v>
      </c>
    </row>
    <row r="20" spans="1:25" ht="25" customHeight="1" x14ac:dyDescent="0.15">
      <c r="A20" s="78" t="s">
        <v>51</v>
      </c>
      <c r="B20" s="82" t="s">
        <v>52</v>
      </c>
      <c r="C20" s="103">
        <f>Interview!$J$147</f>
        <v>0</v>
      </c>
      <c r="D20" s="103">
        <f>Interview!H147</f>
        <v>0</v>
      </c>
      <c r="E20" s="103">
        <f>Interview!H154</f>
        <v>0</v>
      </c>
      <c r="F20" s="103" t="e">
        <f>Interview!#REF!</f>
        <v>#REF!</v>
      </c>
      <c r="G20" s="6">
        <f t="shared" si="0"/>
        <v>0</v>
      </c>
      <c r="H20" s="3"/>
      <c r="I20" s="1"/>
      <c r="J20" s="1"/>
      <c r="K20" s="1"/>
      <c r="L20" s="1"/>
      <c r="M20" s="1"/>
      <c r="N20" s="1"/>
      <c r="T20" s="78" t="s">
        <v>51</v>
      </c>
      <c r="U20" s="82" t="s">
        <v>80</v>
      </c>
      <c r="V20" s="103">
        <v>0</v>
      </c>
      <c r="W20" s="103">
        <v>0</v>
      </c>
      <c r="X20" s="103">
        <f t="shared" ref="X20:X21" si="3">C21</f>
        <v>0</v>
      </c>
      <c r="Y20" s="103">
        <v>0</v>
      </c>
    </row>
    <row r="21" spans="1:25" ht="25" customHeight="1" x14ac:dyDescent="0.15">
      <c r="A21" s="78" t="s">
        <v>51</v>
      </c>
      <c r="B21" s="82" t="s">
        <v>80</v>
      </c>
      <c r="C21" s="103">
        <f>Interview!$J$161</f>
        <v>0</v>
      </c>
      <c r="D21" s="103">
        <f>Interview!H161</f>
        <v>0</v>
      </c>
      <c r="E21" s="103">
        <f>Interview!H168</f>
        <v>0</v>
      </c>
      <c r="F21" s="103" t="e">
        <f>Interview!#REF!</f>
        <v>#REF!</v>
      </c>
      <c r="G21" s="6">
        <f t="shared" si="0"/>
        <v>0</v>
      </c>
      <c r="H21" s="3"/>
      <c r="I21" s="1"/>
      <c r="J21" s="1"/>
      <c r="K21" s="1"/>
      <c r="L21" s="1"/>
      <c r="M21" s="1"/>
      <c r="N21" s="1"/>
      <c r="T21" s="78" t="s">
        <v>51</v>
      </c>
      <c r="U21" s="82" t="s">
        <v>56</v>
      </c>
      <c r="V21" s="103">
        <v>0</v>
      </c>
      <c r="W21" s="103">
        <v>0</v>
      </c>
      <c r="X21" s="103">
        <f t="shared" si="3"/>
        <v>0</v>
      </c>
      <c r="Y21" s="103">
        <v>0</v>
      </c>
    </row>
    <row r="22" spans="1:25" ht="25" customHeight="1" x14ac:dyDescent="0.15">
      <c r="A22" s="78" t="s">
        <v>51</v>
      </c>
      <c r="B22" s="82" t="s">
        <v>56</v>
      </c>
      <c r="C22" s="103">
        <f>Interview!$J$175</f>
        <v>0</v>
      </c>
      <c r="D22" s="103">
        <f>Interview!H175</f>
        <v>0</v>
      </c>
      <c r="E22" s="103">
        <f>Interview!H182</f>
        <v>0</v>
      </c>
      <c r="F22" s="103" t="e">
        <f>Interview!#REF!</f>
        <v>#REF!</v>
      </c>
      <c r="G22" s="6">
        <f t="shared" si="0"/>
        <v>0</v>
      </c>
      <c r="H22" s="3"/>
      <c r="I22" s="1"/>
      <c r="J22" s="1"/>
      <c r="K22" s="1"/>
      <c r="L22" s="1"/>
      <c r="M22" s="1"/>
      <c r="N22" s="1"/>
      <c r="T22" s="83" t="s">
        <v>72</v>
      </c>
      <c r="U22" s="87" t="s">
        <v>73</v>
      </c>
      <c r="V22" s="103">
        <v>0</v>
      </c>
      <c r="W22" s="103">
        <v>0</v>
      </c>
      <c r="X22" s="103">
        <v>0</v>
      </c>
      <c r="Y22" s="103">
        <f>C23</f>
        <v>0</v>
      </c>
    </row>
    <row r="23" spans="1:25" ht="25" customHeight="1" x14ac:dyDescent="0.15">
      <c r="A23" s="83" t="s">
        <v>72</v>
      </c>
      <c r="B23" s="87" t="s">
        <v>73</v>
      </c>
      <c r="C23" s="103">
        <f>Interview!$J$190</f>
        <v>0</v>
      </c>
      <c r="D23" s="103">
        <f>Interview!H190</f>
        <v>0</v>
      </c>
      <c r="E23" s="103">
        <f>Interview!H197</f>
        <v>0</v>
      </c>
      <c r="F23" s="103" t="e">
        <f>Interview!#REF!</f>
        <v>#REF!</v>
      </c>
      <c r="G23" s="6">
        <f t="shared" si="0"/>
        <v>0</v>
      </c>
      <c r="H23" s="3"/>
      <c r="I23" s="1"/>
      <c r="J23" s="1"/>
      <c r="K23" s="1"/>
      <c r="L23" s="1"/>
      <c r="M23" s="1"/>
      <c r="N23" s="1"/>
      <c r="T23" s="83" t="s">
        <v>72</v>
      </c>
      <c r="U23" s="87" t="s">
        <v>60</v>
      </c>
      <c r="V23" s="103">
        <v>0</v>
      </c>
      <c r="W23" s="103">
        <v>0</v>
      </c>
      <c r="X23" s="103">
        <v>0</v>
      </c>
      <c r="Y23" s="103">
        <f t="shared" ref="Y23:Y24" si="4">C24</f>
        <v>0</v>
      </c>
    </row>
    <row r="24" spans="1:25" ht="25" customHeight="1" x14ac:dyDescent="0.15">
      <c r="A24" s="83" t="s">
        <v>72</v>
      </c>
      <c r="B24" s="87" t="s">
        <v>60</v>
      </c>
      <c r="C24" s="103">
        <f>Interview!$J$204</f>
        <v>0</v>
      </c>
      <c r="D24" s="103">
        <f>Interview!H204</f>
        <v>0</v>
      </c>
      <c r="E24" s="103">
        <f>Interview!H211</f>
        <v>0</v>
      </c>
      <c r="F24" s="103" t="e">
        <f>Interview!#REF!</f>
        <v>#REF!</v>
      </c>
      <c r="G24" s="6">
        <f t="shared" si="0"/>
        <v>0</v>
      </c>
      <c r="H24" s="3"/>
      <c r="I24" s="1"/>
      <c r="J24" s="1"/>
      <c r="K24" s="1"/>
      <c r="L24" s="1"/>
      <c r="M24" s="1"/>
      <c r="N24" s="1"/>
      <c r="T24" s="83" t="s">
        <v>72</v>
      </c>
      <c r="U24" s="87" t="s">
        <v>0</v>
      </c>
      <c r="V24" s="103">
        <v>0</v>
      </c>
      <c r="W24" s="103">
        <v>0</v>
      </c>
      <c r="X24" s="103">
        <v>0</v>
      </c>
      <c r="Y24" s="103">
        <f t="shared" si="4"/>
        <v>0</v>
      </c>
    </row>
    <row r="25" spans="1:25" ht="25" customHeight="1" x14ac:dyDescent="0.15">
      <c r="A25" s="83" t="s">
        <v>72</v>
      </c>
      <c r="B25" s="87" t="s">
        <v>0</v>
      </c>
      <c r="C25" s="103">
        <f>Interview!$J$218</f>
        <v>0</v>
      </c>
      <c r="D25" s="103">
        <f>Interview!H218</f>
        <v>0</v>
      </c>
      <c r="E25" s="103">
        <f>Interview!H225</f>
        <v>0</v>
      </c>
      <c r="F25" s="103" t="e">
        <f>Interview!#REF!</f>
        <v>#REF!</v>
      </c>
      <c r="G25" s="6">
        <f t="shared" si="0"/>
        <v>0</v>
      </c>
      <c r="H25" s="3"/>
      <c r="I25" s="1"/>
      <c r="J25" s="1"/>
      <c r="K25" s="1"/>
      <c r="L25" s="1"/>
      <c r="M25" s="1"/>
      <c r="N25" s="1"/>
    </row>
    <row r="26" spans="1:25" ht="12.75" customHeight="1" x14ac:dyDescent="0.15">
      <c r="A26" s="4"/>
      <c r="B26" s="4"/>
      <c r="C26" s="4"/>
      <c r="D26" s="4"/>
      <c r="E26" s="4"/>
      <c r="F26" s="4"/>
      <c r="G26" s="1"/>
      <c r="H26" s="1"/>
      <c r="I26" s="1"/>
      <c r="J26" s="1"/>
      <c r="K26" s="1"/>
      <c r="L26" s="1"/>
      <c r="M26" s="1"/>
      <c r="N26" s="1"/>
    </row>
    <row r="27" spans="1:25" ht="12.75" customHeight="1" thickBot="1" x14ac:dyDescent="0.2">
      <c r="K27" s="233"/>
    </row>
    <row r="28" spans="1:25" ht="25" customHeight="1" thickBot="1" x14ac:dyDescent="0.2">
      <c r="A28" s="409" t="s">
        <v>185</v>
      </c>
      <c r="B28" s="410"/>
      <c r="C28" s="410"/>
      <c r="D28" s="410"/>
      <c r="E28" s="410"/>
      <c r="F28" s="410"/>
      <c r="G28" s="410"/>
      <c r="H28" s="410"/>
      <c r="I28" s="410"/>
      <c r="J28" s="411"/>
      <c r="K28" s="233"/>
      <c r="L28" s="409" t="s">
        <v>185</v>
      </c>
      <c r="M28" s="410"/>
      <c r="N28" s="410"/>
      <c r="O28" s="410"/>
      <c r="P28" s="410"/>
      <c r="Q28" s="410"/>
      <c r="R28" s="411"/>
      <c r="T28" s="412" t="s">
        <v>185</v>
      </c>
      <c r="U28" s="413"/>
      <c r="V28" s="413"/>
      <c r="W28" s="413"/>
      <c r="X28" s="413"/>
      <c r="Y28" s="414"/>
    </row>
    <row r="29" spans="1:25" ht="12" customHeight="1" x14ac:dyDescent="0.15">
      <c r="A29" s="2"/>
      <c r="B29" s="2"/>
      <c r="C29" s="2"/>
      <c r="D29" s="406" t="s">
        <v>137</v>
      </c>
      <c r="E29" s="407"/>
      <c r="F29" s="408"/>
      <c r="G29" s="233"/>
      <c r="H29" s="233"/>
      <c r="I29" s="233"/>
      <c r="J29" s="233"/>
      <c r="K29" s="233"/>
      <c r="L29" s="233"/>
      <c r="M29" s="233"/>
      <c r="N29" s="233"/>
      <c r="V29" t="str">
        <f>T30</f>
        <v>Governance</v>
      </c>
      <c r="W29" t="str">
        <f>T33</f>
        <v>Construction</v>
      </c>
      <c r="X29" t="str">
        <f>T36</f>
        <v>Verification</v>
      </c>
      <c r="Y29" t="str">
        <f>T39</f>
        <v>Operations</v>
      </c>
    </row>
    <row r="30" spans="1:25" ht="25" customHeight="1" x14ac:dyDescent="0.15">
      <c r="A30" s="7" t="s">
        <v>4</v>
      </c>
      <c r="B30" s="7" t="s">
        <v>5</v>
      </c>
      <c r="C30" s="7" t="s">
        <v>106</v>
      </c>
      <c r="D30" s="131">
        <v>1</v>
      </c>
      <c r="E30" s="131">
        <v>2</v>
      </c>
      <c r="F30" s="131">
        <v>3</v>
      </c>
      <c r="G30" s="8" t="s">
        <v>9</v>
      </c>
      <c r="H30" s="233"/>
      <c r="I30" s="7" t="s">
        <v>4</v>
      </c>
      <c r="J30" s="7" t="s">
        <v>106</v>
      </c>
      <c r="K30" s="233"/>
      <c r="L30" s="233"/>
      <c r="M30" s="233"/>
      <c r="N30" s="233"/>
      <c r="T30" s="68" t="s">
        <v>24</v>
      </c>
      <c r="U30" s="72" t="s">
        <v>25</v>
      </c>
      <c r="V30" s="103">
        <f>C31</f>
        <v>0</v>
      </c>
      <c r="W30" s="103">
        <v>0</v>
      </c>
      <c r="X30" s="103">
        <v>0</v>
      </c>
      <c r="Y30" s="103">
        <v>0</v>
      </c>
    </row>
    <row r="31" spans="1:25" ht="25" customHeight="1" x14ac:dyDescent="0.15">
      <c r="A31" s="68" t="s">
        <v>24</v>
      </c>
      <c r="B31" s="72" t="s">
        <v>25</v>
      </c>
      <c r="C31" s="103">
        <f>Roadmap!$M$20</f>
        <v>0</v>
      </c>
      <c r="D31" s="103">
        <f>Roadmap!$L$20</f>
        <v>0</v>
      </c>
      <c r="E31" s="103">
        <f>Roadmap!$L$24</f>
        <v>0</v>
      </c>
      <c r="F31" s="103">
        <f>Roadmap!$L$28</f>
        <v>0</v>
      </c>
      <c r="G31" s="6">
        <f t="shared" ref="G31:G42" si="5">(((((IF((C31="0+"),0.5,0)+IF((C31=1),1,0))+IF((C31="1+"),1.5,0))+IF((C31=2),2,0))+IF((C31="2+"),2.5,0))+IF((C31=3),3,0))+IF((C31="3+"),3.5,0)</f>
        <v>0</v>
      </c>
      <c r="H31" s="3"/>
      <c r="I31" s="68" t="s">
        <v>24</v>
      </c>
      <c r="J31" s="103">
        <f>AVERAGE(C31:C33)</f>
        <v>0</v>
      </c>
      <c r="K31" s="233"/>
      <c r="L31" s="233"/>
      <c r="M31" s="233"/>
      <c r="N31" s="233"/>
      <c r="T31" s="68" t="s">
        <v>24</v>
      </c>
      <c r="U31" s="72" t="s">
        <v>30</v>
      </c>
      <c r="V31" s="103">
        <f t="shared" ref="V31:V32" si="6">C32</f>
        <v>0</v>
      </c>
      <c r="W31" s="103">
        <v>0</v>
      </c>
      <c r="X31" s="103">
        <v>0</v>
      </c>
      <c r="Y31" s="103">
        <v>0</v>
      </c>
    </row>
    <row r="32" spans="1:25" ht="25" customHeight="1" x14ac:dyDescent="0.15">
      <c r="A32" s="68" t="s">
        <v>24</v>
      </c>
      <c r="B32" s="72" t="s">
        <v>30</v>
      </c>
      <c r="C32" s="103">
        <f>Roadmap!$M$31</f>
        <v>0</v>
      </c>
      <c r="D32" s="103">
        <f>Roadmap!$L$31</f>
        <v>0</v>
      </c>
      <c r="E32" s="103">
        <f>Roadmap!$L$34</f>
        <v>0</v>
      </c>
      <c r="F32" s="103">
        <f>Roadmap!$L$37</f>
        <v>0</v>
      </c>
      <c r="G32" s="6">
        <f t="shared" si="5"/>
        <v>0</v>
      </c>
      <c r="H32" s="3"/>
      <c r="I32" s="73" t="s">
        <v>38</v>
      </c>
      <c r="J32" s="103">
        <f>AVERAGE(C34:C36)</f>
        <v>0</v>
      </c>
      <c r="K32" s="233"/>
      <c r="L32" s="233"/>
      <c r="M32" s="233"/>
      <c r="N32" s="233"/>
      <c r="T32" s="68" t="s">
        <v>24</v>
      </c>
      <c r="U32" s="72" t="s">
        <v>34</v>
      </c>
      <c r="V32" s="103">
        <f t="shared" si="6"/>
        <v>0</v>
      </c>
      <c r="W32" s="103">
        <v>0</v>
      </c>
      <c r="X32" s="103">
        <v>0</v>
      </c>
      <c r="Y32" s="103">
        <v>0</v>
      </c>
    </row>
    <row r="33" spans="1:25" ht="25" customHeight="1" x14ac:dyDescent="0.15">
      <c r="A33" s="68" t="s">
        <v>24</v>
      </c>
      <c r="B33" s="72" t="s">
        <v>34</v>
      </c>
      <c r="C33" s="103">
        <f>Roadmap!$M$40</f>
        <v>0</v>
      </c>
      <c r="D33" s="103">
        <f>Roadmap!$L$40</f>
        <v>0</v>
      </c>
      <c r="E33" s="103">
        <f>Roadmap!$L$43</f>
        <v>0</v>
      </c>
      <c r="F33" s="103">
        <f>Roadmap!$L$46</f>
        <v>0</v>
      </c>
      <c r="G33" s="6">
        <f t="shared" si="5"/>
        <v>0</v>
      </c>
      <c r="H33" s="3"/>
      <c r="I33" s="78" t="s">
        <v>51</v>
      </c>
      <c r="J33" s="103">
        <f>AVERAGE(C37:C39)</f>
        <v>0</v>
      </c>
      <c r="K33" s="233"/>
      <c r="L33" s="233"/>
      <c r="M33" s="233"/>
      <c r="N33" s="233"/>
      <c r="T33" s="73" t="s">
        <v>38</v>
      </c>
      <c r="U33" s="77" t="s">
        <v>39</v>
      </c>
      <c r="V33" s="103">
        <v>0</v>
      </c>
      <c r="W33" s="103">
        <f>C34</f>
        <v>0</v>
      </c>
      <c r="X33" s="103">
        <v>0</v>
      </c>
      <c r="Y33" s="103">
        <v>0</v>
      </c>
    </row>
    <row r="34" spans="1:25" ht="25" customHeight="1" x14ac:dyDescent="0.15">
      <c r="A34" s="73" t="s">
        <v>38</v>
      </c>
      <c r="B34" s="77" t="s">
        <v>39</v>
      </c>
      <c r="C34" s="103">
        <f>Roadmap!$M$50</f>
        <v>0</v>
      </c>
      <c r="D34" s="103">
        <f>Roadmap!$L$50</f>
        <v>0</v>
      </c>
      <c r="E34" s="103">
        <f>Roadmap!$L$53</f>
        <v>0</v>
      </c>
      <c r="F34" s="103">
        <f>Roadmap!$L$57</f>
        <v>0</v>
      </c>
      <c r="G34" s="6">
        <f t="shared" si="5"/>
        <v>0</v>
      </c>
      <c r="H34" s="3"/>
      <c r="I34" s="83" t="s">
        <v>72</v>
      </c>
      <c r="J34" s="103">
        <f>AVERAGE(C40:C42)</f>
        <v>0</v>
      </c>
      <c r="K34" s="233"/>
      <c r="L34" s="233"/>
      <c r="M34" s="233"/>
      <c r="N34" s="233"/>
      <c r="T34" s="73" t="s">
        <v>38</v>
      </c>
      <c r="U34" s="77" t="s">
        <v>43</v>
      </c>
      <c r="V34" s="103">
        <v>0</v>
      </c>
      <c r="W34" s="103">
        <f t="shared" ref="W34:W35" si="7">C35</f>
        <v>0</v>
      </c>
      <c r="X34" s="103">
        <v>0</v>
      </c>
      <c r="Y34" s="103">
        <v>0</v>
      </c>
    </row>
    <row r="35" spans="1:25" ht="25" customHeight="1" x14ac:dyDescent="0.15">
      <c r="A35" s="73" t="s">
        <v>38</v>
      </c>
      <c r="B35" s="77" t="s">
        <v>43</v>
      </c>
      <c r="C35" s="103">
        <f>Roadmap!$M$60</f>
        <v>0</v>
      </c>
      <c r="D35" s="103">
        <f>Roadmap!$L$60</f>
        <v>0</v>
      </c>
      <c r="E35" s="103">
        <f>Roadmap!$L$63</f>
        <v>0</v>
      </c>
      <c r="F35" s="103">
        <f>Roadmap!$L$66</f>
        <v>0</v>
      </c>
      <c r="G35" s="6">
        <f t="shared" si="5"/>
        <v>0</v>
      </c>
      <c r="H35" s="3"/>
      <c r="I35" s="233"/>
      <c r="J35" s="233"/>
      <c r="K35" s="233"/>
      <c r="L35" s="233"/>
      <c r="M35" s="233"/>
      <c r="N35" s="233"/>
      <c r="T35" s="73" t="s">
        <v>38</v>
      </c>
      <c r="U35" s="77" t="s">
        <v>47</v>
      </c>
      <c r="V35" s="103">
        <v>0</v>
      </c>
      <c r="W35" s="103">
        <f t="shared" si="7"/>
        <v>0</v>
      </c>
      <c r="X35" s="103">
        <v>0</v>
      </c>
      <c r="Y35" s="103">
        <v>0</v>
      </c>
    </row>
    <row r="36" spans="1:25" ht="25" customHeight="1" x14ac:dyDescent="0.15">
      <c r="A36" s="73" t="s">
        <v>38</v>
      </c>
      <c r="B36" s="77" t="s">
        <v>47</v>
      </c>
      <c r="C36" s="103">
        <f>Roadmap!$M$69</f>
        <v>0</v>
      </c>
      <c r="D36" s="103">
        <f>Roadmap!$L$69</f>
        <v>0</v>
      </c>
      <c r="E36" s="103">
        <f>Roadmap!$L$72</f>
        <v>0</v>
      </c>
      <c r="F36" s="103">
        <f>Roadmap!$L$75</f>
        <v>0</v>
      </c>
      <c r="G36" s="6">
        <f t="shared" si="5"/>
        <v>0</v>
      </c>
      <c r="H36" s="3"/>
      <c r="I36" s="233"/>
      <c r="J36" s="233"/>
      <c r="K36" s="233"/>
      <c r="L36" s="233"/>
      <c r="M36" s="233"/>
      <c r="N36" s="233"/>
      <c r="T36" s="78" t="s">
        <v>51</v>
      </c>
      <c r="U36" s="82" t="s">
        <v>52</v>
      </c>
      <c r="V36" s="103">
        <v>0</v>
      </c>
      <c r="W36" s="103">
        <v>0</v>
      </c>
      <c r="X36" s="103">
        <f>C37</f>
        <v>0</v>
      </c>
      <c r="Y36" s="103">
        <v>0</v>
      </c>
    </row>
    <row r="37" spans="1:25" ht="25" customHeight="1" x14ac:dyDescent="0.15">
      <c r="A37" s="78" t="s">
        <v>51</v>
      </c>
      <c r="B37" s="82" t="s">
        <v>52</v>
      </c>
      <c r="C37" s="103">
        <f>Roadmap!$M$79</f>
        <v>0</v>
      </c>
      <c r="D37" s="103">
        <f>Roadmap!$L$79</f>
        <v>0</v>
      </c>
      <c r="E37" s="103">
        <f>Roadmap!$L$82</f>
        <v>0</v>
      </c>
      <c r="F37" s="103">
        <f>Roadmap!$L$85</f>
        <v>0</v>
      </c>
      <c r="G37" s="6">
        <f t="shared" si="5"/>
        <v>0</v>
      </c>
      <c r="H37" s="3"/>
      <c r="I37" s="233"/>
      <c r="J37" s="233"/>
      <c r="K37" s="233"/>
      <c r="L37" s="233"/>
      <c r="M37" s="233"/>
      <c r="N37" s="233"/>
      <c r="T37" s="78" t="s">
        <v>51</v>
      </c>
      <c r="U37" s="82" t="s">
        <v>80</v>
      </c>
      <c r="V37" s="103">
        <v>0</v>
      </c>
      <c r="W37" s="103">
        <v>0</v>
      </c>
      <c r="X37" s="103">
        <f t="shared" ref="X37:X38" si="8">C38</f>
        <v>0</v>
      </c>
      <c r="Y37" s="103">
        <v>0</v>
      </c>
    </row>
    <row r="38" spans="1:25" ht="25" customHeight="1" x14ac:dyDescent="0.15">
      <c r="A38" s="78" t="s">
        <v>51</v>
      </c>
      <c r="B38" s="82" t="s">
        <v>80</v>
      </c>
      <c r="C38" s="103">
        <f>Roadmap!$M$88</f>
        <v>0</v>
      </c>
      <c r="D38" s="103">
        <f>Roadmap!$L$88</f>
        <v>0</v>
      </c>
      <c r="E38" s="103">
        <f>Roadmap!$L$91</f>
        <v>0</v>
      </c>
      <c r="F38" s="103">
        <f>Roadmap!$L$94</f>
        <v>0</v>
      </c>
      <c r="G38" s="6">
        <f t="shared" si="5"/>
        <v>0</v>
      </c>
      <c r="H38" s="3"/>
      <c r="I38" s="233"/>
      <c r="J38" s="233"/>
      <c r="K38" s="233"/>
      <c r="L38" s="233"/>
      <c r="M38" s="233"/>
      <c r="N38" s="233"/>
      <c r="T38" s="78" t="s">
        <v>51</v>
      </c>
      <c r="U38" s="82" t="s">
        <v>56</v>
      </c>
      <c r="V38" s="103">
        <v>0</v>
      </c>
      <c r="W38" s="103">
        <v>0</v>
      </c>
      <c r="X38" s="103">
        <f t="shared" si="8"/>
        <v>0</v>
      </c>
      <c r="Y38" s="103">
        <v>0</v>
      </c>
    </row>
    <row r="39" spans="1:25" ht="25" customHeight="1" x14ac:dyDescent="0.15">
      <c r="A39" s="78" t="s">
        <v>51</v>
      </c>
      <c r="B39" s="82" t="s">
        <v>56</v>
      </c>
      <c r="C39" s="103">
        <f>Roadmap!$M$97</f>
        <v>0</v>
      </c>
      <c r="D39" s="103">
        <f>Roadmap!$L$97</f>
        <v>0</v>
      </c>
      <c r="E39" s="103">
        <f>Roadmap!$L$101</f>
        <v>0</v>
      </c>
      <c r="F39" s="103">
        <f>Roadmap!$L$104</f>
        <v>0</v>
      </c>
      <c r="G39" s="6">
        <f t="shared" si="5"/>
        <v>0</v>
      </c>
      <c r="H39" s="3"/>
      <c r="I39" s="233"/>
      <c r="J39" s="233"/>
      <c r="K39" s="233"/>
      <c r="L39" s="233"/>
      <c r="M39" s="233"/>
      <c r="N39" s="233"/>
      <c r="T39" s="83" t="s">
        <v>72</v>
      </c>
      <c r="U39" s="87" t="s">
        <v>73</v>
      </c>
      <c r="V39" s="103">
        <v>0</v>
      </c>
      <c r="W39" s="103">
        <v>0</v>
      </c>
      <c r="X39" s="103">
        <v>0</v>
      </c>
      <c r="Y39" s="103">
        <f>C40</f>
        <v>0</v>
      </c>
    </row>
    <row r="40" spans="1:25" ht="25" customHeight="1" x14ac:dyDescent="0.15">
      <c r="A40" s="83" t="s">
        <v>72</v>
      </c>
      <c r="B40" s="87" t="s">
        <v>73</v>
      </c>
      <c r="C40" s="103">
        <f>Roadmap!$M$108</f>
        <v>0</v>
      </c>
      <c r="D40" s="103">
        <f>Roadmap!$L$108</f>
        <v>0</v>
      </c>
      <c r="E40" s="103">
        <f>Roadmap!$L$112</f>
        <v>0</v>
      </c>
      <c r="F40" s="103">
        <f>Roadmap!$L$115</f>
        <v>0</v>
      </c>
      <c r="G40" s="6">
        <f t="shared" si="5"/>
        <v>0</v>
      </c>
      <c r="H40" s="3"/>
      <c r="I40" s="233"/>
      <c r="J40" s="233"/>
      <c r="K40" s="233"/>
      <c r="L40" s="233"/>
      <c r="M40" s="233"/>
      <c r="N40" s="233"/>
      <c r="T40" s="83" t="s">
        <v>72</v>
      </c>
      <c r="U40" s="87" t="s">
        <v>60</v>
      </c>
      <c r="V40" s="103">
        <v>0</v>
      </c>
      <c r="W40" s="103">
        <v>0</v>
      </c>
      <c r="X40" s="103">
        <v>0</v>
      </c>
      <c r="Y40" s="103">
        <f t="shared" ref="Y40:Y41" si="9">C41</f>
        <v>0</v>
      </c>
    </row>
    <row r="41" spans="1:25" ht="25" customHeight="1" x14ac:dyDescent="0.15">
      <c r="A41" s="83" t="s">
        <v>72</v>
      </c>
      <c r="B41" s="87" t="s">
        <v>60</v>
      </c>
      <c r="C41" s="103">
        <f>Roadmap!$M$118</f>
        <v>0</v>
      </c>
      <c r="D41" s="103">
        <f>Roadmap!$L$118</f>
        <v>0</v>
      </c>
      <c r="E41" s="103">
        <f>Roadmap!$L$121</f>
        <v>0</v>
      </c>
      <c r="F41" s="103">
        <f>Roadmap!$L$124</f>
        <v>0</v>
      </c>
      <c r="G41" s="6">
        <f t="shared" si="5"/>
        <v>0</v>
      </c>
      <c r="H41" s="3"/>
      <c r="I41" s="233"/>
      <c r="J41" s="233"/>
      <c r="K41" s="233"/>
      <c r="L41" s="233"/>
      <c r="M41" s="233"/>
      <c r="N41" s="233"/>
      <c r="T41" s="83" t="s">
        <v>72</v>
      </c>
      <c r="U41" s="87" t="s">
        <v>0</v>
      </c>
      <c r="V41" s="103">
        <v>0</v>
      </c>
      <c r="W41" s="103">
        <v>0</v>
      </c>
      <c r="X41" s="103">
        <v>0</v>
      </c>
      <c r="Y41" s="103">
        <f t="shared" si="9"/>
        <v>0</v>
      </c>
    </row>
    <row r="42" spans="1:25" ht="25" customHeight="1" x14ac:dyDescent="0.15">
      <c r="A42" s="83" t="s">
        <v>72</v>
      </c>
      <c r="B42" s="87" t="s">
        <v>0</v>
      </c>
      <c r="C42" s="103">
        <f>Roadmap!$M$127</f>
        <v>0</v>
      </c>
      <c r="D42" s="103">
        <f>Roadmap!$L$127</f>
        <v>0</v>
      </c>
      <c r="E42" s="103">
        <f>Roadmap!$L$130</f>
        <v>0</v>
      </c>
      <c r="F42" s="103">
        <f>Roadmap!$L$133</f>
        <v>0</v>
      </c>
      <c r="G42" s="6">
        <f t="shared" si="5"/>
        <v>0</v>
      </c>
      <c r="H42" s="3"/>
      <c r="I42" s="233"/>
      <c r="J42" s="233"/>
      <c r="K42" s="233"/>
      <c r="L42" s="233"/>
      <c r="M42" s="233"/>
      <c r="N42" s="233"/>
    </row>
    <row r="43" spans="1:25" ht="12.75" customHeight="1" x14ac:dyDescent="0.15">
      <c r="A43" s="233"/>
      <c r="B43" s="233"/>
      <c r="C43" s="233"/>
      <c r="D43" s="233"/>
      <c r="E43" s="233"/>
      <c r="F43" s="233"/>
      <c r="G43" s="233"/>
      <c r="H43" s="233"/>
      <c r="I43" s="233"/>
      <c r="J43" s="233"/>
      <c r="K43" s="233"/>
      <c r="L43" s="233"/>
      <c r="M43" s="233"/>
      <c r="N43" s="233"/>
    </row>
    <row r="44" spans="1:25" ht="12.75" customHeight="1" thickBot="1" x14ac:dyDescent="0.2">
      <c r="K44" s="1"/>
    </row>
    <row r="45" spans="1:25" ht="25" customHeight="1" thickBot="1" x14ac:dyDescent="0.2">
      <c r="A45" s="409" t="s">
        <v>184</v>
      </c>
      <c r="B45" s="410"/>
      <c r="C45" s="410"/>
      <c r="D45" s="410"/>
      <c r="E45" s="410"/>
      <c r="F45" s="410"/>
      <c r="G45" s="410"/>
      <c r="H45" s="410"/>
      <c r="I45" s="410"/>
      <c r="J45" s="411"/>
      <c r="K45" s="1"/>
      <c r="L45" s="409" t="s">
        <v>184</v>
      </c>
      <c r="M45" s="410"/>
      <c r="N45" s="410"/>
      <c r="O45" s="410"/>
      <c r="P45" s="410"/>
      <c r="Q45" s="410"/>
      <c r="R45" s="411"/>
      <c r="T45" s="412" t="s">
        <v>184</v>
      </c>
      <c r="U45" s="413"/>
      <c r="V45" s="413"/>
      <c r="W45" s="413"/>
      <c r="X45" s="413"/>
      <c r="Y45" s="414"/>
    </row>
    <row r="46" spans="1:25" ht="12" customHeight="1" x14ac:dyDescent="0.15">
      <c r="A46" s="2"/>
      <c r="B46" s="2"/>
      <c r="C46" s="2"/>
      <c r="D46" s="406" t="s">
        <v>137</v>
      </c>
      <c r="E46" s="407"/>
      <c r="F46" s="408"/>
      <c r="G46" s="132"/>
      <c r="H46" s="132"/>
      <c r="I46" s="132"/>
      <c r="J46" s="132"/>
      <c r="K46" s="1"/>
      <c r="L46" s="1"/>
      <c r="M46" s="1"/>
      <c r="N46" s="1"/>
      <c r="V46" t="str">
        <f>T47</f>
        <v>Governance</v>
      </c>
      <c r="W46" t="str">
        <f>T50</f>
        <v>Construction</v>
      </c>
      <c r="X46" t="str">
        <f>T53</f>
        <v>Verification</v>
      </c>
      <c r="Y46" t="str">
        <f>T56</f>
        <v>Operations</v>
      </c>
    </row>
    <row r="47" spans="1:25" ht="25" customHeight="1" x14ac:dyDescent="0.15">
      <c r="A47" s="7" t="s">
        <v>4</v>
      </c>
      <c r="B47" s="7" t="s">
        <v>5</v>
      </c>
      <c r="C47" s="7" t="s">
        <v>106</v>
      </c>
      <c r="D47" s="131">
        <v>1</v>
      </c>
      <c r="E47" s="131">
        <v>2</v>
      </c>
      <c r="F47" s="131">
        <v>3</v>
      </c>
      <c r="G47" s="8" t="s">
        <v>9</v>
      </c>
      <c r="H47" s="132"/>
      <c r="I47" s="7" t="s">
        <v>4</v>
      </c>
      <c r="J47" s="7" t="s">
        <v>106</v>
      </c>
      <c r="K47" s="1"/>
      <c r="L47" s="1"/>
      <c r="M47" s="1"/>
      <c r="N47" s="1"/>
      <c r="T47" s="68" t="s">
        <v>24</v>
      </c>
      <c r="U47" s="72" t="s">
        <v>25</v>
      </c>
      <c r="V47" s="103">
        <f>C48</f>
        <v>0</v>
      </c>
      <c r="W47" s="103">
        <v>0</v>
      </c>
      <c r="X47" s="103">
        <v>0</v>
      </c>
      <c r="Y47" s="103">
        <v>0</v>
      </c>
    </row>
    <row r="48" spans="1:25" ht="25" customHeight="1" x14ac:dyDescent="0.15">
      <c r="A48" s="68" t="s">
        <v>24</v>
      </c>
      <c r="B48" s="72" t="s">
        <v>25</v>
      </c>
      <c r="C48" s="103">
        <f>Roadmap!$Q$20</f>
        <v>0</v>
      </c>
      <c r="D48" s="103">
        <f>Roadmap!$P$20</f>
        <v>0</v>
      </c>
      <c r="E48" s="103">
        <f>Roadmap!$P$24</f>
        <v>0</v>
      </c>
      <c r="F48" s="103">
        <f>Roadmap!$P$28</f>
        <v>0</v>
      </c>
      <c r="G48" s="6">
        <f t="shared" ref="G48:G59" si="10">(((((IF((C48="0+"),0.5,0)+IF((C48=1),1,0))+IF((C48="1+"),1.5,0))+IF((C48=2),2,0))+IF((C48="2+"),2.5,0))+IF((C48=3),3,0))+IF((C48="3+"),3.5,0)</f>
        <v>0</v>
      </c>
      <c r="H48" s="3"/>
      <c r="I48" s="68" t="s">
        <v>24</v>
      </c>
      <c r="J48" s="103">
        <f>AVERAGE(C48:C50)</f>
        <v>0</v>
      </c>
      <c r="K48" s="1"/>
      <c r="L48" s="1"/>
      <c r="M48" s="1"/>
      <c r="N48" s="1"/>
      <c r="T48" s="68" t="s">
        <v>24</v>
      </c>
      <c r="U48" s="72" t="s">
        <v>30</v>
      </c>
      <c r="V48" s="103">
        <f t="shared" ref="V48:V49" si="11">C49</f>
        <v>0</v>
      </c>
      <c r="W48" s="103">
        <v>0</v>
      </c>
      <c r="X48" s="103">
        <v>0</v>
      </c>
      <c r="Y48" s="103">
        <v>0</v>
      </c>
    </row>
    <row r="49" spans="1:25" ht="25" customHeight="1" x14ac:dyDescent="0.15">
      <c r="A49" s="68" t="s">
        <v>24</v>
      </c>
      <c r="B49" s="72" t="s">
        <v>30</v>
      </c>
      <c r="C49" s="103">
        <f>Roadmap!$Q$31</f>
        <v>0</v>
      </c>
      <c r="D49" s="103">
        <f>Roadmap!$P$31</f>
        <v>0</v>
      </c>
      <c r="E49" s="103">
        <f>Roadmap!$P$34</f>
        <v>0</v>
      </c>
      <c r="F49" s="103">
        <f>Roadmap!$P$37</f>
        <v>0</v>
      </c>
      <c r="G49" s="6">
        <f t="shared" si="10"/>
        <v>0</v>
      </c>
      <c r="H49" s="3"/>
      <c r="I49" s="73" t="s">
        <v>38</v>
      </c>
      <c r="J49" s="103">
        <f>AVERAGE(C51:C53)</f>
        <v>0</v>
      </c>
      <c r="K49" s="1"/>
      <c r="L49" s="1"/>
      <c r="M49" s="1"/>
      <c r="N49" s="1"/>
      <c r="T49" s="68" t="s">
        <v>24</v>
      </c>
      <c r="U49" s="72" t="s">
        <v>34</v>
      </c>
      <c r="V49" s="103">
        <f t="shared" si="11"/>
        <v>0</v>
      </c>
      <c r="W49" s="103">
        <v>0</v>
      </c>
      <c r="X49" s="103">
        <v>0</v>
      </c>
      <c r="Y49" s="103">
        <v>0</v>
      </c>
    </row>
    <row r="50" spans="1:25" ht="25" customHeight="1" x14ac:dyDescent="0.15">
      <c r="A50" s="68" t="s">
        <v>24</v>
      </c>
      <c r="B50" s="72" t="s">
        <v>34</v>
      </c>
      <c r="C50" s="103">
        <f>Roadmap!$Q$40</f>
        <v>0</v>
      </c>
      <c r="D50" s="103">
        <f>Roadmap!$P$40</f>
        <v>0</v>
      </c>
      <c r="E50" s="103">
        <f>Roadmap!$P$43</f>
        <v>0</v>
      </c>
      <c r="F50" s="103">
        <f>Roadmap!$P$46</f>
        <v>0</v>
      </c>
      <c r="G50" s="6">
        <f t="shared" si="10"/>
        <v>0</v>
      </c>
      <c r="H50" s="3"/>
      <c r="I50" s="78" t="s">
        <v>51</v>
      </c>
      <c r="J50" s="103">
        <f>AVERAGE(C54:C56)</f>
        <v>0</v>
      </c>
      <c r="K50" s="1"/>
      <c r="L50" s="1"/>
      <c r="M50" s="1"/>
      <c r="N50" s="1"/>
      <c r="T50" s="73" t="s">
        <v>38</v>
      </c>
      <c r="U50" s="77" t="s">
        <v>39</v>
      </c>
      <c r="V50" s="103">
        <v>0</v>
      </c>
      <c r="W50" s="103">
        <f>C51</f>
        <v>0</v>
      </c>
      <c r="X50" s="103">
        <v>0</v>
      </c>
      <c r="Y50" s="103">
        <v>0</v>
      </c>
    </row>
    <row r="51" spans="1:25" ht="25" customHeight="1" x14ac:dyDescent="0.15">
      <c r="A51" s="73" t="s">
        <v>38</v>
      </c>
      <c r="B51" s="77" t="s">
        <v>39</v>
      </c>
      <c r="C51" s="103">
        <f>Roadmap!$Q$50</f>
        <v>0</v>
      </c>
      <c r="D51" s="103">
        <f>Roadmap!$P$50</f>
        <v>0</v>
      </c>
      <c r="E51" s="103">
        <f>Roadmap!$P$53</f>
        <v>0</v>
      </c>
      <c r="F51" s="103">
        <f>Roadmap!$P$57</f>
        <v>0</v>
      </c>
      <c r="G51" s="6">
        <f t="shared" si="10"/>
        <v>0</v>
      </c>
      <c r="H51" s="3"/>
      <c r="I51" s="83" t="s">
        <v>72</v>
      </c>
      <c r="J51" s="103">
        <f>AVERAGE(C57:C59)</f>
        <v>0</v>
      </c>
      <c r="K51" s="1"/>
      <c r="L51" s="1"/>
      <c r="M51" s="1"/>
      <c r="N51" s="1"/>
      <c r="T51" s="73" t="s">
        <v>38</v>
      </c>
      <c r="U51" s="77" t="s">
        <v>43</v>
      </c>
      <c r="V51" s="103">
        <v>0</v>
      </c>
      <c r="W51" s="103">
        <f t="shared" ref="W51:W52" si="12">C52</f>
        <v>0</v>
      </c>
      <c r="X51" s="103">
        <v>0</v>
      </c>
      <c r="Y51" s="103">
        <v>0</v>
      </c>
    </row>
    <row r="52" spans="1:25" ht="25" customHeight="1" x14ac:dyDescent="0.15">
      <c r="A52" s="73" t="s">
        <v>38</v>
      </c>
      <c r="B52" s="77" t="s">
        <v>43</v>
      </c>
      <c r="C52" s="103">
        <f>Roadmap!$Q$60</f>
        <v>0</v>
      </c>
      <c r="D52" s="103">
        <f>Roadmap!$P$60</f>
        <v>0</v>
      </c>
      <c r="E52" s="103">
        <f>Roadmap!$P$63</f>
        <v>0</v>
      </c>
      <c r="F52" s="103">
        <f>Roadmap!$P$66</f>
        <v>0</v>
      </c>
      <c r="G52" s="6">
        <f t="shared" si="10"/>
        <v>0</v>
      </c>
      <c r="H52" s="3"/>
      <c r="I52" s="132"/>
      <c r="J52" s="132"/>
      <c r="K52" s="1"/>
      <c r="L52" s="1"/>
      <c r="M52" s="1"/>
      <c r="N52" s="1"/>
      <c r="T52" s="73" t="s">
        <v>38</v>
      </c>
      <c r="U52" s="77" t="s">
        <v>47</v>
      </c>
      <c r="V52" s="103">
        <v>0</v>
      </c>
      <c r="W52" s="103">
        <f t="shared" si="12"/>
        <v>0</v>
      </c>
      <c r="X52" s="103">
        <v>0</v>
      </c>
      <c r="Y52" s="103">
        <v>0</v>
      </c>
    </row>
    <row r="53" spans="1:25" ht="25" customHeight="1" x14ac:dyDescent="0.15">
      <c r="A53" s="73" t="s">
        <v>38</v>
      </c>
      <c r="B53" s="77" t="s">
        <v>47</v>
      </c>
      <c r="C53" s="103">
        <f>Roadmap!$Q$69</f>
        <v>0</v>
      </c>
      <c r="D53" s="103">
        <f>Roadmap!$P$69</f>
        <v>0</v>
      </c>
      <c r="E53" s="103">
        <f>Roadmap!$P$72</f>
        <v>0</v>
      </c>
      <c r="F53" s="103">
        <f>Roadmap!$P$75</f>
        <v>0</v>
      </c>
      <c r="G53" s="6">
        <f t="shared" si="10"/>
        <v>0</v>
      </c>
      <c r="H53" s="3"/>
      <c r="I53" s="132"/>
      <c r="J53" s="132"/>
      <c r="K53" s="1"/>
      <c r="L53" s="1"/>
      <c r="M53" s="1"/>
      <c r="N53" s="1"/>
      <c r="T53" s="78" t="s">
        <v>51</v>
      </c>
      <c r="U53" s="82" t="s">
        <v>52</v>
      </c>
      <c r="V53" s="103">
        <v>0</v>
      </c>
      <c r="W53" s="103">
        <v>0</v>
      </c>
      <c r="X53" s="103">
        <f>C54</f>
        <v>0</v>
      </c>
      <c r="Y53" s="103">
        <v>0</v>
      </c>
    </row>
    <row r="54" spans="1:25" ht="25" customHeight="1" x14ac:dyDescent="0.15">
      <c r="A54" s="78" t="s">
        <v>51</v>
      </c>
      <c r="B54" s="82" t="s">
        <v>52</v>
      </c>
      <c r="C54" s="103">
        <f>Roadmap!$Q$79</f>
        <v>0</v>
      </c>
      <c r="D54" s="103">
        <f>Roadmap!$P$79</f>
        <v>0</v>
      </c>
      <c r="E54" s="103">
        <f>Roadmap!$P$82</f>
        <v>0</v>
      </c>
      <c r="F54" s="103">
        <f>Roadmap!$P$85</f>
        <v>0</v>
      </c>
      <c r="G54" s="6">
        <f t="shared" si="10"/>
        <v>0</v>
      </c>
      <c r="H54" s="3"/>
      <c r="I54" s="132"/>
      <c r="J54" s="132"/>
      <c r="K54" s="1"/>
      <c r="L54" s="1"/>
      <c r="M54" s="1"/>
      <c r="N54" s="1"/>
      <c r="T54" s="78" t="s">
        <v>51</v>
      </c>
      <c r="U54" s="82" t="s">
        <v>80</v>
      </c>
      <c r="V54" s="103">
        <v>0</v>
      </c>
      <c r="W54" s="103">
        <v>0</v>
      </c>
      <c r="X54" s="103">
        <f t="shared" ref="X54:X55" si="13">C55</f>
        <v>0</v>
      </c>
      <c r="Y54" s="103">
        <v>0</v>
      </c>
    </row>
    <row r="55" spans="1:25" ht="25" customHeight="1" x14ac:dyDescent="0.15">
      <c r="A55" s="78" t="s">
        <v>51</v>
      </c>
      <c r="B55" s="82" t="s">
        <v>80</v>
      </c>
      <c r="C55" s="103">
        <f>Roadmap!$Q$88</f>
        <v>0</v>
      </c>
      <c r="D55" s="103">
        <f>Roadmap!$P$88</f>
        <v>0</v>
      </c>
      <c r="E55" s="103">
        <f>Roadmap!$P$91</f>
        <v>0</v>
      </c>
      <c r="F55" s="103">
        <f>Roadmap!$P$94</f>
        <v>0</v>
      </c>
      <c r="G55" s="6">
        <f t="shared" si="10"/>
        <v>0</v>
      </c>
      <c r="H55" s="3"/>
      <c r="I55" s="132"/>
      <c r="J55" s="132"/>
      <c r="K55" s="1"/>
      <c r="L55" s="1"/>
      <c r="M55" s="1"/>
      <c r="N55" s="1"/>
      <c r="T55" s="78" t="s">
        <v>51</v>
      </c>
      <c r="U55" s="82" t="s">
        <v>56</v>
      </c>
      <c r="V55" s="103">
        <v>0</v>
      </c>
      <c r="W55" s="103">
        <v>0</v>
      </c>
      <c r="X55" s="103">
        <f t="shared" si="13"/>
        <v>0</v>
      </c>
      <c r="Y55" s="103">
        <v>0</v>
      </c>
    </row>
    <row r="56" spans="1:25" ht="25" customHeight="1" x14ac:dyDescent="0.15">
      <c r="A56" s="78" t="s">
        <v>51</v>
      </c>
      <c r="B56" s="82" t="s">
        <v>56</v>
      </c>
      <c r="C56" s="103">
        <f>Roadmap!$Q$97</f>
        <v>0</v>
      </c>
      <c r="D56" s="103">
        <f>Roadmap!$P$97</f>
        <v>0</v>
      </c>
      <c r="E56" s="103">
        <f>Roadmap!$P$101</f>
        <v>0</v>
      </c>
      <c r="F56" s="103">
        <f>Roadmap!$P$104</f>
        <v>0</v>
      </c>
      <c r="G56" s="6">
        <f t="shared" si="10"/>
        <v>0</v>
      </c>
      <c r="H56" s="3"/>
      <c r="I56" s="132"/>
      <c r="J56" s="132"/>
      <c r="K56" s="1"/>
      <c r="L56" s="1"/>
      <c r="M56" s="1"/>
      <c r="N56" s="1"/>
      <c r="T56" s="83" t="s">
        <v>72</v>
      </c>
      <c r="U56" s="87" t="s">
        <v>73</v>
      </c>
      <c r="V56" s="103">
        <v>0</v>
      </c>
      <c r="W56" s="103">
        <v>0</v>
      </c>
      <c r="X56" s="103">
        <v>0</v>
      </c>
      <c r="Y56" s="103">
        <f>C57</f>
        <v>0</v>
      </c>
    </row>
    <row r="57" spans="1:25" ht="25" customHeight="1" x14ac:dyDescent="0.15">
      <c r="A57" s="83" t="s">
        <v>72</v>
      </c>
      <c r="B57" s="87" t="s">
        <v>73</v>
      </c>
      <c r="C57" s="103">
        <f>Roadmap!$Q$108</f>
        <v>0</v>
      </c>
      <c r="D57" s="103">
        <f>Roadmap!$P$108</f>
        <v>0</v>
      </c>
      <c r="E57" s="103">
        <f>Roadmap!$P$112</f>
        <v>0</v>
      </c>
      <c r="F57" s="103">
        <f>Roadmap!$P$115</f>
        <v>0</v>
      </c>
      <c r="G57" s="6">
        <f t="shared" si="10"/>
        <v>0</v>
      </c>
      <c r="H57" s="3"/>
      <c r="I57" s="132"/>
      <c r="J57" s="132"/>
      <c r="K57" s="1"/>
      <c r="L57" s="1"/>
      <c r="M57" s="1"/>
      <c r="N57" s="1"/>
      <c r="T57" s="83" t="s">
        <v>72</v>
      </c>
      <c r="U57" s="87" t="s">
        <v>60</v>
      </c>
      <c r="V57" s="103">
        <v>0</v>
      </c>
      <c r="W57" s="103">
        <v>0</v>
      </c>
      <c r="X57" s="103">
        <v>0</v>
      </c>
      <c r="Y57" s="103">
        <f t="shared" ref="Y57:Y58" si="14">C58</f>
        <v>0</v>
      </c>
    </row>
    <row r="58" spans="1:25" ht="25" customHeight="1" x14ac:dyDescent="0.15">
      <c r="A58" s="83" t="s">
        <v>72</v>
      </c>
      <c r="B58" s="87" t="s">
        <v>60</v>
      </c>
      <c r="C58" s="103">
        <f>Roadmap!$Q$118</f>
        <v>0</v>
      </c>
      <c r="D58" s="103">
        <f>Roadmap!$P$118</f>
        <v>0</v>
      </c>
      <c r="E58" s="103">
        <f>Roadmap!$P$121</f>
        <v>0</v>
      </c>
      <c r="F58" s="103">
        <f>Roadmap!$P$124</f>
        <v>0</v>
      </c>
      <c r="G58" s="6">
        <f t="shared" si="10"/>
        <v>0</v>
      </c>
      <c r="H58" s="3"/>
      <c r="I58" s="132"/>
      <c r="J58" s="132"/>
      <c r="K58" s="1"/>
      <c r="L58" s="1"/>
      <c r="M58" s="1"/>
      <c r="N58" s="1"/>
      <c r="T58" s="83" t="s">
        <v>72</v>
      </c>
      <c r="U58" s="87" t="s">
        <v>0</v>
      </c>
      <c r="V58" s="103">
        <v>0</v>
      </c>
      <c r="W58" s="103">
        <v>0</v>
      </c>
      <c r="X58" s="103">
        <v>0</v>
      </c>
      <c r="Y58" s="103">
        <f t="shared" si="14"/>
        <v>0</v>
      </c>
    </row>
    <row r="59" spans="1:25" ht="25" customHeight="1" x14ac:dyDescent="0.15">
      <c r="A59" s="83" t="s">
        <v>72</v>
      </c>
      <c r="B59" s="87" t="s">
        <v>0</v>
      </c>
      <c r="C59" s="103">
        <f>Roadmap!$Q$127</f>
        <v>0</v>
      </c>
      <c r="D59" s="103">
        <f>Roadmap!$P$127</f>
        <v>0</v>
      </c>
      <c r="E59" s="103">
        <f>Roadmap!$P$130</f>
        <v>0</v>
      </c>
      <c r="F59" s="103">
        <f>Roadmap!$P$133</f>
        <v>0</v>
      </c>
      <c r="G59" s="6">
        <f t="shared" si="10"/>
        <v>0</v>
      </c>
      <c r="H59" s="3"/>
      <c r="I59" s="132"/>
      <c r="J59" s="132"/>
      <c r="K59" s="1"/>
      <c r="L59" s="1"/>
      <c r="M59" s="1"/>
      <c r="N59" s="1"/>
    </row>
    <row r="60" spans="1:25" ht="12.75" customHeight="1" thickBot="1" x14ac:dyDescent="0.2">
      <c r="K60" s="233"/>
    </row>
    <row r="61" spans="1:25" ht="25" customHeight="1" thickBot="1" x14ac:dyDescent="0.2">
      <c r="A61" s="409" t="s">
        <v>183</v>
      </c>
      <c r="B61" s="410"/>
      <c r="C61" s="410"/>
      <c r="D61" s="410"/>
      <c r="E61" s="410"/>
      <c r="F61" s="410"/>
      <c r="G61" s="410"/>
      <c r="H61" s="410"/>
      <c r="I61" s="410"/>
      <c r="J61" s="411"/>
      <c r="K61" s="233"/>
      <c r="L61" s="409" t="s">
        <v>183</v>
      </c>
      <c r="M61" s="410"/>
      <c r="N61" s="410"/>
      <c r="O61" s="410"/>
      <c r="P61" s="410"/>
      <c r="Q61" s="410"/>
      <c r="R61" s="411"/>
      <c r="T61" s="412" t="s">
        <v>183</v>
      </c>
      <c r="U61" s="413"/>
      <c r="V61" s="413"/>
      <c r="W61" s="413"/>
      <c r="X61" s="413"/>
      <c r="Y61" s="414"/>
    </row>
    <row r="62" spans="1:25" ht="12" customHeight="1" x14ac:dyDescent="0.15">
      <c r="A62" s="2"/>
      <c r="B62" s="2"/>
      <c r="C62" s="2"/>
      <c r="D62" s="406" t="s">
        <v>137</v>
      </c>
      <c r="E62" s="407"/>
      <c r="F62" s="408"/>
      <c r="G62" s="233"/>
      <c r="H62" s="233"/>
      <c r="I62" s="233"/>
      <c r="J62" s="233"/>
      <c r="K62" s="233"/>
      <c r="L62" s="233"/>
      <c r="M62" s="233"/>
      <c r="N62" s="233"/>
      <c r="V62" t="str">
        <f>T63</f>
        <v>Governance</v>
      </c>
      <c r="W62" t="str">
        <f>T66</f>
        <v>Construction</v>
      </c>
      <c r="X62" t="str">
        <f>T69</f>
        <v>Verification</v>
      </c>
      <c r="Y62" t="str">
        <f>T72</f>
        <v>Operations</v>
      </c>
    </row>
    <row r="63" spans="1:25" ht="25" customHeight="1" x14ac:dyDescent="0.15">
      <c r="A63" s="7" t="s">
        <v>4</v>
      </c>
      <c r="B63" s="7" t="s">
        <v>5</v>
      </c>
      <c r="C63" s="7" t="s">
        <v>106</v>
      </c>
      <c r="D63" s="131">
        <v>1</v>
      </c>
      <c r="E63" s="131">
        <v>2</v>
      </c>
      <c r="F63" s="131">
        <v>3</v>
      </c>
      <c r="G63" s="8" t="s">
        <v>9</v>
      </c>
      <c r="H63" s="233"/>
      <c r="I63" s="7" t="s">
        <v>4</v>
      </c>
      <c r="J63" s="7" t="s">
        <v>106</v>
      </c>
      <c r="K63" s="233"/>
      <c r="L63" s="233"/>
      <c r="M63" s="233"/>
      <c r="N63" s="233"/>
      <c r="T63" s="68" t="s">
        <v>24</v>
      </c>
      <c r="U63" s="72" t="s">
        <v>25</v>
      </c>
      <c r="V63" s="103">
        <f>C64</f>
        <v>0</v>
      </c>
      <c r="W63" s="103">
        <v>0</v>
      </c>
      <c r="X63" s="103">
        <v>0</v>
      </c>
      <c r="Y63" s="103">
        <v>0</v>
      </c>
    </row>
    <row r="64" spans="1:25" ht="25" customHeight="1" x14ac:dyDescent="0.15">
      <c r="A64" s="68" t="s">
        <v>24</v>
      </c>
      <c r="B64" s="72" t="s">
        <v>25</v>
      </c>
      <c r="C64" s="103">
        <f>Roadmap!$U$20</f>
        <v>0</v>
      </c>
      <c r="D64" s="103">
        <f>Roadmap!$T$20</f>
        <v>0</v>
      </c>
      <c r="E64" s="103">
        <f>Roadmap!$T$24</f>
        <v>0</v>
      </c>
      <c r="F64" s="103">
        <f>Roadmap!$T$28</f>
        <v>0</v>
      </c>
      <c r="G64" s="6">
        <f t="shared" ref="G64:G75" si="15">(((((IF((C64="0+"),0.5,0)+IF((C64=1),1,0))+IF((C64="1+"),1.5,0))+IF((C64=2),2,0))+IF((C64="2+"),2.5,0))+IF((C64=3),3,0))+IF((C64="3+"),3.5,0)</f>
        <v>0</v>
      </c>
      <c r="H64" s="3"/>
      <c r="I64" s="68" t="s">
        <v>24</v>
      </c>
      <c r="J64" s="103">
        <f>AVERAGE(C64:C66)</f>
        <v>0</v>
      </c>
      <c r="K64" s="233"/>
      <c r="L64" s="233"/>
      <c r="M64" s="233"/>
      <c r="N64" s="233"/>
      <c r="T64" s="68" t="s">
        <v>24</v>
      </c>
      <c r="U64" s="72" t="s">
        <v>30</v>
      </c>
      <c r="V64" s="103">
        <f t="shared" ref="V64:V65" si="16">C65</f>
        <v>0</v>
      </c>
      <c r="W64" s="103">
        <v>0</v>
      </c>
      <c r="X64" s="103">
        <v>0</v>
      </c>
      <c r="Y64" s="103">
        <v>0</v>
      </c>
    </row>
    <row r="65" spans="1:25" ht="25" customHeight="1" x14ac:dyDescent="0.15">
      <c r="A65" s="68" t="s">
        <v>24</v>
      </c>
      <c r="B65" s="72" t="s">
        <v>30</v>
      </c>
      <c r="C65" s="103">
        <f>Roadmap!$U$31</f>
        <v>0</v>
      </c>
      <c r="D65" s="103">
        <f>Roadmap!$T$31</f>
        <v>0</v>
      </c>
      <c r="E65" s="103">
        <f>Roadmap!$T$34</f>
        <v>0</v>
      </c>
      <c r="F65" s="103">
        <f>Roadmap!$T$37</f>
        <v>0</v>
      </c>
      <c r="G65" s="6">
        <f t="shared" si="15"/>
        <v>0</v>
      </c>
      <c r="H65" s="3"/>
      <c r="I65" s="73" t="s">
        <v>38</v>
      </c>
      <c r="J65" s="103">
        <f>AVERAGE(C67:C69)</f>
        <v>0</v>
      </c>
      <c r="K65" s="233"/>
      <c r="L65" s="233"/>
      <c r="M65" s="233"/>
      <c r="N65" s="233"/>
      <c r="T65" s="68" t="s">
        <v>24</v>
      </c>
      <c r="U65" s="72" t="s">
        <v>34</v>
      </c>
      <c r="V65" s="103">
        <f t="shared" si="16"/>
        <v>0</v>
      </c>
      <c r="W65" s="103">
        <v>0</v>
      </c>
      <c r="X65" s="103">
        <v>0</v>
      </c>
      <c r="Y65" s="103">
        <v>0</v>
      </c>
    </row>
    <row r="66" spans="1:25" ht="25" customHeight="1" x14ac:dyDescent="0.15">
      <c r="A66" s="68" t="s">
        <v>24</v>
      </c>
      <c r="B66" s="72" t="s">
        <v>34</v>
      </c>
      <c r="C66" s="103">
        <f>Roadmap!$U$40</f>
        <v>0</v>
      </c>
      <c r="D66" s="103">
        <f>Roadmap!$T$40</f>
        <v>0</v>
      </c>
      <c r="E66" s="103">
        <f>Roadmap!$T$43</f>
        <v>0</v>
      </c>
      <c r="F66" s="103">
        <f>Roadmap!$T$46</f>
        <v>0</v>
      </c>
      <c r="G66" s="6">
        <f t="shared" si="15"/>
        <v>0</v>
      </c>
      <c r="H66" s="3"/>
      <c r="I66" s="78" t="s">
        <v>51</v>
      </c>
      <c r="J66" s="103">
        <f>AVERAGE(C70:C72)</f>
        <v>0</v>
      </c>
      <c r="K66" s="233"/>
      <c r="L66" s="233"/>
      <c r="M66" s="233"/>
      <c r="N66" s="233"/>
      <c r="T66" s="73" t="s">
        <v>38</v>
      </c>
      <c r="U66" s="77" t="s">
        <v>39</v>
      </c>
      <c r="V66" s="103">
        <v>0</v>
      </c>
      <c r="W66" s="103">
        <f>C67</f>
        <v>0</v>
      </c>
      <c r="X66" s="103">
        <v>0</v>
      </c>
      <c r="Y66" s="103">
        <v>0</v>
      </c>
    </row>
    <row r="67" spans="1:25" ht="25" customHeight="1" x14ac:dyDescent="0.15">
      <c r="A67" s="73" t="s">
        <v>38</v>
      </c>
      <c r="B67" s="77" t="s">
        <v>39</v>
      </c>
      <c r="C67" s="103">
        <f>Roadmap!$U$50</f>
        <v>0</v>
      </c>
      <c r="D67" s="103">
        <f>Roadmap!$T$50</f>
        <v>0</v>
      </c>
      <c r="E67" s="103">
        <f>Roadmap!$T$53</f>
        <v>0</v>
      </c>
      <c r="F67" s="103">
        <f>Roadmap!$T$57</f>
        <v>0</v>
      </c>
      <c r="G67" s="6">
        <f t="shared" si="15"/>
        <v>0</v>
      </c>
      <c r="H67" s="3"/>
      <c r="I67" s="83" t="s">
        <v>72</v>
      </c>
      <c r="J67" s="103">
        <f>AVERAGE(C73:C75)</f>
        <v>0</v>
      </c>
      <c r="K67" s="233"/>
      <c r="L67" s="233"/>
      <c r="M67" s="233"/>
      <c r="N67" s="233"/>
      <c r="T67" s="73" t="s">
        <v>38</v>
      </c>
      <c r="U67" s="77" t="s">
        <v>43</v>
      </c>
      <c r="V67" s="103">
        <v>0</v>
      </c>
      <c r="W67" s="103">
        <f t="shared" ref="W67:W68" si="17">C68</f>
        <v>0</v>
      </c>
      <c r="X67" s="103">
        <v>0</v>
      </c>
      <c r="Y67" s="103">
        <v>0</v>
      </c>
    </row>
    <row r="68" spans="1:25" ht="25" customHeight="1" x14ac:dyDescent="0.15">
      <c r="A68" s="73" t="s">
        <v>38</v>
      </c>
      <c r="B68" s="77" t="s">
        <v>43</v>
      </c>
      <c r="C68" s="103">
        <f>Roadmap!$U$60</f>
        <v>0</v>
      </c>
      <c r="D68" s="103">
        <f>Roadmap!$T$60</f>
        <v>0</v>
      </c>
      <c r="E68" s="103">
        <f>Roadmap!$T$63</f>
        <v>0</v>
      </c>
      <c r="F68" s="103">
        <f>Roadmap!$T$66</f>
        <v>0</v>
      </c>
      <c r="G68" s="6">
        <f t="shared" si="15"/>
        <v>0</v>
      </c>
      <c r="H68" s="3"/>
      <c r="I68" s="233"/>
      <c r="J68" s="233"/>
      <c r="K68" s="233"/>
      <c r="L68" s="233"/>
      <c r="M68" s="233"/>
      <c r="N68" s="233"/>
      <c r="T68" s="73" t="s">
        <v>38</v>
      </c>
      <c r="U68" s="77" t="s">
        <v>47</v>
      </c>
      <c r="V68" s="103">
        <v>0</v>
      </c>
      <c r="W68" s="103">
        <f t="shared" si="17"/>
        <v>0</v>
      </c>
      <c r="X68" s="103">
        <v>0</v>
      </c>
      <c r="Y68" s="103">
        <v>0</v>
      </c>
    </row>
    <row r="69" spans="1:25" ht="25" customHeight="1" x14ac:dyDescent="0.15">
      <c r="A69" s="73" t="s">
        <v>38</v>
      </c>
      <c r="B69" s="77" t="s">
        <v>47</v>
      </c>
      <c r="C69" s="103">
        <f>Roadmap!$U$69</f>
        <v>0</v>
      </c>
      <c r="D69" s="103">
        <f>Roadmap!$T$69</f>
        <v>0</v>
      </c>
      <c r="E69" s="103">
        <f>Roadmap!$T$72</f>
        <v>0</v>
      </c>
      <c r="F69" s="103">
        <f>Roadmap!$T$75</f>
        <v>0</v>
      </c>
      <c r="G69" s="6">
        <f t="shared" si="15"/>
        <v>0</v>
      </c>
      <c r="H69" s="3"/>
      <c r="I69" s="233"/>
      <c r="J69" s="233"/>
      <c r="K69" s="233"/>
      <c r="L69" s="233"/>
      <c r="M69" s="233"/>
      <c r="N69" s="233"/>
      <c r="T69" s="78" t="s">
        <v>51</v>
      </c>
      <c r="U69" s="82" t="s">
        <v>52</v>
      </c>
      <c r="V69" s="103">
        <v>0</v>
      </c>
      <c r="W69" s="103">
        <v>0</v>
      </c>
      <c r="X69" s="103">
        <f>C70</f>
        <v>0</v>
      </c>
      <c r="Y69" s="103">
        <v>0</v>
      </c>
    </row>
    <row r="70" spans="1:25" ht="25" customHeight="1" x14ac:dyDescent="0.15">
      <c r="A70" s="78" t="s">
        <v>51</v>
      </c>
      <c r="B70" s="82" t="s">
        <v>52</v>
      </c>
      <c r="C70" s="103">
        <f>Roadmap!$U$79</f>
        <v>0</v>
      </c>
      <c r="D70" s="103">
        <f>Roadmap!$T$79</f>
        <v>0</v>
      </c>
      <c r="E70" s="103">
        <f>Roadmap!$T$82</f>
        <v>0</v>
      </c>
      <c r="F70" s="103">
        <f>Roadmap!$T$85</f>
        <v>0</v>
      </c>
      <c r="G70" s="6">
        <f t="shared" si="15"/>
        <v>0</v>
      </c>
      <c r="H70" s="3"/>
      <c r="I70" s="233"/>
      <c r="J70" s="233"/>
      <c r="K70" s="233"/>
      <c r="L70" s="233"/>
      <c r="M70" s="233"/>
      <c r="N70" s="233"/>
      <c r="T70" s="78" t="s">
        <v>51</v>
      </c>
      <c r="U70" s="82" t="s">
        <v>80</v>
      </c>
      <c r="V70" s="103">
        <v>0</v>
      </c>
      <c r="W70" s="103">
        <v>0</v>
      </c>
      <c r="X70" s="103">
        <f t="shared" ref="X70:X71" si="18">C71</f>
        <v>0</v>
      </c>
      <c r="Y70" s="103">
        <v>0</v>
      </c>
    </row>
    <row r="71" spans="1:25" ht="25" customHeight="1" x14ac:dyDescent="0.15">
      <c r="A71" s="78" t="s">
        <v>51</v>
      </c>
      <c r="B71" s="82" t="s">
        <v>80</v>
      </c>
      <c r="C71" s="103">
        <f>Roadmap!$U$88</f>
        <v>0</v>
      </c>
      <c r="D71" s="103">
        <f>Roadmap!$T$88</f>
        <v>0</v>
      </c>
      <c r="E71" s="103">
        <f>Roadmap!$T$91</f>
        <v>0</v>
      </c>
      <c r="F71" s="103">
        <f>Roadmap!$T$94</f>
        <v>0</v>
      </c>
      <c r="G71" s="6">
        <f t="shared" si="15"/>
        <v>0</v>
      </c>
      <c r="H71" s="3"/>
      <c r="I71" s="233"/>
      <c r="J71" s="233"/>
      <c r="K71" s="233"/>
      <c r="L71" s="233"/>
      <c r="M71" s="233"/>
      <c r="N71" s="233"/>
      <c r="T71" s="78" t="s">
        <v>51</v>
      </c>
      <c r="U71" s="82" t="s">
        <v>56</v>
      </c>
      <c r="V71" s="103">
        <v>0</v>
      </c>
      <c r="W71" s="103">
        <v>0</v>
      </c>
      <c r="X71" s="103">
        <f t="shared" si="18"/>
        <v>0</v>
      </c>
      <c r="Y71" s="103">
        <v>0</v>
      </c>
    </row>
    <row r="72" spans="1:25" ht="25" customHeight="1" x14ac:dyDescent="0.15">
      <c r="A72" s="78" t="s">
        <v>51</v>
      </c>
      <c r="B72" s="82" t="s">
        <v>56</v>
      </c>
      <c r="C72" s="103">
        <f>Roadmap!$U$97</f>
        <v>0</v>
      </c>
      <c r="D72" s="103">
        <f>Roadmap!$T$97</f>
        <v>0</v>
      </c>
      <c r="E72" s="103">
        <f>Roadmap!$T$101</f>
        <v>0</v>
      </c>
      <c r="F72" s="103">
        <f>Roadmap!$T$104</f>
        <v>0</v>
      </c>
      <c r="G72" s="6">
        <f t="shared" si="15"/>
        <v>0</v>
      </c>
      <c r="H72" s="3"/>
      <c r="I72" s="233"/>
      <c r="J72" s="233"/>
      <c r="K72" s="233"/>
      <c r="L72" s="233"/>
      <c r="M72" s="233"/>
      <c r="N72" s="233"/>
      <c r="T72" s="83" t="s">
        <v>72</v>
      </c>
      <c r="U72" s="87" t="s">
        <v>73</v>
      </c>
      <c r="V72" s="103">
        <v>0</v>
      </c>
      <c r="W72" s="103">
        <v>0</v>
      </c>
      <c r="X72" s="103">
        <v>0</v>
      </c>
      <c r="Y72" s="103">
        <f>C73</f>
        <v>0</v>
      </c>
    </row>
    <row r="73" spans="1:25" ht="25" customHeight="1" x14ac:dyDescent="0.15">
      <c r="A73" s="83" t="s">
        <v>72</v>
      </c>
      <c r="B73" s="87" t="s">
        <v>73</v>
      </c>
      <c r="C73" s="103">
        <f>Roadmap!$U$108</f>
        <v>0</v>
      </c>
      <c r="D73" s="103">
        <f>Roadmap!$T$108</f>
        <v>0</v>
      </c>
      <c r="E73" s="103">
        <f>Roadmap!$T$112</f>
        <v>0</v>
      </c>
      <c r="F73" s="103">
        <f>Roadmap!$T$115</f>
        <v>0</v>
      </c>
      <c r="G73" s="6">
        <f t="shared" si="15"/>
        <v>0</v>
      </c>
      <c r="H73" s="3"/>
      <c r="I73" s="233"/>
      <c r="J73" s="233"/>
      <c r="K73" s="233"/>
      <c r="L73" s="233"/>
      <c r="M73" s="233"/>
      <c r="N73" s="233"/>
      <c r="T73" s="83" t="s">
        <v>72</v>
      </c>
      <c r="U73" s="87" t="s">
        <v>60</v>
      </c>
      <c r="V73" s="103">
        <v>0</v>
      </c>
      <c r="W73" s="103">
        <v>0</v>
      </c>
      <c r="X73" s="103">
        <v>0</v>
      </c>
      <c r="Y73" s="103">
        <f t="shared" ref="Y73:Y74" si="19">C74</f>
        <v>0</v>
      </c>
    </row>
    <row r="74" spans="1:25" ht="25" customHeight="1" x14ac:dyDescent="0.15">
      <c r="A74" s="83" t="s">
        <v>72</v>
      </c>
      <c r="B74" s="87" t="s">
        <v>60</v>
      </c>
      <c r="C74" s="103">
        <f>Roadmap!$U$118</f>
        <v>0</v>
      </c>
      <c r="D74" s="103">
        <f>Roadmap!$T$118</f>
        <v>0</v>
      </c>
      <c r="E74" s="103">
        <f>Roadmap!$T$121</f>
        <v>0</v>
      </c>
      <c r="F74" s="103">
        <f>Roadmap!$T$124</f>
        <v>0</v>
      </c>
      <c r="G74" s="6">
        <f t="shared" si="15"/>
        <v>0</v>
      </c>
      <c r="H74" s="3"/>
      <c r="I74" s="233"/>
      <c r="J74" s="233"/>
      <c r="K74" s="233"/>
      <c r="L74" s="233"/>
      <c r="M74" s="233"/>
      <c r="N74" s="233"/>
      <c r="T74" s="83" t="s">
        <v>72</v>
      </c>
      <c r="U74" s="87" t="s">
        <v>0</v>
      </c>
      <c r="V74" s="103">
        <v>0</v>
      </c>
      <c r="W74" s="103">
        <v>0</v>
      </c>
      <c r="X74" s="103">
        <v>0</v>
      </c>
      <c r="Y74" s="103">
        <f t="shared" si="19"/>
        <v>0</v>
      </c>
    </row>
    <row r="75" spans="1:25" ht="25" customHeight="1" x14ac:dyDescent="0.15">
      <c r="A75" s="83" t="s">
        <v>72</v>
      </c>
      <c r="B75" s="87" t="s">
        <v>0</v>
      </c>
      <c r="C75" s="103">
        <f>Roadmap!$U$127</f>
        <v>0</v>
      </c>
      <c r="D75" s="103">
        <f>Roadmap!$T$127</f>
        <v>0</v>
      </c>
      <c r="E75" s="103">
        <f>Roadmap!$T$130</f>
        <v>0</v>
      </c>
      <c r="F75" s="103">
        <f>Roadmap!$T$133</f>
        <v>0</v>
      </c>
      <c r="G75" s="6">
        <f t="shared" si="15"/>
        <v>0</v>
      </c>
      <c r="H75" s="3"/>
      <c r="I75" s="233"/>
      <c r="J75" s="233"/>
      <c r="K75" s="233"/>
      <c r="L75" s="233"/>
      <c r="M75" s="233"/>
      <c r="N75" s="233"/>
    </row>
    <row r="76" spans="1:25" ht="12.75" customHeight="1" x14ac:dyDescent="0.15">
      <c r="A76" s="233"/>
      <c r="B76" s="233"/>
      <c r="C76" s="233"/>
      <c r="D76" s="233"/>
      <c r="E76" s="233"/>
      <c r="F76" s="233"/>
      <c r="G76" s="233"/>
      <c r="H76" s="233"/>
      <c r="I76" s="233"/>
      <c r="J76" s="233"/>
      <c r="K76" s="233"/>
      <c r="L76" s="233"/>
      <c r="M76" s="233"/>
      <c r="N76" s="233"/>
    </row>
    <row r="77" spans="1:25" ht="12.75" customHeight="1" x14ac:dyDescent="0.15">
      <c r="A77" s="1"/>
      <c r="B77" s="1"/>
      <c r="C77" s="1"/>
      <c r="D77" s="1"/>
      <c r="E77" s="1"/>
      <c r="F77" s="1"/>
      <c r="G77" s="1"/>
      <c r="H77" s="1"/>
      <c r="I77" s="1"/>
      <c r="J77" s="1"/>
      <c r="K77" s="1"/>
      <c r="L77" s="1"/>
      <c r="M77" s="1"/>
      <c r="N77" s="1"/>
    </row>
    <row r="78" spans="1:25" ht="12.75" customHeight="1" thickBot="1" x14ac:dyDescent="0.2">
      <c r="K78" s="233"/>
    </row>
    <row r="79" spans="1:25" ht="25" customHeight="1" thickBot="1" x14ac:dyDescent="0.2">
      <c r="A79" s="409" t="s">
        <v>150</v>
      </c>
      <c r="B79" s="410"/>
      <c r="C79" s="410"/>
      <c r="D79" s="410"/>
      <c r="E79" s="410"/>
      <c r="F79" s="410"/>
      <c r="G79" s="410"/>
      <c r="H79" s="410"/>
      <c r="I79" s="410"/>
      <c r="J79" s="411"/>
      <c r="K79" s="233"/>
      <c r="L79" s="409" t="s">
        <v>150</v>
      </c>
      <c r="M79" s="410"/>
      <c r="N79" s="410"/>
      <c r="O79" s="410"/>
      <c r="P79" s="410"/>
      <c r="Q79" s="410"/>
      <c r="R79" s="411"/>
      <c r="T79" s="412" t="s">
        <v>150</v>
      </c>
      <c r="U79" s="413"/>
      <c r="V79" s="413"/>
      <c r="W79" s="413"/>
      <c r="X79" s="413"/>
      <c r="Y79" s="414"/>
    </row>
    <row r="80" spans="1:25" ht="12" customHeight="1" x14ac:dyDescent="0.15">
      <c r="A80" s="2"/>
      <c r="B80" s="2"/>
      <c r="C80" s="2"/>
      <c r="D80" s="406" t="s">
        <v>137</v>
      </c>
      <c r="E80" s="407"/>
      <c r="F80" s="408"/>
      <c r="G80" s="233"/>
      <c r="H80" s="233"/>
      <c r="I80" s="233"/>
      <c r="J80" s="233"/>
      <c r="K80" s="233"/>
      <c r="L80" s="233"/>
      <c r="M80" s="233"/>
      <c r="N80" s="233"/>
      <c r="V80" t="str">
        <f>T81</f>
        <v>Governance</v>
      </c>
      <c r="W80" t="str">
        <f>T84</f>
        <v>Construction</v>
      </c>
      <c r="X80" t="str">
        <f>T87</f>
        <v>Verification</v>
      </c>
      <c r="Y80" t="str">
        <f>T90</f>
        <v>Operations</v>
      </c>
    </row>
    <row r="81" spans="1:25" ht="25" customHeight="1" x14ac:dyDescent="0.15">
      <c r="A81" s="7" t="s">
        <v>4</v>
      </c>
      <c r="B81" s="7" t="s">
        <v>5</v>
      </c>
      <c r="C81" s="7" t="s">
        <v>106</v>
      </c>
      <c r="D81" s="131">
        <v>1</v>
      </c>
      <c r="E81" s="131">
        <v>2</v>
      </c>
      <c r="F81" s="131">
        <v>3</v>
      </c>
      <c r="G81" s="8" t="s">
        <v>9</v>
      </c>
      <c r="H81" s="233"/>
      <c r="I81" s="7" t="s">
        <v>4</v>
      </c>
      <c r="J81" s="7" t="s">
        <v>106</v>
      </c>
      <c r="K81" s="233"/>
      <c r="L81" s="233"/>
      <c r="M81" s="233"/>
      <c r="N81" s="233"/>
      <c r="T81" s="68" t="s">
        <v>24</v>
      </c>
      <c r="U81" s="72" t="s">
        <v>25</v>
      </c>
      <c r="V81" s="103">
        <f>C82</f>
        <v>0</v>
      </c>
      <c r="W81" s="103">
        <v>0</v>
      </c>
      <c r="X81" s="103">
        <v>0</v>
      </c>
      <c r="Y81" s="103">
        <v>0</v>
      </c>
    </row>
    <row r="82" spans="1:25" ht="25" customHeight="1" x14ac:dyDescent="0.15">
      <c r="A82" s="68" t="s">
        <v>24</v>
      </c>
      <c r="B82" s="72" t="s">
        <v>25</v>
      </c>
      <c r="C82" s="103">
        <f>Roadmap!$Y$20</f>
        <v>0</v>
      </c>
      <c r="D82" s="103">
        <f>Roadmap!$X$20</f>
        <v>0</v>
      </c>
      <c r="E82" s="103">
        <f>Roadmap!$X$24</f>
        <v>0</v>
      </c>
      <c r="F82" s="103">
        <f>Roadmap!$X$28</f>
        <v>0</v>
      </c>
      <c r="G82" s="6">
        <f t="shared" ref="G82:G93" si="20">(((((IF((C82="0+"),0.5,0)+IF((C82=1),1,0))+IF((C82="1+"),1.5,0))+IF((C82=2),2,0))+IF((C82="2+"),2.5,0))+IF((C82=3),3,0))+IF((C82="3+"),3.5,0)</f>
        <v>0</v>
      </c>
      <c r="H82" s="3"/>
      <c r="I82" s="68" t="s">
        <v>24</v>
      </c>
      <c r="J82" s="103">
        <f>AVERAGE(C82:C84)</f>
        <v>0</v>
      </c>
      <c r="K82" s="233"/>
      <c r="L82" s="233"/>
      <c r="M82" s="233"/>
      <c r="N82" s="233"/>
      <c r="T82" s="68" t="s">
        <v>24</v>
      </c>
      <c r="U82" s="72" t="s">
        <v>30</v>
      </c>
      <c r="V82" s="103">
        <f t="shared" ref="V82:V83" si="21">C83</f>
        <v>0</v>
      </c>
      <c r="W82" s="103">
        <v>0</v>
      </c>
      <c r="X82" s="103">
        <v>0</v>
      </c>
      <c r="Y82" s="103">
        <v>0</v>
      </c>
    </row>
    <row r="83" spans="1:25" ht="25" customHeight="1" x14ac:dyDescent="0.15">
      <c r="A83" s="68" t="s">
        <v>24</v>
      </c>
      <c r="B83" s="72" t="s">
        <v>30</v>
      </c>
      <c r="C83" s="103">
        <f>Roadmap!$Y$31</f>
        <v>0</v>
      </c>
      <c r="D83" s="103">
        <f>Roadmap!$X$31</f>
        <v>0</v>
      </c>
      <c r="E83" s="103">
        <f>Roadmap!$X$34</f>
        <v>0</v>
      </c>
      <c r="F83" s="103">
        <f>Roadmap!$X$37</f>
        <v>0</v>
      </c>
      <c r="G83" s="6">
        <f t="shared" si="20"/>
        <v>0</v>
      </c>
      <c r="H83" s="3"/>
      <c r="I83" s="73" t="s">
        <v>38</v>
      </c>
      <c r="J83" s="103">
        <f>AVERAGE(C85:C87)</f>
        <v>0</v>
      </c>
      <c r="K83" s="233"/>
      <c r="L83" s="233"/>
      <c r="M83" s="233"/>
      <c r="N83" s="233"/>
      <c r="T83" s="68" t="s">
        <v>24</v>
      </c>
      <c r="U83" s="72" t="s">
        <v>34</v>
      </c>
      <c r="V83" s="103">
        <f t="shared" si="21"/>
        <v>0</v>
      </c>
      <c r="W83" s="103">
        <v>0</v>
      </c>
      <c r="X83" s="103">
        <v>0</v>
      </c>
      <c r="Y83" s="103">
        <v>0</v>
      </c>
    </row>
    <row r="84" spans="1:25" ht="25" customHeight="1" x14ac:dyDescent="0.15">
      <c r="A84" s="68" t="s">
        <v>24</v>
      </c>
      <c r="B84" s="72" t="s">
        <v>34</v>
      </c>
      <c r="C84" s="103">
        <f>Roadmap!$Y$40</f>
        <v>0</v>
      </c>
      <c r="D84" s="103">
        <f>Roadmap!$X$40</f>
        <v>0</v>
      </c>
      <c r="E84" s="103">
        <f>Roadmap!$X$43</f>
        <v>0</v>
      </c>
      <c r="F84" s="103">
        <f>Roadmap!$X$46</f>
        <v>0</v>
      </c>
      <c r="G84" s="6">
        <f t="shared" si="20"/>
        <v>0</v>
      </c>
      <c r="H84" s="3"/>
      <c r="I84" s="78" t="s">
        <v>51</v>
      </c>
      <c r="J84" s="103">
        <f>AVERAGE(C88:C90)</f>
        <v>0</v>
      </c>
      <c r="K84" s="233"/>
      <c r="L84" s="233"/>
      <c r="M84" s="233"/>
      <c r="N84" s="233"/>
      <c r="T84" s="73" t="s">
        <v>38</v>
      </c>
      <c r="U84" s="77" t="s">
        <v>39</v>
      </c>
      <c r="V84" s="103">
        <v>0</v>
      </c>
      <c r="W84" s="103">
        <f>C85</f>
        <v>0</v>
      </c>
      <c r="X84" s="103">
        <v>0</v>
      </c>
      <c r="Y84" s="103">
        <v>0</v>
      </c>
    </row>
    <row r="85" spans="1:25" ht="25" customHeight="1" x14ac:dyDescent="0.15">
      <c r="A85" s="73" t="s">
        <v>38</v>
      </c>
      <c r="B85" s="77" t="s">
        <v>39</v>
      </c>
      <c r="C85" s="103">
        <f>Roadmap!$Y$50</f>
        <v>0</v>
      </c>
      <c r="D85" s="103">
        <f>Roadmap!$X$50</f>
        <v>0</v>
      </c>
      <c r="E85" s="103">
        <f>Roadmap!$X$53</f>
        <v>0</v>
      </c>
      <c r="F85" s="103">
        <f>Roadmap!$X$57</f>
        <v>0</v>
      </c>
      <c r="G85" s="6">
        <f t="shared" si="20"/>
        <v>0</v>
      </c>
      <c r="H85" s="3"/>
      <c r="I85" s="83" t="s">
        <v>72</v>
      </c>
      <c r="J85" s="103">
        <f>AVERAGE(C91:C93)</f>
        <v>0</v>
      </c>
      <c r="K85" s="233"/>
      <c r="L85" s="233"/>
      <c r="M85" s="233"/>
      <c r="N85" s="233"/>
      <c r="T85" s="73" t="s">
        <v>38</v>
      </c>
      <c r="U85" s="77" t="s">
        <v>43</v>
      </c>
      <c r="V85" s="103">
        <v>0</v>
      </c>
      <c r="W85" s="103">
        <f t="shared" ref="W85:W86" si="22">C86</f>
        <v>0</v>
      </c>
      <c r="X85" s="103">
        <v>0</v>
      </c>
      <c r="Y85" s="103">
        <v>0</v>
      </c>
    </row>
    <row r="86" spans="1:25" ht="25" customHeight="1" x14ac:dyDescent="0.15">
      <c r="A86" s="73" t="s">
        <v>38</v>
      </c>
      <c r="B86" s="77" t="s">
        <v>43</v>
      </c>
      <c r="C86" s="103">
        <f>Roadmap!$Y$60</f>
        <v>0</v>
      </c>
      <c r="D86" s="103">
        <f>Roadmap!$X$60</f>
        <v>0</v>
      </c>
      <c r="E86" s="103">
        <f>Roadmap!$X$63</f>
        <v>0</v>
      </c>
      <c r="F86" s="103">
        <f>Roadmap!$X$66</f>
        <v>0</v>
      </c>
      <c r="G86" s="6">
        <f t="shared" si="20"/>
        <v>0</v>
      </c>
      <c r="H86" s="3"/>
      <c r="I86" s="233"/>
      <c r="J86" s="233"/>
      <c r="K86" s="233"/>
      <c r="L86" s="233"/>
      <c r="M86" s="233"/>
      <c r="N86" s="233"/>
      <c r="T86" s="73" t="s">
        <v>38</v>
      </c>
      <c r="U86" s="77" t="s">
        <v>47</v>
      </c>
      <c r="V86" s="103">
        <v>0</v>
      </c>
      <c r="W86" s="103">
        <f t="shared" si="22"/>
        <v>0</v>
      </c>
      <c r="X86" s="103">
        <v>0</v>
      </c>
      <c r="Y86" s="103">
        <v>0</v>
      </c>
    </row>
    <row r="87" spans="1:25" ht="25" customHeight="1" x14ac:dyDescent="0.15">
      <c r="A87" s="73" t="s">
        <v>38</v>
      </c>
      <c r="B87" s="77" t="s">
        <v>47</v>
      </c>
      <c r="C87" s="103">
        <f>Roadmap!$Y$69</f>
        <v>0</v>
      </c>
      <c r="D87" s="103">
        <f>Roadmap!$X$69</f>
        <v>0</v>
      </c>
      <c r="E87" s="103">
        <f>Roadmap!$X$72</f>
        <v>0</v>
      </c>
      <c r="F87" s="103">
        <f>Roadmap!$X$75</f>
        <v>0</v>
      </c>
      <c r="G87" s="6">
        <f t="shared" si="20"/>
        <v>0</v>
      </c>
      <c r="H87" s="3"/>
      <c r="I87" s="233"/>
      <c r="J87" s="233"/>
      <c r="K87" s="233"/>
      <c r="L87" s="233"/>
      <c r="M87" s="233"/>
      <c r="N87" s="233"/>
      <c r="T87" s="78" t="s">
        <v>51</v>
      </c>
      <c r="U87" s="82" t="s">
        <v>52</v>
      </c>
      <c r="V87" s="103">
        <v>0</v>
      </c>
      <c r="W87" s="103">
        <v>0</v>
      </c>
      <c r="X87" s="103">
        <f>C88</f>
        <v>0</v>
      </c>
      <c r="Y87" s="103">
        <v>0</v>
      </c>
    </row>
    <row r="88" spans="1:25" ht="25" customHeight="1" x14ac:dyDescent="0.15">
      <c r="A88" s="78" t="s">
        <v>51</v>
      </c>
      <c r="B88" s="82" t="s">
        <v>52</v>
      </c>
      <c r="C88" s="103">
        <f>Roadmap!$Y$79</f>
        <v>0</v>
      </c>
      <c r="D88" s="103">
        <f>Roadmap!$X$79</f>
        <v>0</v>
      </c>
      <c r="E88" s="103">
        <f>Roadmap!$X$82</f>
        <v>0</v>
      </c>
      <c r="F88" s="103">
        <f>Roadmap!$X$85</f>
        <v>0</v>
      </c>
      <c r="G88" s="6">
        <f t="shared" si="20"/>
        <v>0</v>
      </c>
      <c r="H88" s="3"/>
      <c r="I88" s="233"/>
      <c r="J88" s="233"/>
      <c r="K88" s="233"/>
      <c r="L88" s="233"/>
      <c r="M88" s="233"/>
      <c r="N88" s="233"/>
      <c r="T88" s="78" t="s">
        <v>51</v>
      </c>
      <c r="U88" s="82" t="s">
        <v>80</v>
      </c>
      <c r="V88" s="103">
        <v>0</v>
      </c>
      <c r="W88" s="103">
        <v>0</v>
      </c>
      <c r="X88" s="103">
        <f t="shared" ref="X88:X89" si="23">C89</f>
        <v>0</v>
      </c>
      <c r="Y88" s="103">
        <v>0</v>
      </c>
    </row>
    <row r="89" spans="1:25" ht="25" customHeight="1" x14ac:dyDescent="0.15">
      <c r="A89" s="78" t="s">
        <v>51</v>
      </c>
      <c r="B89" s="82" t="s">
        <v>80</v>
      </c>
      <c r="C89" s="103">
        <f>Roadmap!$Y$88</f>
        <v>0</v>
      </c>
      <c r="D89" s="103">
        <f>Roadmap!$X$88</f>
        <v>0</v>
      </c>
      <c r="E89" s="103">
        <f>Roadmap!$X$91</f>
        <v>0</v>
      </c>
      <c r="F89" s="103">
        <f>Roadmap!$X$94</f>
        <v>0</v>
      </c>
      <c r="G89" s="6">
        <f t="shared" si="20"/>
        <v>0</v>
      </c>
      <c r="H89" s="3"/>
      <c r="I89" s="233"/>
      <c r="J89" s="233"/>
      <c r="K89" s="233"/>
      <c r="L89" s="233"/>
      <c r="M89" s="233"/>
      <c r="N89" s="233"/>
      <c r="T89" s="78" t="s">
        <v>51</v>
      </c>
      <c r="U89" s="82" t="s">
        <v>56</v>
      </c>
      <c r="V89" s="103">
        <v>0</v>
      </c>
      <c r="W89" s="103">
        <v>0</v>
      </c>
      <c r="X89" s="103">
        <f t="shared" si="23"/>
        <v>0</v>
      </c>
      <c r="Y89" s="103">
        <v>0</v>
      </c>
    </row>
    <row r="90" spans="1:25" ht="25" customHeight="1" x14ac:dyDescent="0.15">
      <c r="A90" s="78" t="s">
        <v>51</v>
      </c>
      <c r="B90" s="82" t="s">
        <v>56</v>
      </c>
      <c r="C90" s="103">
        <f>Roadmap!$Y$97</f>
        <v>0</v>
      </c>
      <c r="D90" s="103">
        <f>Roadmap!$X$97</f>
        <v>0</v>
      </c>
      <c r="E90" s="103">
        <f>Roadmap!$X$101</f>
        <v>0</v>
      </c>
      <c r="F90" s="103">
        <f>Roadmap!$X$104</f>
        <v>0</v>
      </c>
      <c r="G90" s="6">
        <f t="shared" si="20"/>
        <v>0</v>
      </c>
      <c r="H90" s="3"/>
      <c r="I90" s="233"/>
      <c r="J90" s="233"/>
      <c r="K90" s="233"/>
      <c r="L90" s="233"/>
      <c r="M90" s="233"/>
      <c r="N90" s="233"/>
      <c r="T90" s="83" t="s">
        <v>72</v>
      </c>
      <c r="U90" s="87" t="s">
        <v>73</v>
      </c>
      <c r="V90" s="103">
        <v>0</v>
      </c>
      <c r="W90" s="103">
        <v>0</v>
      </c>
      <c r="X90" s="103">
        <v>0</v>
      </c>
      <c r="Y90" s="103">
        <f>C91</f>
        <v>0</v>
      </c>
    </row>
    <row r="91" spans="1:25" ht="25" customHeight="1" x14ac:dyDescent="0.15">
      <c r="A91" s="83" t="s">
        <v>72</v>
      </c>
      <c r="B91" s="87" t="s">
        <v>73</v>
      </c>
      <c r="C91" s="103">
        <f>Roadmap!$Y$108</f>
        <v>0</v>
      </c>
      <c r="D91" s="103">
        <f>Roadmap!$X$108</f>
        <v>0</v>
      </c>
      <c r="E91" s="103">
        <f>Roadmap!$X$112</f>
        <v>0</v>
      </c>
      <c r="F91" s="103">
        <f>Roadmap!$X$115</f>
        <v>0</v>
      </c>
      <c r="G91" s="6">
        <f t="shared" si="20"/>
        <v>0</v>
      </c>
      <c r="H91" s="3"/>
      <c r="I91" s="233"/>
      <c r="J91" s="233"/>
      <c r="K91" s="233"/>
      <c r="L91" s="233"/>
      <c r="M91" s="233"/>
      <c r="N91" s="233"/>
      <c r="T91" s="83" t="s">
        <v>72</v>
      </c>
      <c r="U91" s="87" t="s">
        <v>60</v>
      </c>
      <c r="V91" s="103">
        <v>0</v>
      </c>
      <c r="W91" s="103">
        <v>0</v>
      </c>
      <c r="X91" s="103">
        <v>0</v>
      </c>
      <c r="Y91" s="103">
        <f t="shared" ref="Y91:Y92" si="24">C92</f>
        <v>0</v>
      </c>
    </row>
    <row r="92" spans="1:25" ht="25" customHeight="1" x14ac:dyDescent="0.15">
      <c r="A92" s="83" t="s">
        <v>72</v>
      </c>
      <c r="B92" s="87" t="s">
        <v>60</v>
      </c>
      <c r="C92" s="103">
        <f>Roadmap!$Y$118</f>
        <v>0</v>
      </c>
      <c r="D92" s="103">
        <f>Roadmap!$X$118</f>
        <v>0</v>
      </c>
      <c r="E92" s="103">
        <f>Roadmap!$X$121</f>
        <v>0</v>
      </c>
      <c r="F92" s="103">
        <f>Roadmap!$X$124</f>
        <v>0</v>
      </c>
      <c r="G92" s="6">
        <f t="shared" si="20"/>
        <v>0</v>
      </c>
      <c r="H92" s="3"/>
      <c r="I92" s="233"/>
      <c r="J92" s="233"/>
      <c r="K92" s="233"/>
      <c r="L92" s="233"/>
      <c r="M92" s="233"/>
      <c r="N92" s="233"/>
      <c r="T92" s="83" t="s">
        <v>72</v>
      </c>
      <c r="U92" s="87" t="s">
        <v>0</v>
      </c>
      <c r="V92" s="103">
        <v>0</v>
      </c>
      <c r="W92" s="103">
        <v>0</v>
      </c>
      <c r="X92" s="103">
        <v>0</v>
      </c>
      <c r="Y92" s="103">
        <f t="shared" si="24"/>
        <v>0</v>
      </c>
    </row>
    <row r="93" spans="1:25" ht="25" customHeight="1" x14ac:dyDescent="0.15">
      <c r="A93" s="83" t="s">
        <v>72</v>
      </c>
      <c r="B93" s="87" t="s">
        <v>0</v>
      </c>
      <c r="C93" s="103">
        <f>Roadmap!$Y$127</f>
        <v>0</v>
      </c>
      <c r="D93" s="103">
        <f>Roadmap!$X$127</f>
        <v>0</v>
      </c>
      <c r="E93" s="103">
        <f>Roadmap!$X$130</f>
        <v>0</v>
      </c>
      <c r="F93" s="103">
        <f>Roadmap!$X$133</f>
        <v>0</v>
      </c>
      <c r="G93" s="6">
        <f t="shared" si="20"/>
        <v>0</v>
      </c>
      <c r="H93" s="3"/>
      <c r="I93" s="233"/>
      <c r="J93" s="233"/>
      <c r="K93" s="233"/>
      <c r="L93" s="233"/>
      <c r="M93" s="233"/>
      <c r="N93" s="233"/>
    </row>
    <row r="94" spans="1:25" ht="12.75" customHeight="1" x14ac:dyDescent="0.15">
      <c r="A94" s="233"/>
      <c r="B94" s="233"/>
      <c r="C94" s="233"/>
      <c r="D94" s="233"/>
      <c r="E94" s="233"/>
      <c r="F94" s="233"/>
      <c r="G94" s="233"/>
      <c r="H94" s="233"/>
      <c r="I94" s="233"/>
      <c r="J94" s="233"/>
      <c r="K94" s="233"/>
      <c r="L94" s="233"/>
      <c r="M94" s="233"/>
      <c r="N94" s="233"/>
    </row>
    <row r="95" spans="1:25" ht="12.75" customHeight="1" x14ac:dyDescent="0.15">
      <c r="A95" s="1"/>
      <c r="B95" s="1"/>
      <c r="C95" s="1"/>
      <c r="D95" s="1"/>
      <c r="E95" s="1"/>
      <c r="F95" s="1"/>
      <c r="G95" s="1"/>
      <c r="H95" s="1"/>
      <c r="I95" s="1"/>
      <c r="J95" s="1"/>
      <c r="K95" s="1"/>
      <c r="L95" s="1"/>
      <c r="M95" s="1"/>
      <c r="N95" s="1"/>
    </row>
    <row r="96" spans="1:25" ht="12.75" customHeight="1" x14ac:dyDescent="0.15">
      <c r="A96" s="1"/>
      <c r="B96" s="1"/>
      <c r="C96" s="1"/>
      <c r="D96" s="1"/>
      <c r="E96" s="1"/>
      <c r="F96" s="1"/>
      <c r="G96" s="1"/>
      <c r="H96" s="1"/>
      <c r="I96" s="1"/>
      <c r="J96" s="1"/>
      <c r="K96" s="1"/>
      <c r="L96" s="1"/>
      <c r="M96" s="1"/>
      <c r="N96" s="1"/>
    </row>
    <row r="97" spans="1:14" ht="12.75" customHeight="1" x14ac:dyDescent="0.15">
      <c r="A97" s="1"/>
      <c r="B97" s="1"/>
      <c r="C97" s="1"/>
      <c r="D97" s="1"/>
      <c r="E97" s="1"/>
      <c r="F97" s="1"/>
      <c r="G97" s="1"/>
      <c r="H97" s="1"/>
      <c r="I97" s="1"/>
      <c r="J97" s="1"/>
      <c r="K97" s="1"/>
      <c r="L97" s="1"/>
      <c r="M97" s="1"/>
      <c r="N97" s="1"/>
    </row>
    <row r="98" spans="1:14" ht="12.75" customHeight="1" x14ac:dyDescent="0.15">
      <c r="A98" s="1"/>
      <c r="B98" s="1"/>
      <c r="C98" s="1"/>
      <c r="D98" s="1"/>
      <c r="E98" s="1"/>
      <c r="F98" s="1"/>
      <c r="G98" s="1"/>
      <c r="H98" s="1"/>
      <c r="I98" s="1"/>
      <c r="J98" s="1"/>
      <c r="K98" s="1"/>
      <c r="L98" s="1"/>
      <c r="M98" s="1"/>
      <c r="N98" s="1"/>
    </row>
    <row r="99" spans="1:14" ht="12.75" customHeight="1" x14ac:dyDescent="0.15">
      <c r="A99" s="1"/>
      <c r="B99" s="1"/>
      <c r="C99" s="1"/>
      <c r="D99" s="1"/>
      <c r="E99" s="1"/>
      <c r="F99" s="1"/>
      <c r="G99" s="1"/>
      <c r="H99" s="1"/>
      <c r="I99" s="1"/>
      <c r="J99" s="1"/>
      <c r="K99" s="1"/>
      <c r="L99" s="1"/>
      <c r="M99" s="1"/>
      <c r="N99" s="1"/>
    </row>
    <row r="100" spans="1:14" ht="12.75" customHeight="1" x14ac:dyDescent="0.15">
      <c r="A100" s="1"/>
      <c r="B100" s="1"/>
      <c r="C100" s="1"/>
      <c r="D100" s="1"/>
      <c r="E100" s="1"/>
      <c r="F100" s="1"/>
      <c r="G100" s="1"/>
      <c r="H100" s="1"/>
      <c r="I100" s="1"/>
      <c r="J100" s="1"/>
      <c r="K100" s="1"/>
      <c r="L100" s="1"/>
      <c r="M100" s="1"/>
      <c r="N100" s="1"/>
    </row>
    <row r="101" spans="1:14" ht="12.75" customHeight="1" x14ac:dyDescent="0.15">
      <c r="A101" s="1"/>
      <c r="B101" s="1"/>
      <c r="C101" s="1"/>
      <c r="D101" s="1"/>
      <c r="E101" s="1"/>
      <c r="F101" s="1"/>
      <c r="G101" s="1"/>
      <c r="H101" s="1"/>
      <c r="I101" s="1"/>
      <c r="J101" s="1"/>
      <c r="K101" s="1"/>
      <c r="L101" s="1"/>
      <c r="M101" s="1"/>
      <c r="N101" s="1"/>
    </row>
    <row r="102" spans="1:14" ht="12.75" customHeight="1" x14ac:dyDescent="0.15">
      <c r="A102" s="1"/>
      <c r="B102" s="1"/>
      <c r="C102" s="1"/>
      <c r="D102" s="1"/>
      <c r="E102" s="1"/>
      <c r="F102" s="1"/>
      <c r="G102" s="1"/>
      <c r="H102" s="1"/>
      <c r="I102" s="1"/>
      <c r="J102" s="1"/>
      <c r="K102" s="1"/>
      <c r="L102" s="1"/>
      <c r="M102" s="1"/>
      <c r="N102" s="1"/>
    </row>
    <row r="103" spans="1:14" ht="12.75" customHeight="1" x14ac:dyDescent="0.15">
      <c r="A103" s="1"/>
      <c r="B103" s="1"/>
      <c r="C103" s="1"/>
      <c r="D103" s="1"/>
      <c r="E103" s="1"/>
      <c r="F103" s="1"/>
      <c r="G103" s="1"/>
      <c r="H103" s="1"/>
      <c r="I103" s="1"/>
      <c r="J103" s="1"/>
      <c r="K103" s="1"/>
      <c r="L103" s="1"/>
      <c r="M103" s="1"/>
      <c r="N103" s="1"/>
    </row>
    <row r="104" spans="1:14" ht="12.75" customHeight="1" x14ac:dyDescent="0.15">
      <c r="A104" s="1"/>
      <c r="B104" s="1"/>
      <c r="C104" s="1"/>
      <c r="D104" s="1"/>
      <c r="E104" s="1"/>
      <c r="F104" s="1"/>
      <c r="G104" s="1"/>
      <c r="H104" s="1"/>
      <c r="I104" s="1"/>
      <c r="J104" s="1"/>
      <c r="K104" s="1"/>
      <c r="L104" s="1"/>
      <c r="M104" s="1"/>
      <c r="N104" s="1"/>
    </row>
    <row r="105" spans="1:14" ht="12.75" customHeight="1" x14ac:dyDescent="0.15">
      <c r="A105" s="1"/>
      <c r="B105" s="1"/>
      <c r="C105" s="1"/>
      <c r="D105" s="1"/>
      <c r="E105" s="1"/>
      <c r="F105" s="1"/>
      <c r="G105" s="1"/>
      <c r="H105" s="1"/>
      <c r="I105" s="1"/>
      <c r="J105" s="1"/>
      <c r="K105" s="1"/>
      <c r="L105" s="1"/>
      <c r="M105" s="1"/>
      <c r="N105" s="1"/>
    </row>
    <row r="106" spans="1:14" ht="12.75" customHeight="1" x14ac:dyDescent="0.15">
      <c r="A106" s="1"/>
      <c r="B106" s="1"/>
      <c r="C106" s="1"/>
      <c r="D106" s="1"/>
      <c r="E106" s="1"/>
      <c r="F106" s="1"/>
      <c r="G106" s="1"/>
      <c r="H106" s="1"/>
      <c r="I106" s="1"/>
      <c r="J106" s="1"/>
      <c r="K106" s="1"/>
      <c r="L106" s="1"/>
      <c r="M106" s="1"/>
      <c r="N106" s="1"/>
    </row>
    <row r="107" spans="1:14" ht="12.75" customHeight="1" x14ac:dyDescent="0.15">
      <c r="A107" s="1"/>
      <c r="B107" s="1"/>
      <c r="C107" s="1"/>
      <c r="D107" s="1"/>
      <c r="E107" s="1"/>
      <c r="F107" s="1"/>
      <c r="G107" s="1"/>
      <c r="H107" s="1"/>
      <c r="I107" s="1"/>
      <c r="J107" s="1"/>
      <c r="K107" s="1"/>
      <c r="L107" s="1"/>
      <c r="M107" s="1"/>
      <c r="N107" s="1"/>
    </row>
    <row r="108" spans="1:14" ht="12.75" customHeight="1" x14ac:dyDescent="0.15">
      <c r="A108" s="1"/>
      <c r="B108" s="1"/>
      <c r="C108" s="1"/>
      <c r="D108" s="1"/>
      <c r="E108" s="1"/>
      <c r="F108" s="1"/>
      <c r="G108" s="1"/>
      <c r="H108" s="1"/>
      <c r="I108" s="1"/>
      <c r="J108" s="1"/>
      <c r="K108" s="1"/>
      <c r="L108" s="1"/>
      <c r="M108" s="1"/>
      <c r="N108" s="1"/>
    </row>
    <row r="109" spans="1:14" ht="12.75" customHeight="1" x14ac:dyDescent="0.15">
      <c r="A109" s="1"/>
      <c r="B109" s="1"/>
      <c r="C109" s="1"/>
      <c r="D109" s="1"/>
      <c r="E109" s="1"/>
      <c r="F109" s="1"/>
      <c r="G109" s="1"/>
      <c r="H109" s="1"/>
      <c r="I109" s="1"/>
      <c r="J109" s="1"/>
      <c r="K109" s="1"/>
      <c r="L109" s="1"/>
      <c r="M109" s="1"/>
      <c r="N109" s="1"/>
    </row>
    <row r="110" spans="1:14" ht="12.75" customHeight="1" x14ac:dyDescent="0.15">
      <c r="A110" s="1"/>
      <c r="B110" s="1"/>
      <c r="C110" s="1"/>
      <c r="D110" s="1"/>
      <c r="E110" s="1"/>
      <c r="F110" s="1"/>
      <c r="G110" s="1"/>
      <c r="H110" s="1"/>
      <c r="I110" s="1"/>
      <c r="J110" s="1"/>
      <c r="K110" s="1"/>
      <c r="L110" s="1"/>
      <c r="M110" s="1"/>
      <c r="N110" s="1"/>
    </row>
    <row r="111" spans="1:14" ht="12.75" customHeight="1" x14ac:dyDescent="0.15">
      <c r="A111" s="1"/>
      <c r="B111" s="1"/>
      <c r="C111" s="1"/>
      <c r="D111" s="1"/>
      <c r="E111" s="1"/>
      <c r="F111" s="1"/>
      <c r="G111" s="1"/>
      <c r="H111" s="1"/>
      <c r="I111" s="1"/>
      <c r="J111" s="1"/>
      <c r="K111" s="1"/>
      <c r="L111" s="1"/>
      <c r="M111" s="1"/>
      <c r="N111" s="1"/>
    </row>
    <row r="112" spans="1:14" ht="12.75" customHeight="1" x14ac:dyDescent="0.15">
      <c r="A112" s="1"/>
      <c r="B112" s="1"/>
      <c r="C112" s="1"/>
      <c r="D112" s="1"/>
      <c r="E112" s="1"/>
      <c r="F112" s="1"/>
      <c r="G112" s="1"/>
      <c r="H112" s="1"/>
      <c r="I112" s="1"/>
      <c r="J112" s="1"/>
      <c r="K112" s="1"/>
      <c r="L112" s="1"/>
      <c r="M112" s="1"/>
      <c r="N112" s="1"/>
    </row>
    <row r="113" spans="1:14" ht="12.75" customHeight="1" x14ac:dyDescent="0.15">
      <c r="A113" s="1"/>
      <c r="B113" s="1"/>
      <c r="C113" s="1"/>
      <c r="D113" s="1"/>
      <c r="E113" s="1"/>
      <c r="F113" s="1"/>
      <c r="G113" s="1"/>
      <c r="H113" s="1"/>
      <c r="I113" s="1"/>
      <c r="J113" s="1"/>
      <c r="K113" s="1"/>
      <c r="L113" s="1"/>
      <c r="M113" s="1"/>
      <c r="N113" s="1"/>
    </row>
    <row r="114" spans="1:14" ht="12.75" customHeight="1" x14ac:dyDescent="0.15">
      <c r="A114" s="1"/>
      <c r="B114" s="1"/>
      <c r="C114" s="1"/>
      <c r="D114" s="1"/>
      <c r="E114" s="1"/>
      <c r="F114" s="1"/>
      <c r="G114" s="1"/>
      <c r="H114" s="1"/>
      <c r="I114" s="1"/>
      <c r="J114" s="1"/>
      <c r="K114" s="1"/>
      <c r="L114" s="1"/>
      <c r="M114" s="1"/>
      <c r="N114" s="1"/>
    </row>
    <row r="115" spans="1:14" ht="12.75" customHeight="1" x14ac:dyDescent="0.15">
      <c r="A115" s="1"/>
      <c r="B115" s="1"/>
      <c r="C115" s="1"/>
      <c r="D115" s="1"/>
      <c r="E115" s="1"/>
      <c r="F115" s="1"/>
      <c r="G115" s="1"/>
      <c r="H115" s="1"/>
      <c r="I115" s="1"/>
      <c r="J115" s="1"/>
      <c r="K115" s="1"/>
      <c r="L115" s="1"/>
      <c r="M115" s="1"/>
      <c r="N115" s="1"/>
    </row>
    <row r="116" spans="1:14" ht="12.75" customHeight="1" x14ac:dyDescent="0.15">
      <c r="A116" s="1"/>
      <c r="B116" s="1"/>
      <c r="C116" s="1"/>
      <c r="D116" s="1"/>
      <c r="E116" s="1"/>
      <c r="F116" s="1"/>
      <c r="G116" s="1"/>
      <c r="H116" s="1"/>
      <c r="I116" s="1"/>
      <c r="J116" s="1"/>
      <c r="K116" s="1"/>
      <c r="L116" s="1"/>
      <c r="M116" s="1"/>
      <c r="N116" s="1"/>
    </row>
    <row r="117" spans="1:14" ht="12.75" customHeight="1" x14ac:dyDescent="0.15">
      <c r="A117" s="1"/>
      <c r="B117" s="1"/>
      <c r="C117" s="1"/>
      <c r="D117" s="1"/>
      <c r="E117" s="1"/>
      <c r="F117" s="1"/>
      <c r="G117" s="1"/>
      <c r="H117" s="1"/>
      <c r="I117" s="1"/>
      <c r="J117" s="1"/>
      <c r="K117" s="1"/>
      <c r="L117" s="1"/>
      <c r="M117" s="1"/>
      <c r="N117" s="1"/>
    </row>
    <row r="118" spans="1:14" ht="12.75" customHeight="1" x14ac:dyDescent="0.15">
      <c r="A118" s="1"/>
      <c r="B118" s="1"/>
      <c r="C118" s="1"/>
      <c r="D118" s="1"/>
      <c r="E118" s="1"/>
      <c r="F118" s="1"/>
      <c r="G118" s="1"/>
      <c r="H118" s="1"/>
      <c r="I118" s="1"/>
      <c r="J118" s="1"/>
      <c r="K118" s="1"/>
      <c r="L118" s="1"/>
      <c r="M118" s="1"/>
      <c r="N118" s="1"/>
    </row>
    <row r="119" spans="1:14" ht="12.75" customHeight="1" x14ac:dyDescent="0.15">
      <c r="A119" s="1"/>
      <c r="B119" s="1"/>
      <c r="C119" s="1"/>
      <c r="D119" s="1"/>
      <c r="E119" s="1"/>
      <c r="F119" s="1"/>
      <c r="G119" s="1"/>
      <c r="H119" s="1"/>
      <c r="I119" s="1"/>
      <c r="J119" s="1"/>
      <c r="K119" s="1"/>
      <c r="L119" s="1"/>
      <c r="M119" s="1"/>
      <c r="N119" s="1"/>
    </row>
    <row r="120" spans="1:14" ht="12.75" customHeight="1" x14ac:dyDescent="0.15">
      <c r="A120" s="1"/>
      <c r="B120" s="1"/>
      <c r="C120" s="1"/>
      <c r="D120" s="1"/>
      <c r="E120" s="1"/>
      <c r="F120" s="1"/>
      <c r="G120" s="1"/>
      <c r="H120" s="1"/>
      <c r="I120" s="1"/>
      <c r="J120" s="1"/>
      <c r="K120" s="1"/>
      <c r="L120" s="1"/>
      <c r="M120" s="1"/>
      <c r="N120" s="1"/>
    </row>
    <row r="121" spans="1:14" ht="12.75" customHeight="1" x14ac:dyDescent="0.15">
      <c r="A121" s="1"/>
      <c r="B121" s="1"/>
      <c r="C121" s="1"/>
      <c r="D121" s="1"/>
      <c r="E121" s="1"/>
      <c r="F121" s="1"/>
      <c r="G121" s="1"/>
      <c r="H121" s="1"/>
      <c r="I121" s="1"/>
      <c r="J121" s="1"/>
      <c r="K121" s="1"/>
      <c r="L121" s="1"/>
      <c r="M121" s="1"/>
      <c r="N121" s="1"/>
    </row>
    <row r="122" spans="1:14" ht="12.75" customHeight="1" x14ac:dyDescent="0.15">
      <c r="A122" s="1"/>
      <c r="B122" s="1"/>
      <c r="C122" s="1"/>
      <c r="D122" s="1"/>
      <c r="E122" s="1"/>
      <c r="F122" s="1"/>
      <c r="G122" s="1"/>
      <c r="H122" s="1"/>
      <c r="I122" s="1"/>
      <c r="J122" s="1"/>
      <c r="K122" s="1"/>
      <c r="L122" s="1"/>
      <c r="M122" s="1"/>
      <c r="N122" s="1"/>
    </row>
    <row r="123" spans="1:14" ht="12.75" customHeight="1" x14ac:dyDescent="0.15">
      <c r="A123" s="1"/>
      <c r="B123" s="1"/>
      <c r="C123" s="1"/>
      <c r="D123" s="1"/>
      <c r="E123" s="1"/>
      <c r="F123" s="1"/>
      <c r="G123" s="1"/>
      <c r="H123" s="1"/>
      <c r="I123" s="1"/>
      <c r="J123" s="1"/>
      <c r="K123" s="1"/>
      <c r="L123" s="1"/>
      <c r="M123" s="1"/>
      <c r="N123" s="1"/>
    </row>
    <row r="124" spans="1:14" ht="12.75" customHeight="1" x14ac:dyDescent="0.15">
      <c r="A124" s="1"/>
      <c r="B124" s="1"/>
      <c r="C124" s="1"/>
      <c r="D124" s="1"/>
      <c r="E124" s="1"/>
      <c r="F124" s="1"/>
      <c r="G124" s="1"/>
      <c r="H124" s="1"/>
      <c r="I124" s="1"/>
      <c r="J124" s="1"/>
      <c r="K124" s="1"/>
      <c r="L124" s="1"/>
      <c r="M124" s="1"/>
      <c r="N124" s="1"/>
    </row>
    <row r="125" spans="1:14" ht="12.75" customHeight="1" x14ac:dyDescent="0.15">
      <c r="A125" s="1"/>
      <c r="B125" s="1"/>
      <c r="C125" s="1"/>
      <c r="D125" s="1"/>
      <c r="E125" s="1"/>
      <c r="F125" s="1"/>
      <c r="G125" s="1"/>
      <c r="H125" s="1"/>
      <c r="I125" s="1"/>
      <c r="J125" s="1"/>
      <c r="K125" s="1"/>
      <c r="L125" s="1"/>
      <c r="M125" s="1"/>
      <c r="N125" s="1"/>
    </row>
    <row r="126" spans="1:14" ht="12.75" customHeight="1" x14ac:dyDescent="0.15">
      <c r="A126" s="1"/>
      <c r="B126" s="1"/>
      <c r="C126" s="1"/>
      <c r="D126" s="1"/>
      <c r="E126" s="1"/>
      <c r="F126" s="1"/>
      <c r="G126" s="1"/>
      <c r="H126" s="1"/>
      <c r="I126" s="1"/>
      <c r="J126" s="1"/>
      <c r="K126" s="1"/>
      <c r="L126" s="1"/>
      <c r="M126" s="1"/>
      <c r="N126" s="1"/>
    </row>
    <row r="127" spans="1:14" ht="12.75" customHeight="1" x14ac:dyDescent="0.15">
      <c r="A127" s="1"/>
      <c r="B127" s="1"/>
      <c r="C127" s="1"/>
      <c r="D127" s="1"/>
      <c r="E127" s="1"/>
      <c r="F127" s="1"/>
      <c r="G127" s="1"/>
      <c r="H127" s="1"/>
      <c r="I127" s="1"/>
      <c r="J127" s="1"/>
      <c r="K127" s="1"/>
      <c r="L127" s="1"/>
      <c r="M127" s="1"/>
      <c r="N127" s="1"/>
    </row>
    <row r="128" spans="1:14" ht="12.75" customHeight="1" x14ac:dyDescent="0.15">
      <c r="A128" s="1"/>
      <c r="B128" s="1"/>
      <c r="C128" s="1"/>
      <c r="D128" s="1"/>
      <c r="E128" s="1"/>
      <c r="F128" s="1"/>
      <c r="G128" s="1"/>
      <c r="H128" s="1"/>
      <c r="I128" s="1"/>
      <c r="J128" s="1"/>
      <c r="K128" s="1"/>
      <c r="L128" s="1"/>
      <c r="M128" s="1"/>
      <c r="N128" s="1"/>
    </row>
    <row r="129" spans="1:14" ht="12.75" customHeight="1" x14ac:dyDescent="0.15">
      <c r="A129" s="1"/>
      <c r="B129" s="1"/>
      <c r="C129" s="1"/>
      <c r="D129" s="1"/>
      <c r="E129" s="1"/>
      <c r="F129" s="1"/>
      <c r="G129" s="1"/>
      <c r="H129" s="1"/>
      <c r="I129" s="1"/>
      <c r="J129" s="1"/>
      <c r="K129" s="1"/>
      <c r="L129" s="1"/>
      <c r="M129" s="1"/>
      <c r="N129" s="1"/>
    </row>
  </sheetData>
  <customSheetViews>
    <customSheetView guid="{9846C184-355C-EA4B-8C35-9561D1AEE31C}" hiddenColumns="1">
      <selection activeCell="J19" sqref="I15:J19"/>
      <pageMargins left="0.75" right="0.75" top="1" bottom="1" header="0.5" footer="0.5"/>
      <pageSetup paperSize="9" scale="10" firstPageNumber="0" fitToWidth="0" fitToHeight="0" orientation="portrait" horizontalDpi="300" verticalDpi="300" r:id="rId1"/>
      <headerFooter alignWithMargins="0"/>
    </customSheetView>
  </customSheetViews>
  <mergeCells count="32">
    <mergeCell ref="A61:J61"/>
    <mergeCell ref="L61:R61"/>
    <mergeCell ref="T61:Y61"/>
    <mergeCell ref="A1:J1"/>
    <mergeCell ref="A9:B9"/>
    <mergeCell ref="A7:B7"/>
    <mergeCell ref="C7:F7"/>
    <mergeCell ref="A8:B8"/>
    <mergeCell ref="C8:F8"/>
    <mergeCell ref="A5:B5"/>
    <mergeCell ref="C5:F5"/>
    <mergeCell ref="A6:B6"/>
    <mergeCell ref="C6:F6"/>
    <mergeCell ref="A3:K3"/>
    <mergeCell ref="C9:I9"/>
    <mergeCell ref="T11:Y11"/>
    <mergeCell ref="T45:Y45"/>
    <mergeCell ref="D46:F46"/>
    <mergeCell ref="L11:R11"/>
    <mergeCell ref="A11:J11"/>
    <mergeCell ref="A45:J45"/>
    <mergeCell ref="L45:R45"/>
    <mergeCell ref="D12:F12"/>
    <mergeCell ref="A28:J28"/>
    <mergeCell ref="L28:R28"/>
    <mergeCell ref="T28:Y28"/>
    <mergeCell ref="D29:F29"/>
    <mergeCell ref="D62:F62"/>
    <mergeCell ref="A79:J79"/>
    <mergeCell ref="L79:R79"/>
    <mergeCell ref="T79:Y79"/>
    <mergeCell ref="D80:F80"/>
  </mergeCells>
  <phoneticPr fontId="0" type="noConversion"/>
  <conditionalFormatting sqref="D14:F16">
    <cfRule type="dataBar" priority="132">
      <dataBar>
        <cfvo type="num" val="0"/>
        <cfvo type="num" val="1"/>
        <color rgb="FF3290C4"/>
      </dataBar>
      <extLst>
        <ext xmlns:x14="http://schemas.microsoft.com/office/spreadsheetml/2009/9/main" uri="{B025F937-C7B1-47D3-B67F-A62EFF666E3E}">
          <x14:id>{79CE7F1A-C8E1-41C8-A0A4-F72252D5AA2B}</x14:id>
        </ext>
      </extLst>
    </cfRule>
  </conditionalFormatting>
  <conditionalFormatting sqref="D17:F19">
    <cfRule type="dataBar" priority="114">
      <dataBar>
        <cfvo type="num" val="0"/>
        <cfvo type="num" val="1"/>
        <color rgb="FFB75727"/>
      </dataBar>
      <extLst>
        <ext xmlns:x14="http://schemas.microsoft.com/office/spreadsheetml/2009/9/main" uri="{B025F937-C7B1-47D3-B67F-A62EFF666E3E}">
          <x14:id>{419B2FB9-07AD-4D2D-B5F0-A6E44F5AEAB5}</x14:id>
        </ext>
      </extLst>
    </cfRule>
  </conditionalFormatting>
  <conditionalFormatting sqref="D20:F22">
    <cfRule type="dataBar" priority="61">
      <dataBar>
        <cfvo type="num" val="0"/>
        <cfvo type="num" val="1"/>
        <color rgb="FF37793E"/>
      </dataBar>
      <extLst>
        <ext xmlns:x14="http://schemas.microsoft.com/office/spreadsheetml/2009/9/main" uri="{B025F937-C7B1-47D3-B67F-A62EFF666E3E}">
          <x14:id>{20C4EB4D-A5AD-5B40-9489-D8791BDABC8F}</x14:id>
        </ext>
      </extLst>
    </cfRule>
  </conditionalFormatting>
  <conditionalFormatting sqref="D23:F25">
    <cfRule type="dataBar" priority="60">
      <dataBar>
        <cfvo type="num" val="0"/>
        <cfvo type="num" val="1"/>
        <color rgb="FF791F17"/>
      </dataBar>
      <extLst>
        <ext xmlns:x14="http://schemas.microsoft.com/office/spreadsheetml/2009/9/main" uri="{B025F937-C7B1-47D3-B67F-A62EFF666E3E}">
          <x14:id>{8322E5C4-46BB-BF4D-9B20-595101F87A3E}</x14:id>
        </ext>
      </extLst>
    </cfRule>
  </conditionalFormatting>
  <conditionalFormatting sqref="J14">
    <cfRule type="dataBar" priority="59">
      <dataBar>
        <cfvo type="num" val="0"/>
        <cfvo type="num" val="3"/>
        <color rgb="FF3290C4"/>
      </dataBar>
      <extLst>
        <ext xmlns:x14="http://schemas.microsoft.com/office/spreadsheetml/2009/9/main" uri="{B025F937-C7B1-47D3-B67F-A62EFF666E3E}">
          <x14:id>{CE1A1EA3-9DDD-9A41-A8BF-B6CBFDEDF38D}</x14:id>
        </ext>
      </extLst>
    </cfRule>
  </conditionalFormatting>
  <conditionalFormatting sqref="J15">
    <cfRule type="dataBar" priority="58">
      <dataBar>
        <cfvo type="num" val="0"/>
        <cfvo type="num" val="3"/>
        <color rgb="FFB75727"/>
      </dataBar>
      <extLst>
        <ext xmlns:x14="http://schemas.microsoft.com/office/spreadsheetml/2009/9/main" uri="{B025F937-C7B1-47D3-B67F-A62EFF666E3E}">
          <x14:id>{6A17C54A-5208-1544-967C-21EA558BB5A2}</x14:id>
        </ext>
      </extLst>
    </cfRule>
  </conditionalFormatting>
  <conditionalFormatting sqref="J16">
    <cfRule type="dataBar" priority="57">
      <dataBar>
        <cfvo type="num" val="0"/>
        <cfvo type="num" val="3"/>
        <color rgb="FF37793E"/>
      </dataBar>
      <extLst>
        <ext xmlns:x14="http://schemas.microsoft.com/office/spreadsheetml/2009/9/main" uri="{B025F937-C7B1-47D3-B67F-A62EFF666E3E}">
          <x14:id>{C8FF7E97-48C1-ED40-96CA-0E0620DAF410}</x14:id>
        </ext>
      </extLst>
    </cfRule>
  </conditionalFormatting>
  <conditionalFormatting sqref="J17">
    <cfRule type="dataBar" priority="56">
      <dataBar>
        <cfvo type="num" val="0"/>
        <cfvo type="num" val="3"/>
        <color rgb="FF791F17"/>
      </dataBar>
      <extLst>
        <ext xmlns:x14="http://schemas.microsoft.com/office/spreadsheetml/2009/9/main" uri="{B025F937-C7B1-47D3-B67F-A62EFF666E3E}">
          <x14:id>{C16D4B20-5426-CD42-9383-E916F6FBDC0F}</x14:id>
        </ext>
      </extLst>
    </cfRule>
  </conditionalFormatting>
  <conditionalFormatting sqref="J51">
    <cfRule type="dataBar" priority="48">
      <dataBar>
        <cfvo type="num" val="0"/>
        <cfvo type="num" val="3"/>
        <color rgb="FF791F17"/>
      </dataBar>
      <extLst>
        <ext xmlns:x14="http://schemas.microsoft.com/office/spreadsheetml/2009/9/main" uri="{B025F937-C7B1-47D3-B67F-A62EFF666E3E}">
          <x14:id>{49C7EFC2-897D-AD47-928F-9B887F9C0BE0}</x14:id>
        </ext>
      </extLst>
    </cfRule>
  </conditionalFormatting>
  <conditionalFormatting sqref="J48">
    <cfRule type="dataBar" priority="51">
      <dataBar>
        <cfvo type="num" val="0"/>
        <cfvo type="num" val="3"/>
        <color rgb="FF3290C4"/>
      </dataBar>
      <extLst>
        <ext xmlns:x14="http://schemas.microsoft.com/office/spreadsheetml/2009/9/main" uri="{B025F937-C7B1-47D3-B67F-A62EFF666E3E}">
          <x14:id>{BE0ADACB-7C07-E946-A03C-353C0840FCB2}</x14:id>
        </ext>
      </extLst>
    </cfRule>
  </conditionalFormatting>
  <conditionalFormatting sqref="J49">
    <cfRule type="dataBar" priority="50">
      <dataBar>
        <cfvo type="num" val="0"/>
        <cfvo type="num" val="3"/>
        <color rgb="FFB75727"/>
      </dataBar>
      <extLst>
        <ext xmlns:x14="http://schemas.microsoft.com/office/spreadsheetml/2009/9/main" uri="{B025F937-C7B1-47D3-B67F-A62EFF666E3E}">
          <x14:id>{FF526879-68DB-8547-A969-530B664BD833}</x14:id>
        </ext>
      </extLst>
    </cfRule>
  </conditionalFormatting>
  <conditionalFormatting sqref="J50">
    <cfRule type="dataBar" priority="49">
      <dataBar>
        <cfvo type="num" val="0"/>
        <cfvo type="num" val="3"/>
        <color rgb="FF37793E"/>
      </dataBar>
      <extLst>
        <ext xmlns:x14="http://schemas.microsoft.com/office/spreadsheetml/2009/9/main" uri="{B025F937-C7B1-47D3-B67F-A62EFF666E3E}">
          <x14:id>{146CD89A-4B22-DF45-8F72-F26FB226DE6C}</x14:id>
        </ext>
      </extLst>
    </cfRule>
  </conditionalFormatting>
  <conditionalFormatting sqref="J34">
    <cfRule type="dataBar" priority="40">
      <dataBar>
        <cfvo type="num" val="0"/>
        <cfvo type="num" val="3"/>
        <color rgb="FF791F17"/>
      </dataBar>
      <extLst>
        <ext xmlns:x14="http://schemas.microsoft.com/office/spreadsheetml/2009/9/main" uri="{B025F937-C7B1-47D3-B67F-A62EFF666E3E}">
          <x14:id>{26A43B56-10E3-3C4C-9D7A-B0EC25EEEECB}</x14:id>
        </ext>
      </extLst>
    </cfRule>
  </conditionalFormatting>
  <conditionalFormatting sqref="D31:F33">
    <cfRule type="dataBar" priority="47">
      <dataBar>
        <cfvo type="num" val="0"/>
        <cfvo type="num" val="1"/>
        <color rgb="FF3290C4"/>
      </dataBar>
      <extLst>
        <ext xmlns:x14="http://schemas.microsoft.com/office/spreadsheetml/2009/9/main" uri="{B025F937-C7B1-47D3-B67F-A62EFF666E3E}">
          <x14:id>{91BC3850-4551-2F44-A4F2-7E6249F059D1}</x14:id>
        </ext>
      </extLst>
    </cfRule>
  </conditionalFormatting>
  <conditionalFormatting sqref="D34:F36">
    <cfRule type="dataBar" priority="46">
      <dataBar>
        <cfvo type="num" val="0"/>
        <cfvo type="num" val="1"/>
        <color rgb="FFB75727"/>
      </dataBar>
      <extLst>
        <ext xmlns:x14="http://schemas.microsoft.com/office/spreadsheetml/2009/9/main" uri="{B025F937-C7B1-47D3-B67F-A62EFF666E3E}">
          <x14:id>{37C0EF5E-1ED2-7F41-BFE4-E23ED6DF6635}</x14:id>
        </ext>
      </extLst>
    </cfRule>
  </conditionalFormatting>
  <conditionalFormatting sqref="D37:F39">
    <cfRule type="dataBar" priority="45">
      <dataBar>
        <cfvo type="num" val="0"/>
        <cfvo type="num" val="1"/>
        <color rgb="FF37793E"/>
      </dataBar>
      <extLst>
        <ext xmlns:x14="http://schemas.microsoft.com/office/spreadsheetml/2009/9/main" uri="{B025F937-C7B1-47D3-B67F-A62EFF666E3E}">
          <x14:id>{4D3ACC44-DB61-0A41-A170-A4F00F044590}</x14:id>
        </ext>
      </extLst>
    </cfRule>
  </conditionalFormatting>
  <conditionalFormatting sqref="D40:F42">
    <cfRule type="dataBar" priority="44">
      <dataBar>
        <cfvo type="num" val="0"/>
        <cfvo type="num" val="1"/>
        <color rgb="FF791F17"/>
      </dataBar>
      <extLst>
        <ext xmlns:x14="http://schemas.microsoft.com/office/spreadsheetml/2009/9/main" uri="{B025F937-C7B1-47D3-B67F-A62EFF666E3E}">
          <x14:id>{15DA227B-D341-5C4A-84B7-67BBA86664F2}</x14:id>
        </ext>
      </extLst>
    </cfRule>
  </conditionalFormatting>
  <conditionalFormatting sqref="J31">
    <cfRule type="dataBar" priority="43">
      <dataBar>
        <cfvo type="num" val="0"/>
        <cfvo type="num" val="3"/>
        <color rgb="FF3290C4"/>
      </dataBar>
      <extLst>
        <ext xmlns:x14="http://schemas.microsoft.com/office/spreadsheetml/2009/9/main" uri="{B025F937-C7B1-47D3-B67F-A62EFF666E3E}">
          <x14:id>{B46B53E8-1689-BF4E-9F53-EE01E112247D}</x14:id>
        </ext>
      </extLst>
    </cfRule>
  </conditionalFormatting>
  <conditionalFormatting sqref="J32">
    <cfRule type="dataBar" priority="42">
      <dataBar>
        <cfvo type="num" val="0"/>
        <cfvo type="num" val="3"/>
        <color rgb="FFB75727"/>
      </dataBar>
      <extLst>
        <ext xmlns:x14="http://schemas.microsoft.com/office/spreadsheetml/2009/9/main" uri="{B025F937-C7B1-47D3-B67F-A62EFF666E3E}">
          <x14:id>{CCFFAC78-55E2-4346-8158-6B8654E01873}</x14:id>
        </ext>
      </extLst>
    </cfRule>
  </conditionalFormatting>
  <conditionalFormatting sqref="J33">
    <cfRule type="dataBar" priority="41">
      <dataBar>
        <cfvo type="num" val="0"/>
        <cfvo type="num" val="3"/>
        <color rgb="FF37793E"/>
      </dataBar>
      <extLst>
        <ext xmlns:x14="http://schemas.microsoft.com/office/spreadsheetml/2009/9/main" uri="{B025F937-C7B1-47D3-B67F-A62EFF666E3E}">
          <x14:id>{B2AFF896-817E-3C4C-BECB-C6BC6EF18309}</x14:id>
        </ext>
      </extLst>
    </cfRule>
  </conditionalFormatting>
  <conditionalFormatting sqref="J85">
    <cfRule type="dataBar" priority="32">
      <dataBar>
        <cfvo type="num" val="0"/>
        <cfvo type="num" val="3"/>
        <color rgb="FF791F17"/>
      </dataBar>
      <extLst>
        <ext xmlns:x14="http://schemas.microsoft.com/office/spreadsheetml/2009/9/main" uri="{B025F937-C7B1-47D3-B67F-A62EFF666E3E}">
          <x14:id>{2B4D80E6-2827-7B43-B423-321E2B7BED75}</x14:id>
        </ext>
      </extLst>
    </cfRule>
  </conditionalFormatting>
  <conditionalFormatting sqref="J82">
    <cfRule type="dataBar" priority="35">
      <dataBar>
        <cfvo type="num" val="0"/>
        <cfvo type="num" val="3"/>
        <color rgb="FF3290C4"/>
      </dataBar>
      <extLst>
        <ext xmlns:x14="http://schemas.microsoft.com/office/spreadsheetml/2009/9/main" uri="{B025F937-C7B1-47D3-B67F-A62EFF666E3E}">
          <x14:id>{1F58EE26-0CAD-9F42-A5DC-0F1E195FCA68}</x14:id>
        </ext>
      </extLst>
    </cfRule>
  </conditionalFormatting>
  <conditionalFormatting sqref="J83">
    <cfRule type="dataBar" priority="34">
      <dataBar>
        <cfvo type="num" val="0"/>
        <cfvo type="num" val="3"/>
        <color rgb="FFB75727"/>
      </dataBar>
      <extLst>
        <ext xmlns:x14="http://schemas.microsoft.com/office/spreadsheetml/2009/9/main" uri="{B025F937-C7B1-47D3-B67F-A62EFF666E3E}">
          <x14:id>{D6B754B3-7739-5042-87FD-5AB2A3CB91EA}</x14:id>
        </ext>
      </extLst>
    </cfRule>
  </conditionalFormatting>
  <conditionalFormatting sqref="J84">
    <cfRule type="dataBar" priority="33">
      <dataBar>
        <cfvo type="num" val="0"/>
        <cfvo type="num" val="3"/>
        <color rgb="FF37793E"/>
      </dataBar>
      <extLst>
        <ext xmlns:x14="http://schemas.microsoft.com/office/spreadsheetml/2009/9/main" uri="{B025F937-C7B1-47D3-B67F-A62EFF666E3E}">
          <x14:id>{484082EB-7160-9949-B258-6E42A2F9FF64}</x14:id>
        </ext>
      </extLst>
    </cfRule>
  </conditionalFormatting>
  <conditionalFormatting sqref="J67">
    <cfRule type="dataBar" priority="16">
      <dataBar>
        <cfvo type="num" val="0"/>
        <cfvo type="num" val="3"/>
        <color rgb="FF791F17"/>
      </dataBar>
      <extLst>
        <ext xmlns:x14="http://schemas.microsoft.com/office/spreadsheetml/2009/9/main" uri="{B025F937-C7B1-47D3-B67F-A62EFF666E3E}">
          <x14:id>{A7BB44B0-7AC8-654C-A56C-A8FA04D955E4}</x14:id>
        </ext>
      </extLst>
    </cfRule>
  </conditionalFormatting>
  <conditionalFormatting sqref="J64">
    <cfRule type="dataBar" priority="19">
      <dataBar>
        <cfvo type="num" val="0"/>
        <cfvo type="num" val="3"/>
        <color rgb="FF3290C4"/>
      </dataBar>
      <extLst>
        <ext xmlns:x14="http://schemas.microsoft.com/office/spreadsheetml/2009/9/main" uri="{B025F937-C7B1-47D3-B67F-A62EFF666E3E}">
          <x14:id>{D7C8EE84-9C80-BA4A-A20C-A64BEA687225}</x14:id>
        </ext>
      </extLst>
    </cfRule>
  </conditionalFormatting>
  <conditionalFormatting sqref="J65">
    <cfRule type="dataBar" priority="18">
      <dataBar>
        <cfvo type="num" val="0"/>
        <cfvo type="num" val="3"/>
        <color rgb="FFB75727"/>
      </dataBar>
      <extLst>
        <ext xmlns:x14="http://schemas.microsoft.com/office/spreadsheetml/2009/9/main" uri="{B025F937-C7B1-47D3-B67F-A62EFF666E3E}">
          <x14:id>{A9A878E6-6301-BA43-8E78-90935EF680C8}</x14:id>
        </ext>
      </extLst>
    </cfRule>
  </conditionalFormatting>
  <conditionalFormatting sqref="J66">
    <cfRule type="dataBar" priority="17">
      <dataBar>
        <cfvo type="num" val="0"/>
        <cfvo type="num" val="3"/>
        <color rgb="FF37793E"/>
      </dataBar>
      <extLst>
        <ext xmlns:x14="http://schemas.microsoft.com/office/spreadsheetml/2009/9/main" uri="{B025F937-C7B1-47D3-B67F-A62EFF666E3E}">
          <x14:id>{43FF6B97-F340-5547-93F8-B1550C239EC1}</x14:id>
        </ext>
      </extLst>
    </cfRule>
  </conditionalFormatting>
  <conditionalFormatting sqref="D48:F50">
    <cfRule type="dataBar" priority="15">
      <dataBar>
        <cfvo type="num" val="0"/>
        <cfvo type="num" val="1"/>
        <color rgb="FF3290C4"/>
      </dataBar>
      <extLst>
        <ext xmlns:x14="http://schemas.microsoft.com/office/spreadsheetml/2009/9/main" uri="{B025F937-C7B1-47D3-B67F-A62EFF666E3E}">
          <x14:id>{26F23FBE-6481-DA43-AD0C-FD9B08A423A8}</x14:id>
        </ext>
      </extLst>
    </cfRule>
  </conditionalFormatting>
  <conditionalFormatting sqref="D51:F52">
    <cfRule type="dataBar" priority="14">
      <dataBar>
        <cfvo type="num" val="0"/>
        <cfvo type="num" val="1"/>
        <color rgb="FFB75727"/>
      </dataBar>
      <extLst>
        <ext xmlns:x14="http://schemas.microsoft.com/office/spreadsheetml/2009/9/main" uri="{B025F937-C7B1-47D3-B67F-A62EFF666E3E}">
          <x14:id>{3CCC0EBC-3A07-BB4F-A3D9-007828CA06B7}</x14:id>
        </ext>
      </extLst>
    </cfRule>
  </conditionalFormatting>
  <conditionalFormatting sqref="D54:F56">
    <cfRule type="dataBar" priority="13">
      <dataBar>
        <cfvo type="num" val="0"/>
        <cfvo type="num" val="1"/>
        <color rgb="FF37793E"/>
      </dataBar>
      <extLst>
        <ext xmlns:x14="http://schemas.microsoft.com/office/spreadsheetml/2009/9/main" uri="{B025F937-C7B1-47D3-B67F-A62EFF666E3E}">
          <x14:id>{8ACCA54A-3F12-AF4C-B20B-341DBF81391C}</x14:id>
        </ext>
      </extLst>
    </cfRule>
  </conditionalFormatting>
  <conditionalFormatting sqref="D57:F59">
    <cfRule type="dataBar" priority="12">
      <dataBar>
        <cfvo type="num" val="0"/>
        <cfvo type="num" val="1"/>
        <color rgb="FF791F17"/>
      </dataBar>
      <extLst>
        <ext xmlns:x14="http://schemas.microsoft.com/office/spreadsheetml/2009/9/main" uri="{B025F937-C7B1-47D3-B67F-A62EFF666E3E}">
          <x14:id>{E8D6B021-8732-1F44-B024-DC28DC487292}</x14:id>
        </ext>
      </extLst>
    </cfRule>
  </conditionalFormatting>
  <conditionalFormatting sqref="D64:F66">
    <cfRule type="dataBar" priority="11">
      <dataBar>
        <cfvo type="num" val="0"/>
        <cfvo type="num" val="1"/>
        <color rgb="FF3290C4"/>
      </dataBar>
      <extLst>
        <ext xmlns:x14="http://schemas.microsoft.com/office/spreadsheetml/2009/9/main" uri="{B025F937-C7B1-47D3-B67F-A62EFF666E3E}">
          <x14:id>{C670649F-C7D2-1547-A950-B5255B80249A}</x14:id>
        </ext>
      </extLst>
    </cfRule>
  </conditionalFormatting>
  <conditionalFormatting sqref="D67:F68">
    <cfRule type="dataBar" priority="10">
      <dataBar>
        <cfvo type="num" val="0"/>
        <cfvo type="num" val="1"/>
        <color rgb="FFB75727"/>
      </dataBar>
      <extLst>
        <ext xmlns:x14="http://schemas.microsoft.com/office/spreadsheetml/2009/9/main" uri="{B025F937-C7B1-47D3-B67F-A62EFF666E3E}">
          <x14:id>{6E8480DC-917D-DA4F-A320-C6789D83D913}</x14:id>
        </ext>
      </extLst>
    </cfRule>
  </conditionalFormatting>
  <conditionalFormatting sqref="D70:F72">
    <cfRule type="dataBar" priority="9">
      <dataBar>
        <cfvo type="num" val="0"/>
        <cfvo type="num" val="1"/>
        <color rgb="FF37793E"/>
      </dataBar>
      <extLst>
        <ext xmlns:x14="http://schemas.microsoft.com/office/spreadsheetml/2009/9/main" uri="{B025F937-C7B1-47D3-B67F-A62EFF666E3E}">
          <x14:id>{FCD4110F-51BE-394F-881D-A84C876EC984}</x14:id>
        </ext>
      </extLst>
    </cfRule>
  </conditionalFormatting>
  <conditionalFormatting sqref="D73:F75">
    <cfRule type="dataBar" priority="8">
      <dataBar>
        <cfvo type="num" val="0"/>
        <cfvo type="num" val="1"/>
        <color rgb="FF791F17"/>
      </dataBar>
      <extLst>
        <ext xmlns:x14="http://schemas.microsoft.com/office/spreadsheetml/2009/9/main" uri="{B025F937-C7B1-47D3-B67F-A62EFF666E3E}">
          <x14:id>{8EC22298-E326-7F48-ADBA-AE8C5D93ED6C}</x14:id>
        </ext>
      </extLst>
    </cfRule>
  </conditionalFormatting>
  <conditionalFormatting sqref="D82:F84">
    <cfRule type="dataBar" priority="7">
      <dataBar>
        <cfvo type="num" val="0"/>
        <cfvo type="num" val="1"/>
        <color rgb="FF3290C4"/>
      </dataBar>
      <extLst>
        <ext xmlns:x14="http://schemas.microsoft.com/office/spreadsheetml/2009/9/main" uri="{B025F937-C7B1-47D3-B67F-A62EFF666E3E}">
          <x14:id>{BD443B50-A605-874A-A658-86E75958F1F0}</x14:id>
        </ext>
      </extLst>
    </cfRule>
  </conditionalFormatting>
  <conditionalFormatting sqref="D85:F86">
    <cfRule type="dataBar" priority="6">
      <dataBar>
        <cfvo type="num" val="0"/>
        <cfvo type="num" val="1"/>
        <color rgb="FFB75727"/>
      </dataBar>
      <extLst>
        <ext xmlns:x14="http://schemas.microsoft.com/office/spreadsheetml/2009/9/main" uri="{B025F937-C7B1-47D3-B67F-A62EFF666E3E}">
          <x14:id>{0D42FDA8-E0B7-364E-B4E2-FC06CD813D54}</x14:id>
        </ext>
      </extLst>
    </cfRule>
  </conditionalFormatting>
  <conditionalFormatting sqref="D88:F90">
    <cfRule type="dataBar" priority="5">
      <dataBar>
        <cfvo type="num" val="0"/>
        <cfvo type="num" val="1"/>
        <color rgb="FF37793E"/>
      </dataBar>
      <extLst>
        <ext xmlns:x14="http://schemas.microsoft.com/office/spreadsheetml/2009/9/main" uri="{B025F937-C7B1-47D3-B67F-A62EFF666E3E}">
          <x14:id>{2F90266A-4F8E-9540-AE48-460B06673560}</x14:id>
        </ext>
      </extLst>
    </cfRule>
  </conditionalFormatting>
  <conditionalFormatting sqref="D91:F93">
    <cfRule type="dataBar" priority="4">
      <dataBar>
        <cfvo type="num" val="0"/>
        <cfvo type="num" val="1"/>
        <color rgb="FF791F17"/>
      </dataBar>
      <extLst>
        <ext xmlns:x14="http://schemas.microsoft.com/office/spreadsheetml/2009/9/main" uri="{B025F937-C7B1-47D3-B67F-A62EFF666E3E}">
          <x14:id>{4640FFB8-2AF2-2844-8474-2FB608952A01}</x14:id>
        </ext>
      </extLst>
    </cfRule>
  </conditionalFormatting>
  <conditionalFormatting sqref="D53:F53">
    <cfRule type="dataBar" priority="3">
      <dataBar>
        <cfvo type="num" val="0"/>
        <cfvo type="num" val="1"/>
        <color rgb="FFB75727"/>
      </dataBar>
      <extLst>
        <ext xmlns:x14="http://schemas.microsoft.com/office/spreadsheetml/2009/9/main" uri="{B025F937-C7B1-47D3-B67F-A62EFF666E3E}">
          <x14:id>{0CF5FC3E-BEA6-1E48-AB5B-5AA72A0B6750}</x14:id>
        </ext>
      </extLst>
    </cfRule>
  </conditionalFormatting>
  <conditionalFormatting sqref="D69:F69">
    <cfRule type="dataBar" priority="2">
      <dataBar>
        <cfvo type="num" val="0"/>
        <cfvo type="num" val="1"/>
        <color rgb="FFB75727"/>
      </dataBar>
      <extLst>
        <ext xmlns:x14="http://schemas.microsoft.com/office/spreadsheetml/2009/9/main" uri="{B025F937-C7B1-47D3-B67F-A62EFF666E3E}">
          <x14:id>{6A0357E7-26DC-604E-805A-67A0617B06FF}</x14:id>
        </ext>
      </extLst>
    </cfRule>
  </conditionalFormatting>
  <conditionalFormatting sqref="D87:F87">
    <cfRule type="dataBar" priority="1">
      <dataBar>
        <cfvo type="num" val="0"/>
        <cfvo type="num" val="1"/>
        <color rgb="FFB75727"/>
      </dataBar>
      <extLst>
        <ext xmlns:x14="http://schemas.microsoft.com/office/spreadsheetml/2009/9/main" uri="{B025F937-C7B1-47D3-B67F-A62EFF666E3E}">
          <x14:id>{8D2AE8A9-465D-8F4F-8966-9873357F651B}</x14:id>
        </ext>
      </extLst>
    </cfRule>
  </conditionalFormatting>
  <pageMargins left="0.75" right="0.75" top="1" bottom="1" header="0.5" footer="0.5"/>
  <pageSetup paperSize="9" scale="10" firstPageNumber="0" fitToWidth="0" fitToHeight="0" orientation="portrait" horizontalDpi="300" verticalDpi="300" r:id="rId2"/>
  <headerFooter alignWithMargins="0"/>
  <drawing r:id="rId3"/>
  <extLst>
    <ext xmlns:x14="http://schemas.microsoft.com/office/spreadsheetml/2009/9/main" uri="{78C0D931-6437-407d-A8EE-F0AAD7539E65}">
      <x14:conditionalFormattings>
        <x14:conditionalFormatting xmlns:xm="http://schemas.microsoft.com/office/excel/2006/main">
          <x14:cfRule type="dataBar" id="{79CE7F1A-C8E1-41C8-A0A4-F72252D5AA2B}">
            <x14:dataBar minLength="0" maxLength="100" axisPosition="none">
              <x14:cfvo type="num">
                <xm:f>0</xm:f>
              </x14:cfvo>
              <x14:cfvo type="num">
                <xm:f>1</xm:f>
              </x14:cfvo>
              <x14:negativeFillColor theme="0"/>
            </x14:dataBar>
          </x14:cfRule>
          <xm:sqref>D14:F16</xm:sqref>
        </x14:conditionalFormatting>
        <x14:conditionalFormatting xmlns:xm="http://schemas.microsoft.com/office/excel/2006/main">
          <x14:cfRule type="dataBar" id="{419B2FB9-07AD-4D2D-B5F0-A6E44F5AEAB5}">
            <x14:dataBar minLength="0" maxLength="100" axisPosition="none">
              <x14:cfvo type="num">
                <xm:f>0</xm:f>
              </x14:cfvo>
              <x14:cfvo type="num">
                <xm:f>1</xm:f>
              </x14:cfvo>
              <x14:negativeFillColor theme="0"/>
            </x14:dataBar>
          </x14:cfRule>
          <xm:sqref>D17:F19</xm:sqref>
        </x14:conditionalFormatting>
        <x14:conditionalFormatting xmlns:xm="http://schemas.microsoft.com/office/excel/2006/main">
          <x14:cfRule type="dataBar" id="{20C4EB4D-A5AD-5B40-9489-D8791BDABC8F}">
            <x14:dataBar minLength="0" maxLength="100" axisPosition="none">
              <x14:cfvo type="num">
                <xm:f>0</xm:f>
              </x14:cfvo>
              <x14:cfvo type="num">
                <xm:f>1</xm:f>
              </x14:cfvo>
              <x14:negativeFillColor theme="0"/>
            </x14:dataBar>
          </x14:cfRule>
          <xm:sqref>D20:F22</xm:sqref>
        </x14:conditionalFormatting>
        <x14:conditionalFormatting xmlns:xm="http://schemas.microsoft.com/office/excel/2006/main">
          <x14:cfRule type="dataBar" id="{8322E5C4-46BB-BF4D-9B20-595101F87A3E}">
            <x14:dataBar minLength="0" maxLength="100" axisPosition="none">
              <x14:cfvo type="num">
                <xm:f>0</xm:f>
              </x14:cfvo>
              <x14:cfvo type="num">
                <xm:f>1</xm:f>
              </x14:cfvo>
              <x14:negativeFillColor theme="0"/>
            </x14:dataBar>
          </x14:cfRule>
          <xm:sqref>D23:F25</xm:sqref>
        </x14:conditionalFormatting>
        <x14:conditionalFormatting xmlns:xm="http://schemas.microsoft.com/office/excel/2006/main">
          <x14:cfRule type="dataBar" id="{CE1A1EA3-9DDD-9A41-A8BF-B6CBFDEDF38D}">
            <x14:dataBar minLength="0" maxLength="100" axisPosition="none">
              <x14:cfvo type="num">
                <xm:f>0</xm:f>
              </x14:cfvo>
              <x14:cfvo type="num">
                <xm:f>3</xm:f>
              </x14:cfvo>
              <x14:negativeFillColor theme="0"/>
            </x14:dataBar>
          </x14:cfRule>
          <xm:sqref>J14</xm:sqref>
        </x14:conditionalFormatting>
        <x14:conditionalFormatting xmlns:xm="http://schemas.microsoft.com/office/excel/2006/main">
          <x14:cfRule type="dataBar" id="{6A17C54A-5208-1544-967C-21EA558BB5A2}">
            <x14:dataBar minLength="0" maxLength="100" axisPosition="none">
              <x14:cfvo type="num">
                <xm:f>0</xm:f>
              </x14:cfvo>
              <x14:cfvo type="num">
                <xm:f>3</xm:f>
              </x14:cfvo>
              <x14:negativeFillColor theme="0"/>
            </x14:dataBar>
          </x14:cfRule>
          <xm:sqref>J15</xm:sqref>
        </x14:conditionalFormatting>
        <x14:conditionalFormatting xmlns:xm="http://schemas.microsoft.com/office/excel/2006/main">
          <x14:cfRule type="dataBar" id="{C8FF7E97-48C1-ED40-96CA-0E0620DAF410}">
            <x14:dataBar minLength="0" maxLength="100" axisPosition="none">
              <x14:cfvo type="num">
                <xm:f>0</xm:f>
              </x14:cfvo>
              <x14:cfvo type="num">
                <xm:f>3</xm:f>
              </x14:cfvo>
              <x14:negativeFillColor theme="0"/>
            </x14:dataBar>
          </x14:cfRule>
          <xm:sqref>J16</xm:sqref>
        </x14:conditionalFormatting>
        <x14:conditionalFormatting xmlns:xm="http://schemas.microsoft.com/office/excel/2006/main">
          <x14:cfRule type="dataBar" id="{C16D4B20-5426-CD42-9383-E916F6FBDC0F}">
            <x14:dataBar minLength="0" maxLength="100" axisPosition="none">
              <x14:cfvo type="num">
                <xm:f>0</xm:f>
              </x14:cfvo>
              <x14:cfvo type="num">
                <xm:f>3</xm:f>
              </x14:cfvo>
              <x14:negativeFillColor theme="0"/>
            </x14:dataBar>
          </x14:cfRule>
          <xm:sqref>J17</xm:sqref>
        </x14:conditionalFormatting>
        <x14:conditionalFormatting xmlns:xm="http://schemas.microsoft.com/office/excel/2006/main">
          <x14:cfRule type="dataBar" id="{49C7EFC2-897D-AD47-928F-9B887F9C0BE0}">
            <x14:dataBar minLength="0" maxLength="100" axisPosition="none">
              <x14:cfvo type="num">
                <xm:f>0</xm:f>
              </x14:cfvo>
              <x14:cfvo type="num">
                <xm:f>3</xm:f>
              </x14:cfvo>
              <x14:negativeFillColor theme="0"/>
            </x14:dataBar>
          </x14:cfRule>
          <xm:sqref>J51</xm:sqref>
        </x14:conditionalFormatting>
        <x14:conditionalFormatting xmlns:xm="http://schemas.microsoft.com/office/excel/2006/main">
          <x14:cfRule type="dataBar" id="{BE0ADACB-7C07-E946-A03C-353C0840FCB2}">
            <x14:dataBar minLength="0" maxLength="100" axisPosition="none">
              <x14:cfvo type="num">
                <xm:f>0</xm:f>
              </x14:cfvo>
              <x14:cfvo type="num">
                <xm:f>3</xm:f>
              </x14:cfvo>
              <x14:negativeFillColor theme="0"/>
            </x14:dataBar>
          </x14:cfRule>
          <xm:sqref>J48</xm:sqref>
        </x14:conditionalFormatting>
        <x14:conditionalFormatting xmlns:xm="http://schemas.microsoft.com/office/excel/2006/main">
          <x14:cfRule type="dataBar" id="{FF526879-68DB-8547-A969-530B664BD833}">
            <x14:dataBar minLength="0" maxLength="100" axisPosition="none">
              <x14:cfvo type="num">
                <xm:f>0</xm:f>
              </x14:cfvo>
              <x14:cfvo type="num">
                <xm:f>3</xm:f>
              </x14:cfvo>
              <x14:negativeFillColor theme="0"/>
            </x14:dataBar>
          </x14:cfRule>
          <xm:sqref>J49</xm:sqref>
        </x14:conditionalFormatting>
        <x14:conditionalFormatting xmlns:xm="http://schemas.microsoft.com/office/excel/2006/main">
          <x14:cfRule type="dataBar" id="{146CD89A-4B22-DF45-8F72-F26FB226DE6C}">
            <x14:dataBar minLength="0" maxLength="100" axisPosition="none">
              <x14:cfvo type="num">
                <xm:f>0</xm:f>
              </x14:cfvo>
              <x14:cfvo type="num">
                <xm:f>3</xm:f>
              </x14:cfvo>
              <x14:negativeFillColor theme="0"/>
            </x14:dataBar>
          </x14:cfRule>
          <xm:sqref>J50</xm:sqref>
        </x14:conditionalFormatting>
        <x14:conditionalFormatting xmlns:xm="http://schemas.microsoft.com/office/excel/2006/main">
          <x14:cfRule type="dataBar" id="{26A43B56-10E3-3C4C-9D7A-B0EC25EEEECB}">
            <x14:dataBar minLength="0" maxLength="100" axisPosition="none">
              <x14:cfvo type="num">
                <xm:f>0</xm:f>
              </x14:cfvo>
              <x14:cfvo type="num">
                <xm:f>3</xm:f>
              </x14:cfvo>
              <x14:negativeFillColor theme="0"/>
            </x14:dataBar>
          </x14:cfRule>
          <xm:sqref>J34</xm:sqref>
        </x14:conditionalFormatting>
        <x14:conditionalFormatting xmlns:xm="http://schemas.microsoft.com/office/excel/2006/main">
          <x14:cfRule type="dataBar" id="{91BC3850-4551-2F44-A4F2-7E6249F059D1}">
            <x14:dataBar minLength="0" maxLength="100" axisPosition="none">
              <x14:cfvo type="num">
                <xm:f>0</xm:f>
              </x14:cfvo>
              <x14:cfvo type="num">
                <xm:f>1</xm:f>
              </x14:cfvo>
              <x14:negativeFillColor theme="0"/>
            </x14:dataBar>
          </x14:cfRule>
          <xm:sqref>D31:F33</xm:sqref>
        </x14:conditionalFormatting>
        <x14:conditionalFormatting xmlns:xm="http://schemas.microsoft.com/office/excel/2006/main">
          <x14:cfRule type="dataBar" id="{37C0EF5E-1ED2-7F41-BFE4-E23ED6DF6635}">
            <x14:dataBar minLength="0" maxLength="100" axisPosition="none">
              <x14:cfvo type="num">
                <xm:f>0</xm:f>
              </x14:cfvo>
              <x14:cfvo type="num">
                <xm:f>1</xm:f>
              </x14:cfvo>
              <x14:negativeFillColor theme="0"/>
            </x14:dataBar>
          </x14:cfRule>
          <xm:sqref>D34:F36</xm:sqref>
        </x14:conditionalFormatting>
        <x14:conditionalFormatting xmlns:xm="http://schemas.microsoft.com/office/excel/2006/main">
          <x14:cfRule type="dataBar" id="{4D3ACC44-DB61-0A41-A170-A4F00F044590}">
            <x14:dataBar minLength="0" maxLength="100" axisPosition="none">
              <x14:cfvo type="num">
                <xm:f>0</xm:f>
              </x14:cfvo>
              <x14:cfvo type="num">
                <xm:f>1</xm:f>
              </x14:cfvo>
              <x14:negativeFillColor theme="0"/>
            </x14:dataBar>
          </x14:cfRule>
          <xm:sqref>D37:F39</xm:sqref>
        </x14:conditionalFormatting>
        <x14:conditionalFormatting xmlns:xm="http://schemas.microsoft.com/office/excel/2006/main">
          <x14:cfRule type="dataBar" id="{15DA227B-D341-5C4A-84B7-67BBA86664F2}">
            <x14:dataBar minLength="0" maxLength="100" axisPosition="none">
              <x14:cfvo type="num">
                <xm:f>0</xm:f>
              </x14:cfvo>
              <x14:cfvo type="num">
                <xm:f>1</xm:f>
              </x14:cfvo>
              <x14:negativeFillColor theme="0"/>
            </x14:dataBar>
          </x14:cfRule>
          <xm:sqref>D40:F42</xm:sqref>
        </x14:conditionalFormatting>
        <x14:conditionalFormatting xmlns:xm="http://schemas.microsoft.com/office/excel/2006/main">
          <x14:cfRule type="dataBar" id="{B46B53E8-1689-BF4E-9F53-EE01E112247D}">
            <x14:dataBar minLength="0" maxLength="100" axisPosition="none">
              <x14:cfvo type="num">
                <xm:f>0</xm:f>
              </x14:cfvo>
              <x14:cfvo type="num">
                <xm:f>3</xm:f>
              </x14:cfvo>
              <x14:negativeFillColor theme="0"/>
            </x14:dataBar>
          </x14:cfRule>
          <xm:sqref>J31</xm:sqref>
        </x14:conditionalFormatting>
        <x14:conditionalFormatting xmlns:xm="http://schemas.microsoft.com/office/excel/2006/main">
          <x14:cfRule type="dataBar" id="{CCFFAC78-55E2-4346-8158-6B8654E01873}">
            <x14:dataBar minLength="0" maxLength="100" axisPosition="none">
              <x14:cfvo type="num">
                <xm:f>0</xm:f>
              </x14:cfvo>
              <x14:cfvo type="num">
                <xm:f>3</xm:f>
              </x14:cfvo>
              <x14:negativeFillColor theme="0"/>
            </x14:dataBar>
          </x14:cfRule>
          <xm:sqref>J32</xm:sqref>
        </x14:conditionalFormatting>
        <x14:conditionalFormatting xmlns:xm="http://schemas.microsoft.com/office/excel/2006/main">
          <x14:cfRule type="dataBar" id="{B2AFF896-817E-3C4C-BECB-C6BC6EF18309}">
            <x14:dataBar minLength="0" maxLength="100" axisPosition="none">
              <x14:cfvo type="num">
                <xm:f>0</xm:f>
              </x14:cfvo>
              <x14:cfvo type="num">
                <xm:f>3</xm:f>
              </x14:cfvo>
              <x14:negativeFillColor theme="0"/>
            </x14:dataBar>
          </x14:cfRule>
          <xm:sqref>J33</xm:sqref>
        </x14:conditionalFormatting>
        <x14:conditionalFormatting xmlns:xm="http://schemas.microsoft.com/office/excel/2006/main">
          <x14:cfRule type="dataBar" id="{2B4D80E6-2827-7B43-B423-321E2B7BED75}">
            <x14:dataBar minLength="0" maxLength="100" axisPosition="none">
              <x14:cfvo type="num">
                <xm:f>0</xm:f>
              </x14:cfvo>
              <x14:cfvo type="num">
                <xm:f>3</xm:f>
              </x14:cfvo>
              <x14:negativeFillColor theme="0"/>
            </x14:dataBar>
          </x14:cfRule>
          <xm:sqref>J85</xm:sqref>
        </x14:conditionalFormatting>
        <x14:conditionalFormatting xmlns:xm="http://schemas.microsoft.com/office/excel/2006/main">
          <x14:cfRule type="dataBar" id="{1F58EE26-0CAD-9F42-A5DC-0F1E195FCA68}">
            <x14:dataBar minLength="0" maxLength="100" axisPosition="none">
              <x14:cfvo type="num">
                <xm:f>0</xm:f>
              </x14:cfvo>
              <x14:cfvo type="num">
                <xm:f>3</xm:f>
              </x14:cfvo>
              <x14:negativeFillColor theme="0"/>
            </x14:dataBar>
          </x14:cfRule>
          <xm:sqref>J82</xm:sqref>
        </x14:conditionalFormatting>
        <x14:conditionalFormatting xmlns:xm="http://schemas.microsoft.com/office/excel/2006/main">
          <x14:cfRule type="dataBar" id="{D6B754B3-7739-5042-87FD-5AB2A3CB91EA}">
            <x14:dataBar minLength="0" maxLength="100" axisPosition="none">
              <x14:cfvo type="num">
                <xm:f>0</xm:f>
              </x14:cfvo>
              <x14:cfvo type="num">
                <xm:f>3</xm:f>
              </x14:cfvo>
              <x14:negativeFillColor theme="0"/>
            </x14:dataBar>
          </x14:cfRule>
          <xm:sqref>J83</xm:sqref>
        </x14:conditionalFormatting>
        <x14:conditionalFormatting xmlns:xm="http://schemas.microsoft.com/office/excel/2006/main">
          <x14:cfRule type="dataBar" id="{484082EB-7160-9949-B258-6E42A2F9FF64}">
            <x14:dataBar minLength="0" maxLength="100" axisPosition="none">
              <x14:cfvo type="num">
                <xm:f>0</xm:f>
              </x14:cfvo>
              <x14:cfvo type="num">
                <xm:f>3</xm:f>
              </x14:cfvo>
              <x14:negativeFillColor theme="0"/>
            </x14:dataBar>
          </x14:cfRule>
          <xm:sqref>J84</xm:sqref>
        </x14:conditionalFormatting>
        <x14:conditionalFormatting xmlns:xm="http://schemas.microsoft.com/office/excel/2006/main">
          <x14:cfRule type="dataBar" id="{A7BB44B0-7AC8-654C-A56C-A8FA04D955E4}">
            <x14:dataBar minLength="0" maxLength="100" axisPosition="none">
              <x14:cfvo type="num">
                <xm:f>0</xm:f>
              </x14:cfvo>
              <x14:cfvo type="num">
                <xm:f>3</xm:f>
              </x14:cfvo>
              <x14:negativeFillColor theme="0"/>
            </x14:dataBar>
          </x14:cfRule>
          <xm:sqref>J67</xm:sqref>
        </x14:conditionalFormatting>
        <x14:conditionalFormatting xmlns:xm="http://schemas.microsoft.com/office/excel/2006/main">
          <x14:cfRule type="dataBar" id="{D7C8EE84-9C80-BA4A-A20C-A64BEA687225}">
            <x14:dataBar minLength="0" maxLength="100" axisPosition="none">
              <x14:cfvo type="num">
                <xm:f>0</xm:f>
              </x14:cfvo>
              <x14:cfvo type="num">
                <xm:f>3</xm:f>
              </x14:cfvo>
              <x14:negativeFillColor theme="0"/>
            </x14:dataBar>
          </x14:cfRule>
          <xm:sqref>J64</xm:sqref>
        </x14:conditionalFormatting>
        <x14:conditionalFormatting xmlns:xm="http://schemas.microsoft.com/office/excel/2006/main">
          <x14:cfRule type="dataBar" id="{A9A878E6-6301-BA43-8E78-90935EF680C8}">
            <x14:dataBar minLength="0" maxLength="100" axisPosition="none">
              <x14:cfvo type="num">
                <xm:f>0</xm:f>
              </x14:cfvo>
              <x14:cfvo type="num">
                <xm:f>3</xm:f>
              </x14:cfvo>
              <x14:negativeFillColor theme="0"/>
            </x14:dataBar>
          </x14:cfRule>
          <xm:sqref>J65</xm:sqref>
        </x14:conditionalFormatting>
        <x14:conditionalFormatting xmlns:xm="http://schemas.microsoft.com/office/excel/2006/main">
          <x14:cfRule type="dataBar" id="{43FF6B97-F340-5547-93F8-B1550C239EC1}">
            <x14:dataBar minLength="0" maxLength="100" axisPosition="none">
              <x14:cfvo type="num">
                <xm:f>0</xm:f>
              </x14:cfvo>
              <x14:cfvo type="num">
                <xm:f>3</xm:f>
              </x14:cfvo>
              <x14:negativeFillColor theme="0"/>
            </x14:dataBar>
          </x14:cfRule>
          <xm:sqref>J66</xm:sqref>
        </x14:conditionalFormatting>
        <x14:conditionalFormatting xmlns:xm="http://schemas.microsoft.com/office/excel/2006/main">
          <x14:cfRule type="dataBar" id="{26F23FBE-6481-DA43-AD0C-FD9B08A423A8}">
            <x14:dataBar minLength="0" maxLength="100" axisPosition="none">
              <x14:cfvo type="num">
                <xm:f>0</xm:f>
              </x14:cfvo>
              <x14:cfvo type="num">
                <xm:f>1</xm:f>
              </x14:cfvo>
              <x14:negativeFillColor theme="0"/>
            </x14:dataBar>
          </x14:cfRule>
          <xm:sqref>D48:F50</xm:sqref>
        </x14:conditionalFormatting>
        <x14:conditionalFormatting xmlns:xm="http://schemas.microsoft.com/office/excel/2006/main">
          <x14:cfRule type="dataBar" id="{3CCC0EBC-3A07-BB4F-A3D9-007828CA06B7}">
            <x14:dataBar minLength="0" maxLength="100" axisPosition="none">
              <x14:cfvo type="num">
                <xm:f>0</xm:f>
              </x14:cfvo>
              <x14:cfvo type="num">
                <xm:f>1</xm:f>
              </x14:cfvo>
              <x14:negativeFillColor theme="0"/>
            </x14:dataBar>
          </x14:cfRule>
          <xm:sqref>D51:F52</xm:sqref>
        </x14:conditionalFormatting>
        <x14:conditionalFormatting xmlns:xm="http://schemas.microsoft.com/office/excel/2006/main">
          <x14:cfRule type="dataBar" id="{8ACCA54A-3F12-AF4C-B20B-341DBF81391C}">
            <x14:dataBar minLength="0" maxLength="100" axisPosition="none">
              <x14:cfvo type="num">
                <xm:f>0</xm:f>
              </x14:cfvo>
              <x14:cfvo type="num">
                <xm:f>1</xm:f>
              </x14:cfvo>
              <x14:negativeFillColor theme="0"/>
            </x14:dataBar>
          </x14:cfRule>
          <xm:sqref>D54:F56</xm:sqref>
        </x14:conditionalFormatting>
        <x14:conditionalFormatting xmlns:xm="http://schemas.microsoft.com/office/excel/2006/main">
          <x14:cfRule type="dataBar" id="{E8D6B021-8732-1F44-B024-DC28DC487292}">
            <x14:dataBar minLength="0" maxLength="100" axisPosition="none">
              <x14:cfvo type="num">
                <xm:f>0</xm:f>
              </x14:cfvo>
              <x14:cfvo type="num">
                <xm:f>1</xm:f>
              </x14:cfvo>
              <x14:negativeFillColor theme="0"/>
            </x14:dataBar>
          </x14:cfRule>
          <xm:sqref>D57:F59</xm:sqref>
        </x14:conditionalFormatting>
        <x14:conditionalFormatting xmlns:xm="http://schemas.microsoft.com/office/excel/2006/main">
          <x14:cfRule type="dataBar" id="{C670649F-C7D2-1547-A950-B5255B80249A}">
            <x14:dataBar minLength="0" maxLength="100" axisPosition="none">
              <x14:cfvo type="num">
                <xm:f>0</xm:f>
              </x14:cfvo>
              <x14:cfvo type="num">
                <xm:f>1</xm:f>
              </x14:cfvo>
              <x14:negativeFillColor theme="0"/>
            </x14:dataBar>
          </x14:cfRule>
          <xm:sqref>D64:F66</xm:sqref>
        </x14:conditionalFormatting>
        <x14:conditionalFormatting xmlns:xm="http://schemas.microsoft.com/office/excel/2006/main">
          <x14:cfRule type="dataBar" id="{6E8480DC-917D-DA4F-A320-C6789D83D913}">
            <x14:dataBar minLength="0" maxLength="100" axisPosition="none">
              <x14:cfvo type="num">
                <xm:f>0</xm:f>
              </x14:cfvo>
              <x14:cfvo type="num">
                <xm:f>1</xm:f>
              </x14:cfvo>
              <x14:negativeFillColor theme="0"/>
            </x14:dataBar>
          </x14:cfRule>
          <xm:sqref>D67:F68</xm:sqref>
        </x14:conditionalFormatting>
        <x14:conditionalFormatting xmlns:xm="http://schemas.microsoft.com/office/excel/2006/main">
          <x14:cfRule type="dataBar" id="{FCD4110F-51BE-394F-881D-A84C876EC984}">
            <x14:dataBar minLength="0" maxLength="100" axisPosition="none">
              <x14:cfvo type="num">
                <xm:f>0</xm:f>
              </x14:cfvo>
              <x14:cfvo type="num">
                <xm:f>1</xm:f>
              </x14:cfvo>
              <x14:negativeFillColor theme="0"/>
            </x14:dataBar>
          </x14:cfRule>
          <xm:sqref>D70:F72</xm:sqref>
        </x14:conditionalFormatting>
        <x14:conditionalFormatting xmlns:xm="http://schemas.microsoft.com/office/excel/2006/main">
          <x14:cfRule type="dataBar" id="{8EC22298-E326-7F48-ADBA-AE8C5D93ED6C}">
            <x14:dataBar minLength="0" maxLength="100" axisPosition="none">
              <x14:cfvo type="num">
                <xm:f>0</xm:f>
              </x14:cfvo>
              <x14:cfvo type="num">
                <xm:f>1</xm:f>
              </x14:cfvo>
              <x14:negativeFillColor theme="0"/>
            </x14:dataBar>
          </x14:cfRule>
          <xm:sqref>D73:F75</xm:sqref>
        </x14:conditionalFormatting>
        <x14:conditionalFormatting xmlns:xm="http://schemas.microsoft.com/office/excel/2006/main">
          <x14:cfRule type="dataBar" id="{BD443B50-A605-874A-A658-86E75958F1F0}">
            <x14:dataBar minLength="0" maxLength="100" axisPosition="none">
              <x14:cfvo type="num">
                <xm:f>0</xm:f>
              </x14:cfvo>
              <x14:cfvo type="num">
                <xm:f>1</xm:f>
              </x14:cfvo>
              <x14:negativeFillColor theme="0"/>
            </x14:dataBar>
          </x14:cfRule>
          <xm:sqref>D82:F84</xm:sqref>
        </x14:conditionalFormatting>
        <x14:conditionalFormatting xmlns:xm="http://schemas.microsoft.com/office/excel/2006/main">
          <x14:cfRule type="dataBar" id="{0D42FDA8-E0B7-364E-B4E2-FC06CD813D54}">
            <x14:dataBar minLength="0" maxLength="100" axisPosition="none">
              <x14:cfvo type="num">
                <xm:f>0</xm:f>
              </x14:cfvo>
              <x14:cfvo type="num">
                <xm:f>1</xm:f>
              </x14:cfvo>
              <x14:negativeFillColor theme="0"/>
            </x14:dataBar>
          </x14:cfRule>
          <xm:sqref>D85:F86</xm:sqref>
        </x14:conditionalFormatting>
        <x14:conditionalFormatting xmlns:xm="http://schemas.microsoft.com/office/excel/2006/main">
          <x14:cfRule type="dataBar" id="{2F90266A-4F8E-9540-AE48-460B06673560}">
            <x14:dataBar minLength="0" maxLength="100" axisPosition="none">
              <x14:cfvo type="num">
                <xm:f>0</xm:f>
              </x14:cfvo>
              <x14:cfvo type="num">
                <xm:f>1</xm:f>
              </x14:cfvo>
              <x14:negativeFillColor theme="0"/>
            </x14:dataBar>
          </x14:cfRule>
          <xm:sqref>D88:F90</xm:sqref>
        </x14:conditionalFormatting>
        <x14:conditionalFormatting xmlns:xm="http://schemas.microsoft.com/office/excel/2006/main">
          <x14:cfRule type="dataBar" id="{4640FFB8-2AF2-2844-8474-2FB608952A01}">
            <x14:dataBar minLength="0" maxLength="100" axisPosition="none">
              <x14:cfvo type="num">
                <xm:f>0</xm:f>
              </x14:cfvo>
              <x14:cfvo type="num">
                <xm:f>1</xm:f>
              </x14:cfvo>
              <x14:negativeFillColor theme="0"/>
            </x14:dataBar>
          </x14:cfRule>
          <xm:sqref>D91:F93</xm:sqref>
        </x14:conditionalFormatting>
        <x14:conditionalFormatting xmlns:xm="http://schemas.microsoft.com/office/excel/2006/main">
          <x14:cfRule type="dataBar" id="{0CF5FC3E-BEA6-1E48-AB5B-5AA72A0B6750}">
            <x14:dataBar minLength="0" maxLength="100" axisPosition="none">
              <x14:cfvo type="num">
                <xm:f>0</xm:f>
              </x14:cfvo>
              <x14:cfvo type="num">
                <xm:f>1</xm:f>
              </x14:cfvo>
              <x14:negativeFillColor theme="0"/>
            </x14:dataBar>
          </x14:cfRule>
          <xm:sqref>D53:F53</xm:sqref>
        </x14:conditionalFormatting>
        <x14:conditionalFormatting xmlns:xm="http://schemas.microsoft.com/office/excel/2006/main">
          <x14:cfRule type="dataBar" id="{6A0357E7-26DC-604E-805A-67A0617B06FF}">
            <x14:dataBar minLength="0" maxLength="100" axisPosition="none">
              <x14:cfvo type="num">
                <xm:f>0</xm:f>
              </x14:cfvo>
              <x14:cfvo type="num">
                <xm:f>1</xm:f>
              </x14:cfvo>
              <x14:negativeFillColor theme="0"/>
            </x14:dataBar>
          </x14:cfRule>
          <xm:sqref>D69:F69</xm:sqref>
        </x14:conditionalFormatting>
        <x14:conditionalFormatting xmlns:xm="http://schemas.microsoft.com/office/excel/2006/main">
          <x14:cfRule type="dataBar" id="{8D2AE8A9-465D-8F4F-8966-9873357F651B}">
            <x14:dataBar minLength="0" maxLength="100" axisPosition="none">
              <x14:cfvo type="num">
                <xm:f>0</xm:f>
              </x14:cfvo>
              <x14:cfvo type="num">
                <xm:f>1</xm:f>
              </x14:cfvo>
              <x14:negativeFillColor theme="0"/>
            </x14:dataBar>
          </x14:cfRule>
          <xm:sqref>D87:F87</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Y134"/>
  <sheetViews>
    <sheetView topLeftCell="B7" workbookViewId="0">
      <pane xSplit="3" topLeftCell="J1" activePane="topRight" state="frozen"/>
      <selection activeCell="B2" sqref="B2"/>
      <selection pane="topRight" activeCell="O13" sqref="O1:P1048576"/>
    </sheetView>
  </sheetViews>
  <sheetFormatPr baseColWidth="10" defaultColWidth="8.83203125" defaultRowHeight="14" x14ac:dyDescent="0.15"/>
  <cols>
    <col min="1" max="1" width="0" style="23" hidden="1" customWidth="1"/>
    <col min="2" max="2" width="9" bestFit="1" customWidth="1"/>
    <col min="3" max="3" width="12" bestFit="1" customWidth="1"/>
    <col min="4" max="4" width="78.6640625" customWidth="1"/>
    <col min="5" max="5" width="33.6640625" style="28" customWidth="1"/>
    <col min="6" max="6" width="4.83203125" style="23" hidden="1" customWidth="1"/>
    <col min="7" max="7" width="8.6640625" style="23" hidden="1" customWidth="1"/>
    <col min="8" max="8" width="8.6640625" style="127" hidden="1" customWidth="1"/>
    <col min="9" max="9" width="15" style="12" bestFit="1" customWidth="1"/>
    <col min="10" max="10" width="26.83203125" customWidth="1"/>
    <col min="11" max="11" width="8.6640625" style="23" hidden="1" customWidth="1"/>
    <col min="12" max="12" width="8.6640625" style="127" hidden="1" customWidth="1"/>
    <col min="13" max="13" width="12.1640625" customWidth="1"/>
    <col min="14" max="14" width="27" customWidth="1"/>
    <col min="15" max="15" width="8.6640625" style="23" hidden="1" customWidth="1"/>
    <col min="16" max="16" width="8.6640625" style="127" hidden="1" customWidth="1"/>
    <col min="17" max="17" width="12.1640625" customWidth="1"/>
    <col min="18" max="18" width="26.6640625" customWidth="1"/>
    <col min="19" max="19" width="8.6640625" style="23" hidden="1" customWidth="1"/>
    <col min="20" max="20" width="8.6640625" style="127" hidden="1" customWidth="1"/>
    <col min="21" max="21" width="12.1640625" customWidth="1"/>
    <col min="22" max="22" width="27.1640625" customWidth="1"/>
    <col min="23" max="23" width="8.6640625" style="23" hidden="1" customWidth="1"/>
    <col min="24" max="24" width="8.6640625" style="127" hidden="1" customWidth="1"/>
    <col min="25" max="25" width="12.1640625" customWidth="1"/>
  </cols>
  <sheetData>
    <row r="1" spans="1:25" ht="17" customHeight="1" x14ac:dyDescent="0.2">
      <c r="A1"/>
      <c r="B1" s="345" t="str">
        <f>CONCATENATE("SAMM Assessment Interview: ",D13," For ",D12)</f>
        <v>SAMM Assessment Interview: 0 For 0</v>
      </c>
      <c r="C1" s="345"/>
      <c r="D1" s="345"/>
      <c r="E1" s="345"/>
      <c r="F1" s="345"/>
      <c r="G1" s="345"/>
      <c r="H1" s="345"/>
      <c r="I1" s="10"/>
      <c r="J1" s="132"/>
      <c r="K1" s="132"/>
      <c r="L1" s="132"/>
      <c r="M1" s="132"/>
      <c r="N1" s="132"/>
      <c r="O1" s="132"/>
      <c r="P1" s="132"/>
      <c r="Q1" s="132"/>
      <c r="R1" s="132"/>
      <c r="S1" s="132"/>
      <c r="T1" s="132"/>
      <c r="U1" s="132"/>
      <c r="V1" s="132"/>
      <c r="W1" s="132"/>
      <c r="X1" s="132"/>
      <c r="Y1" s="132"/>
    </row>
    <row r="2" spans="1:25" ht="12.75" customHeight="1" thickBot="1" x14ac:dyDescent="0.2">
      <c r="A2"/>
      <c r="B2" s="132"/>
      <c r="C2" s="132"/>
      <c r="D2" s="132"/>
      <c r="E2" s="24"/>
      <c r="F2" s="20"/>
      <c r="G2" s="20"/>
      <c r="H2" s="115"/>
      <c r="I2" s="10"/>
      <c r="J2" s="132"/>
      <c r="K2" s="20"/>
      <c r="L2" s="115"/>
      <c r="M2" s="132"/>
      <c r="N2" s="132"/>
      <c r="O2" s="20"/>
      <c r="P2" s="115"/>
      <c r="Q2" s="132"/>
      <c r="R2" s="132"/>
      <c r="S2" s="20"/>
      <c r="T2" s="115"/>
      <c r="U2" s="132"/>
      <c r="V2" s="132"/>
      <c r="W2" s="20"/>
      <c r="X2" s="115"/>
      <c r="Y2" s="132"/>
    </row>
    <row r="3" spans="1:25" ht="12.75" customHeight="1" x14ac:dyDescent="0.15">
      <c r="A3"/>
      <c r="B3" s="346" t="s">
        <v>16</v>
      </c>
      <c r="C3" s="347"/>
      <c r="D3" s="348"/>
      <c r="E3"/>
      <c r="F3"/>
      <c r="G3"/>
      <c r="H3"/>
      <c r="I3" s="10"/>
      <c r="J3" s="132"/>
      <c r="K3"/>
      <c r="L3"/>
      <c r="M3" s="132"/>
      <c r="N3" s="132"/>
      <c r="O3"/>
      <c r="P3"/>
      <c r="Q3" s="132"/>
      <c r="R3" s="132"/>
      <c r="S3"/>
      <c r="T3"/>
      <c r="U3" s="132"/>
      <c r="V3" s="132"/>
      <c r="W3"/>
      <c r="X3"/>
      <c r="Y3" s="132"/>
    </row>
    <row r="4" spans="1:25" ht="12.75" customHeight="1" x14ac:dyDescent="0.15">
      <c r="A4"/>
      <c r="B4" s="507" t="s">
        <v>151</v>
      </c>
      <c r="C4" s="508"/>
      <c r="D4" s="509"/>
      <c r="E4"/>
      <c r="F4"/>
      <c r="G4"/>
      <c r="H4"/>
      <c r="I4" s="10"/>
      <c r="J4" s="132"/>
      <c r="K4"/>
      <c r="L4"/>
      <c r="M4" s="132"/>
      <c r="N4" s="132"/>
      <c r="O4"/>
      <c r="P4"/>
      <c r="Q4" s="132"/>
      <c r="R4" s="132"/>
      <c r="S4"/>
      <c r="T4"/>
      <c r="U4" s="132"/>
      <c r="V4" s="132"/>
      <c r="W4"/>
      <c r="X4"/>
      <c r="Y4" s="132"/>
    </row>
    <row r="5" spans="1:25" ht="12.75" customHeight="1" x14ac:dyDescent="0.15">
      <c r="A5"/>
      <c r="B5" s="431" t="s">
        <v>157</v>
      </c>
      <c r="C5" s="432"/>
      <c r="D5" s="433"/>
      <c r="E5"/>
      <c r="F5"/>
      <c r="G5"/>
      <c r="H5"/>
      <c r="I5" s="10"/>
      <c r="J5" s="132"/>
      <c r="K5"/>
      <c r="L5"/>
      <c r="M5" s="132"/>
      <c r="N5" s="132"/>
      <c r="O5"/>
      <c r="P5"/>
      <c r="Q5" s="132"/>
      <c r="R5" s="132"/>
      <c r="S5"/>
      <c r="T5"/>
      <c r="U5" s="132"/>
      <c r="V5" s="132"/>
      <c r="W5"/>
      <c r="X5"/>
      <c r="Y5" s="132"/>
    </row>
    <row r="6" spans="1:25" ht="12.75" customHeight="1" x14ac:dyDescent="0.15">
      <c r="A6"/>
      <c r="B6" s="431" t="s">
        <v>154</v>
      </c>
      <c r="C6" s="432"/>
      <c r="D6" s="433"/>
      <c r="E6"/>
      <c r="F6"/>
      <c r="G6"/>
      <c r="H6"/>
      <c r="I6" s="10"/>
      <c r="J6" s="132"/>
      <c r="K6"/>
      <c r="L6"/>
      <c r="M6" s="132"/>
      <c r="N6" s="132"/>
      <c r="O6"/>
      <c r="P6"/>
      <c r="Q6" s="132"/>
      <c r="R6" s="132"/>
      <c r="S6"/>
      <c r="T6"/>
      <c r="U6" s="132"/>
      <c r="V6" s="132"/>
      <c r="W6"/>
      <c r="X6"/>
      <c r="Y6" s="132"/>
    </row>
    <row r="7" spans="1:25" ht="12.75" customHeight="1" x14ac:dyDescent="0.15">
      <c r="A7"/>
      <c r="B7" s="431" t="s">
        <v>152</v>
      </c>
      <c r="C7" s="432"/>
      <c r="D7" s="433"/>
      <c r="E7"/>
      <c r="F7"/>
      <c r="G7"/>
      <c r="H7"/>
      <c r="I7" s="10"/>
      <c r="J7" s="132"/>
      <c r="K7"/>
      <c r="L7"/>
      <c r="M7" s="132"/>
      <c r="N7" s="132"/>
      <c r="O7"/>
      <c r="P7"/>
      <c r="Q7" s="132"/>
      <c r="R7" s="132"/>
      <c r="S7"/>
      <c r="T7"/>
      <c r="U7" s="132"/>
      <c r="V7" s="132"/>
      <c r="W7"/>
      <c r="X7"/>
      <c r="Y7" s="132"/>
    </row>
    <row r="8" spans="1:25" ht="12.75" customHeight="1" x14ac:dyDescent="0.15">
      <c r="A8"/>
      <c r="B8" s="431" t="s">
        <v>153</v>
      </c>
      <c r="C8" s="432"/>
      <c r="D8" s="433"/>
      <c r="E8"/>
      <c r="F8"/>
      <c r="G8"/>
      <c r="H8"/>
      <c r="I8" s="10"/>
      <c r="J8" s="132"/>
      <c r="K8"/>
      <c r="L8"/>
      <c r="M8" s="132"/>
      <c r="N8" s="132"/>
      <c r="O8"/>
      <c r="P8"/>
      <c r="Q8" s="132"/>
      <c r="R8" s="132"/>
      <c r="S8"/>
      <c r="T8"/>
      <c r="U8" s="132"/>
      <c r="V8" s="132"/>
      <c r="W8"/>
      <c r="X8"/>
      <c r="Y8" s="132"/>
    </row>
    <row r="9" spans="1:25" ht="12.75" customHeight="1" x14ac:dyDescent="0.15">
      <c r="A9"/>
      <c r="B9" s="431" t="s">
        <v>156</v>
      </c>
      <c r="C9" s="432"/>
      <c r="D9" s="433"/>
      <c r="E9"/>
      <c r="F9"/>
      <c r="G9"/>
      <c r="H9"/>
      <c r="I9" s="10"/>
      <c r="J9" s="132"/>
      <c r="K9"/>
      <c r="L9"/>
      <c r="M9" s="132"/>
      <c r="N9" s="132"/>
      <c r="O9"/>
      <c r="P9"/>
      <c r="Q9" s="132"/>
      <c r="R9" s="132"/>
      <c r="S9"/>
      <c r="T9"/>
      <c r="U9" s="132"/>
      <c r="V9" s="132"/>
      <c r="W9"/>
      <c r="X9"/>
      <c r="Y9" s="132"/>
    </row>
    <row r="10" spans="1:25" ht="12.75" customHeight="1" thickBot="1" x14ac:dyDescent="0.2">
      <c r="A10"/>
      <c r="B10" s="510" t="s">
        <v>155</v>
      </c>
      <c r="C10" s="511"/>
      <c r="D10" s="512"/>
      <c r="E10"/>
      <c r="F10"/>
      <c r="G10"/>
      <c r="H10"/>
      <c r="I10" s="10"/>
      <c r="J10" s="132"/>
      <c r="K10"/>
      <c r="L10"/>
      <c r="M10" s="132"/>
      <c r="N10" s="132"/>
      <c r="O10"/>
      <c r="P10"/>
      <c r="Q10" s="132"/>
      <c r="R10" s="132"/>
      <c r="S10"/>
      <c r="T10"/>
      <c r="U10" s="132"/>
      <c r="V10" s="132"/>
      <c r="W10"/>
      <c r="X10"/>
      <c r="Y10" s="132"/>
    </row>
    <row r="11" spans="1:25" ht="12.75" customHeight="1" thickBot="1" x14ac:dyDescent="0.2">
      <c r="A11"/>
      <c r="B11" s="132"/>
      <c r="C11" s="132"/>
      <c r="D11" s="132"/>
      <c r="E11" s="24"/>
      <c r="F11" s="20"/>
      <c r="G11" s="20"/>
      <c r="H11" s="115"/>
      <c r="I11" s="10"/>
      <c r="J11" s="132"/>
      <c r="K11" s="20"/>
      <c r="L11" s="115"/>
      <c r="M11" s="132"/>
      <c r="N11" s="132"/>
      <c r="O11" s="20"/>
      <c r="P11" s="115"/>
      <c r="Q11" s="132"/>
      <c r="R11" s="132"/>
      <c r="S11" s="20"/>
      <c r="T11" s="115"/>
      <c r="U11" s="132"/>
      <c r="V11" s="132"/>
      <c r="W11" s="20"/>
      <c r="X11" s="115"/>
      <c r="Y11" s="132"/>
    </row>
    <row r="12" spans="1:25" x14ac:dyDescent="0.15">
      <c r="A12"/>
      <c r="B12" s="516" t="s">
        <v>20</v>
      </c>
      <c r="C12" s="517"/>
      <c r="D12" s="228">
        <f>Interview!D10</f>
        <v>0</v>
      </c>
      <c r="E12" s="24"/>
      <c r="F12" s="20"/>
      <c r="G12" s="20"/>
      <c r="H12" s="115"/>
      <c r="I12" s="10"/>
      <c r="J12" s="132"/>
      <c r="K12" s="20"/>
      <c r="L12" s="115"/>
      <c r="M12" s="132"/>
      <c r="N12" s="132"/>
      <c r="O12" s="20"/>
      <c r="P12" s="115"/>
      <c r="Q12" s="132"/>
      <c r="R12" s="132"/>
      <c r="S12" s="20"/>
      <c r="T12" s="115"/>
      <c r="U12" s="132"/>
      <c r="V12" s="132"/>
      <c r="W12" s="20"/>
      <c r="X12" s="115"/>
      <c r="Y12" s="132"/>
    </row>
    <row r="13" spans="1:25" x14ac:dyDescent="0.15">
      <c r="A13"/>
      <c r="B13" s="518" t="s">
        <v>21</v>
      </c>
      <c r="C13" s="519"/>
      <c r="D13" s="229">
        <f>Interview!D11</f>
        <v>0</v>
      </c>
      <c r="E13" s="24"/>
      <c r="F13" s="20"/>
      <c r="G13" s="20"/>
      <c r="H13" s="115"/>
      <c r="I13" s="10"/>
      <c r="J13" s="132"/>
      <c r="K13" s="20"/>
      <c r="L13" s="115"/>
      <c r="M13" s="132"/>
      <c r="N13" s="132"/>
      <c r="O13" s="20"/>
      <c r="P13" s="115"/>
      <c r="Q13" s="132"/>
      <c r="R13" s="132"/>
      <c r="S13" s="20"/>
      <c r="T13" s="115"/>
      <c r="U13" s="132"/>
      <c r="V13" s="132"/>
      <c r="W13" s="20"/>
      <c r="X13" s="115"/>
      <c r="Y13" s="132"/>
    </row>
    <row r="14" spans="1:25" x14ac:dyDescent="0.15">
      <c r="A14"/>
      <c r="B14" s="518" t="s">
        <v>22</v>
      </c>
      <c r="C14" s="519"/>
      <c r="D14" s="230">
        <f>Interview!D12</f>
        <v>0</v>
      </c>
      <c r="E14" s="24"/>
      <c r="F14" s="20"/>
      <c r="G14" s="20"/>
      <c r="H14" s="115"/>
      <c r="I14" s="10"/>
      <c r="J14" s="132"/>
      <c r="K14" s="20"/>
      <c r="L14" s="115"/>
      <c r="M14" s="132"/>
      <c r="N14" s="132"/>
      <c r="O14" s="20"/>
      <c r="P14" s="115"/>
      <c r="Q14" s="132"/>
      <c r="R14" s="132"/>
      <c r="S14" s="20"/>
      <c r="T14" s="115"/>
      <c r="U14" s="132"/>
      <c r="V14" s="132"/>
      <c r="W14" s="20"/>
      <c r="X14" s="115"/>
      <c r="Y14" s="132"/>
    </row>
    <row r="15" spans="1:25" x14ac:dyDescent="0.15">
      <c r="A15"/>
      <c r="B15" s="518" t="s">
        <v>23</v>
      </c>
      <c r="C15" s="519"/>
      <c r="D15" s="229">
        <f>Interview!D13</f>
        <v>0</v>
      </c>
      <c r="E15" s="24"/>
      <c r="F15" s="20"/>
      <c r="G15" s="20"/>
      <c r="H15" s="115"/>
      <c r="I15" s="10"/>
      <c r="J15" s="132"/>
      <c r="K15" s="20"/>
      <c r="L15" s="115"/>
      <c r="M15" s="132"/>
      <c r="N15" s="132"/>
      <c r="O15" s="20"/>
      <c r="P15" s="115"/>
      <c r="Q15" s="132"/>
      <c r="R15" s="132"/>
      <c r="S15" s="20"/>
      <c r="T15" s="115"/>
      <c r="U15" s="132"/>
      <c r="V15" s="132"/>
      <c r="W15" s="20"/>
      <c r="X15" s="115"/>
      <c r="Y15" s="132"/>
    </row>
    <row r="16" spans="1:25" ht="15" thickBot="1" x14ac:dyDescent="0.2">
      <c r="A16"/>
      <c r="B16" s="520" t="s">
        <v>65</v>
      </c>
      <c r="C16" s="521"/>
      <c r="D16" s="227">
        <f>Interview!D14</f>
        <v>0</v>
      </c>
      <c r="E16" s="24"/>
      <c r="F16" s="20"/>
      <c r="G16" s="20"/>
      <c r="H16" s="115"/>
      <c r="I16" s="10"/>
      <c r="J16" s="132"/>
      <c r="K16" s="20"/>
      <c r="L16" s="115"/>
      <c r="M16" s="132"/>
      <c r="N16" s="132"/>
      <c r="O16" s="20"/>
      <c r="P16" s="115"/>
      <c r="Q16" s="132"/>
      <c r="R16" s="132"/>
      <c r="S16" s="20"/>
      <c r="T16" s="115"/>
      <c r="U16" s="132"/>
      <c r="V16" s="132"/>
      <c r="W16" s="20"/>
      <c r="X16" s="115"/>
      <c r="Y16" s="132"/>
    </row>
    <row r="17" spans="1:25" ht="12.75" customHeight="1" thickBot="1" x14ac:dyDescent="0.2">
      <c r="A17"/>
      <c r="B17" s="132"/>
      <c r="C17" s="132"/>
      <c r="D17" s="132"/>
      <c r="E17" s="24"/>
      <c r="F17" s="20"/>
      <c r="G17" s="20"/>
      <c r="H17" s="115"/>
      <c r="I17" s="10"/>
      <c r="J17" s="132"/>
      <c r="K17" s="20"/>
      <c r="L17" s="115"/>
      <c r="M17" s="132"/>
      <c r="N17" s="132"/>
      <c r="O17" s="20"/>
      <c r="P17" s="115"/>
      <c r="Q17" s="132"/>
      <c r="R17" s="132"/>
      <c r="S17" s="20"/>
      <c r="T17" s="115"/>
      <c r="U17" s="132"/>
      <c r="V17" s="132"/>
      <c r="W17" s="20"/>
      <c r="X17" s="115"/>
      <c r="Y17" s="132"/>
    </row>
    <row r="18" spans="1:25" ht="12.75" customHeight="1" x14ac:dyDescent="0.15">
      <c r="A18"/>
      <c r="B18" s="442" t="s">
        <v>24</v>
      </c>
      <c r="C18" s="442"/>
      <c r="D18" s="442"/>
      <c r="E18" s="442" t="s">
        <v>145</v>
      </c>
      <c r="F18" s="442"/>
      <c r="G18" s="442"/>
      <c r="H18" s="442"/>
      <c r="I18" s="442"/>
      <c r="J18" s="436" t="s">
        <v>144</v>
      </c>
      <c r="K18" s="437"/>
      <c r="L18" s="437"/>
      <c r="M18" s="438"/>
      <c r="N18" s="436" t="s">
        <v>146</v>
      </c>
      <c r="O18" s="437"/>
      <c r="P18" s="437"/>
      <c r="Q18" s="438"/>
      <c r="R18" s="436" t="s">
        <v>147</v>
      </c>
      <c r="S18" s="437"/>
      <c r="T18" s="437"/>
      <c r="U18" s="438"/>
      <c r="V18" s="436" t="s">
        <v>148</v>
      </c>
      <c r="W18" s="437"/>
      <c r="X18" s="437"/>
      <c r="Y18" s="438"/>
    </row>
    <row r="19" spans="1:25" ht="12.75" customHeight="1" x14ac:dyDescent="0.15">
      <c r="B19" s="513" t="s">
        <v>25</v>
      </c>
      <c r="C19" s="514"/>
      <c r="D19" s="515"/>
      <c r="E19" s="191" t="s">
        <v>70</v>
      </c>
      <c r="F19" s="191"/>
      <c r="G19" s="191"/>
      <c r="H19" s="192"/>
      <c r="I19" s="204" t="s">
        <v>68</v>
      </c>
      <c r="J19" s="167" t="s">
        <v>70</v>
      </c>
      <c r="K19" s="69"/>
      <c r="L19" s="116"/>
      <c r="M19" s="168" t="s">
        <v>68</v>
      </c>
      <c r="N19" s="167" t="s">
        <v>70</v>
      </c>
      <c r="O19" s="69"/>
      <c r="P19" s="116"/>
      <c r="Q19" s="168" t="s">
        <v>68</v>
      </c>
      <c r="R19" s="167" t="s">
        <v>70</v>
      </c>
      <c r="S19" s="69"/>
      <c r="T19" s="116"/>
      <c r="U19" s="168" t="s">
        <v>68</v>
      </c>
      <c r="V19" s="167" t="s">
        <v>70</v>
      </c>
      <c r="W19" s="69"/>
      <c r="X19" s="116"/>
      <c r="Y19" s="168" t="s">
        <v>68</v>
      </c>
    </row>
    <row r="20" spans="1:25" ht="12.75" customHeight="1" x14ac:dyDescent="0.15">
      <c r="A20" s="23">
        <v>1</v>
      </c>
      <c r="B20" s="460" t="s">
        <v>27</v>
      </c>
      <c r="C20" s="461">
        <f>Interview!C18</f>
        <v>1</v>
      </c>
      <c r="D20" s="462"/>
      <c r="E20" s="148">
        <f>Interview!F18</f>
        <v>0</v>
      </c>
      <c r="F20" s="152">
        <v>1</v>
      </c>
      <c r="G20" s="152">
        <f>IFERROR(VLOOKUP(E20,AnswerATBL,2,FALSE),0)</f>
        <v>0</v>
      </c>
      <c r="H20" s="193">
        <f>IFERROR(AVERAGE(G20,G21,G22),0)</f>
        <v>0</v>
      </c>
      <c r="I20" s="447">
        <f>SUM(H20,H24,H28)</f>
        <v>0</v>
      </c>
      <c r="J20" s="169"/>
      <c r="K20" s="152">
        <f>IFERROR(VLOOKUP(J20,AnswerATBL,2,FALSE),0)</f>
        <v>0</v>
      </c>
      <c r="L20" s="153">
        <f>IFERROR(AVERAGE(K20,K21,K22),0)</f>
        <v>0</v>
      </c>
      <c r="M20" s="439">
        <f>SUM(L20,L24,L28)</f>
        <v>0</v>
      </c>
      <c r="N20" s="169"/>
      <c r="O20" s="152">
        <f>IFERROR(VLOOKUP(N20,AnswerATBL,2,FALSE),0)</f>
        <v>0</v>
      </c>
      <c r="P20" s="153">
        <f>IFERROR(AVERAGE(O20,O21,O22),0)</f>
        <v>0</v>
      </c>
      <c r="Q20" s="439">
        <f>SUM(P20,P24,P28)</f>
        <v>0</v>
      </c>
      <c r="R20" s="169"/>
      <c r="S20" s="152">
        <f>IFERROR(VLOOKUP(R20,AnswerATBL,2,FALSE),0)</f>
        <v>0</v>
      </c>
      <c r="T20" s="153">
        <f>IFERROR(AVERAGE(S20,S21,S22),0)</f>
        <v>0</v>
      </c>
      <c r="U20" s="439">
        <f>SUM(T20,T24,T28)</f>
        <v>0</v>
      </c>
      <c r="V20" s="169"/>
      <c r="W20" s="152">
        <f>IFERROR(VLOOKUP(V20,AnswerATBL,2,FALSE),0)</f>
        <v>0</v>
      </c>
      <c r="X20" s="153">
        <f>IFERROR(AVERAGE(W20,W21,W22),0)</f>
        <v>0</v>
      </c>
      <c r="Y20" s="439">
        <f>SUM(X20,X24,X28)</f>
        <v>0</v>
      </c>
    </row>
    <row r="21" spans="1:25" ht="12.75" customHeight="1" x14ac:dyDescent="0.15">
      <c r="A21" s="23">
        <v>2</v>
      </c>
      <c r="B21" s="454"/>
      <c r="C21" s="449">
        <f>Interview!C22</f>
        <v>3</v>
      </c>
      <c r="D21" s="450"/>
      <c r="E21" s="26">
        <f>Interview!F22</f>
        <v>0</v>
      </c>
      <c r="F21" s="149">
        <v>2</v>
      </c>
      <c r="G21" s="149">
        <f>IFERROR(VLOOKUP(E21,AnswerCTBL,2,FALSE),0)</f>
        <v>0</v>
      </c>
      <c r="H21" s="194"/>
      <c r="I21" s="448"/>
      <c r="J21" s="170"/>
      <c r="K21" s="149">
        <f>IFERROR(VLOOKUP(J21,AnswerCTBL,2,FALSE),0)</f>
        <v>0</v>
      </c>
      <c r="L21" s="151"/>
      <c r="M21" s="440"/>
      <c r="N21" s="170"/>
      <c r="O21" s="149">
        <f>IFERROR(VLOOKUP(N21,AnswerCTBL,2,FALSE),0)</f>
        <v>0</v>
      </c>
      <c r="P21" s="151"/>
      <c r="Q21" s="440"/>
      <c r="R21" s="170"/>
      <c r="S21" s="149">
        <f>IFERROR(VLOOKUP(R21,AnswerCTBL,2,FALSE),0)</f>
        <v>0</v>
      </c>
      <c r="T21" s="151"/>
      <c r="U21" s="440"/>
      <c r="V21" s="170"/>
      <c r="W21" s="149">
        <f>IFERROR(VLOOKUP(V21,AnswerCTBL,2,FALSE),0)</f>
        <v>0</v>
      </c>
      <c r="X21" s="151"/>
      <c r="Y21" s="440"/>
    </row>
    <row r="22" spans="1:25" ht="12.75" customHeight="1" x14ac:dyDescent="0.15">
      <c r="A22" s="23">
        <v>3</v>
      </c>
      <c r="B22" s="455"/>
      <c r="C22" s="451" t="e">
        <f>Interview!#REF!</f>
        <v>#REF!</v>
      </c>
      <c r="D22" s="452"/>
      <c r="E22" s="26" t="e">
        <f>Interview!#REF!</f>
        <v>#REF!</v>
      </c>
      <c r="F22" s="18">
        <v>3</v>
      </c>
      <c r="G22" s="18">
        <f>IFERROR(VLOOKUP(E22,AnswerCTBL,2,FALSE),0)</f>
        <v>0</v>
      </c>
      <c r="H22" s="195"/>
      <c r="I22" s="205"/>
      <c r="J22" s="170"/>
      <c r="K22" s="18">
        <f>IFERROR(VLOOKUP(J22,AnswerCTBL,2,FALSE),0)</f>
        <v>0</v>
      </c>
      <c r="L22" s="105"/>
      <c r="M22" s="440"/>
      <c r="N22" s="170"/>
      <c r="O22" s="18">
        <f>IFERROR(VLOOKUP(N22,AnswerCTBL,2,FALSE),0)</f>
        <v>0</v>
      </c>
      <c r="P22" s="105"/>
      <c r="Q22" s="440"/>
      <c r="R22" s="170"/>
      <c r="S22" s="18">
        <f>IFERROR(VLOOKUP(R22,AnswerCTBL,2,FALSE),0)</f>
        <v>0</v>
      </c>
      <c r="T22" s="105"/>
      <c r="U22" s="440"/>
      <c r="V22" s="170"/>
      <c r="W22" s="18">
        <f>IFERROR(VLOOKUP(V22,AnswerCTBL,2,FALSE),0)</f>
        <v>0</v>
      </c>
      <c r="X22" s="105"/>
      <c r="Y22" s="440"/>
    </row>
    <row r="23" spans="1:25" ht="12.75" customHeight="1" x14ac:dyDescent="0.15">
      <c r="B23" s="382"/>
      <c r="C23" s="383"/>
      <c r="D23" s="383"/>
      <c r="E23" s="383"/>
      <c r="F23" s="383"/>
      <c r="G23" s="383"/>
      <c r="H23" s="384"/>
      <c r="I23" s="205"/>
      <c r="J23" s="171"/>
      <c r="K23" s="162"/>
      <c r="L23" s="162"/>
      <c r="M23" s="172"/>
      <c r="N23" s="171"/>
      <c r="O23" s="162"/>
      <c r="P23" s="162"/>
      <c r="Q23" s="172"/>
      <c r="R23" s="171"/>
      <c r="S23" s="162"/>
      <c r="T23" s="162"/>
      <c r="U23" s="172"/>
      <c r="V23" s="171"/>
      <c r="W23" s="162"/>
      <c r="X23" s="162"/>
      <c r="Y23" s="172"/>
    </row>
    <row r="24" spans="1:25" ht="12.75" customHeight="1" x14ac:dyDescent="0.15">
      <c r="A24" s="23">
        <v>4</v>
      </c>
      <c r="B24" s="453" t="s">
        <v>28</v>
      </c>
      <c r="C24" s="456">
        <f>Interview!C25</f>
        <v>1</v>
      </c>
      <c r="D24" s="457"/>
      <c r="E24" s="26">
        <f>Interview!F25</f>
        <v>0</v>
      </c>
      <c r="F24" s="149">
        <v>4</v>
      </c>
      <c r="G24" s="149">
        <f>IFERROR(VLOOKUP(E24,AnswerCTBL,2,FALSE),0)</f>
        <v>0</v>
      </c>
      <c r="H24" s="196">
        <f>IFERROR(AVERAGE(G24,G25,G26),0)</f>
        <v>0</v>
      </c>
      <c r="I24" s="205"/>
      <c r="J24" s="169"/>
      <c r="K24" s="149">
        <f>IFERROR(VLOOKUP(J24,AnswerCTBL,2,FALSE),0)</f>
        <v>0</v>
      </c>
      <c r="L24" s="150">
        <f>IFERROR(AVERAGE(K24,K25,K26),0)</f>
        <v>0</v>
      </c>
      <c r="M24" s="173"/>
      <c r="N24" s="169"/>
      <c r="O24" s="149">
        <f>IFERROR(VLOOKUP(N24,AnswerCTBL,2,FALSE),0)</f>
        <v>0</v>
      </c>
      <c r="P24" s="150">
        <f>IFERROR(AVERAGE(O24,O25,O26),0)</f>
        <v>0</v>
      </c>
      <c r="Q24" s="173"/>
      <c r="R24" s="169"/>
      <c r="S24" s="149">
        <f>IFERROR(VLOOKUP(R24,AnswerCTBL,2,FALSE),0)</f>
        <v>0</v>
      </c>
      <c r="T24" s="150">
        <f>IFERROR(AVERAGE(S24,S25,S26),0)</f>
        <v>0</v>
      </c>
      <c r="U24" s="173"/>
      <c r="V24" s="169"/>
      <c r="W24" s="149">
        <f>IFERROR(VLOOKUP(V24,AnswerCTBL,2,FALSE),0)</f>
        <v>0</v>
      </c>
      <c r="X24" s="150">
        <f>IFERROR(AVERAGE(W24,W25,W26),0)</f>
        <v>0</v>
      </c>
      <c r="Y24" s="173"/>
    </row>
    <row r="25" spans="1:25" ht="12.75" customHeight="1" x14ac:dyDescent="0.15">
      <c r="A25" s="23">
        <v>5</v>
      </c>
      <c r="B25" s="454"/>
      <c r="C25" s="449">
        <f>Interview!C29</f>
        <v>3</v>
      </c>
      <c r="D25" s="450"/>
      <c r="E25" s="26">
        <f>Interview!F29</f>
        <v>0</v>
      </c>
      <c r="F25" s="149">
        <v>5</v>
      </c>
      <c r="G25" s="149">
        <f>IFERROR(VLOOKUP(E25,AnswerCTBL,2,FALSE),0)</f>
        <v>0</v>
      </c>
      <c r="H25" s="194"/>
      <c r="I25" s="205"/>
      <c r="J25" s="170"/>
      <c r="K25" s="149">
        <f>IFERROR(VLOOKUP(J25,AnswerCTBL,2,FALSE),0)</f>
        <v>0</v>
      </c>
      <c r="L25" s="151"/>
      <c r="M25" s="173"/>
      <c r="N25" s="170"/>
      <c r="O25" s="149">
        <f>IFERROR(VLOOKUP(N25,AnswerCTBL,2,FALSE),0)</f>
        <v>0</v>
      </c>
      <c r="P25" s="151"/>
      <c r="Q25" s="173"/>
      <c r="R25" s="170"/>
      <c r="S25" s="149">
        <f>IFERROR(VLOOKUP(R25,AnswerCTBL,2,FALSE),0)</f>
        <v>0</v>
      </c>
      <c r="T25" s="151"/>
      <c r="U25" s="173"/>
      <c r="V25" s="170"/>
      <c r="W25" s="149">
        <f>IFERROR(VLOOKUP(V25,AnswerCTBL,2,FALSE),0)</f>
        <v>0</v>
      </c>
      <c r="X25" s="151"/>
      <c r="Y25" s="173"/>
    </row>
    <row r="26" spans="1:25" ht="12" customHeight="1" x14ac:dyDescent="0.15">
      <c r="A26" s="23">
        <v>6</v>
      </c>
      <c r="B26" s="455"/>
      <c r="C26" s="458" t="e">
        <f>Interview!#REF!</f>
        <v>#REF!</v>
      </c>
      <c r="D26" s="459"/>
      <c r="E26" s="26" t="e">
        <f>Interview!#REF!</f>
        <v>#REF!</v>
      </c>
      <c r="F26" s="18">
        <v>6</v>
      </c>
      <c r="G26" s="18">
        <f>IFERROR(VLOOKUP(E26,AnswerCTBL,2,FALSE),0)</f>
        <v>0</v>
      </c>
      <c r="H26" s="195"/>
      <c r="I26" s="205"/>
      <c r="J26" s="170"/>
      <c r="K26" s="18">
        <f>IFERROR(VLOOKUP(J26,AnswerCTBL,2,FALSE),0)</f>
        <v>0</v>
      </c>
      <c r="L26" s="105"/>
      <c r="M26" s="173"/>
      <c r="N26" s="170"/>
      <c r="O26" s="18">
        <f>IFERROR(VLOOKUP(N26,AnswerCTBL,2,FALSE),0)</f>
        <v>0</v>
      </c>
      <c r="P26" s="105"/>
      <c r="Q26" s="173"/>
      <c r="R26" s="170"/>
      <c r="S26" s="18">
        <f>IFERROR(VLOOKUP(R26,AnswerCTBL,2,FALSE),0)</f>
        <v>0</v>
      </c>
      <c r="T26" s="105"/>
      <c r="U26" s="173"/>
      <c r="V26" s="170"/>
      <c r="W26" s="18">
        <f>IFERROR(VLOOKUP(V26,AnswerCTBL,2,FALSE),0)</f>
        <v>0</v>
      </c>
      <c r="X26" s="105"/>
      <c r="Y26" s="173"/>
    </row>
    <row r="27" spans="1:25" ht="12.75" customHeight="1" x14ac:dyDescent="0.15">
      <c r="B27" s="382"/>
      <c r="C27" s="383"/>
      <c r="D27" s="383"/>
      <c r="E27" s="383"/>
      <c r="F27" s="383"/>
      <c r="G27" s="383"/>
      <c r="H27" s="384"/>
      <c r="I27" s="205"/>
      <c r="J27" s="171"/>
      <c r="K27" s="162"/>
      <c r="L27" s="162"/>
      <c r="M27" s="172"/>
      <c r="N27" s="171"/>
      <c r="O27" s="162"/>
      <c r="P27" s="162"/>
      <c r="Q27" s="172"/>
      <c r="R27" s="171"/>
      <c r="S27" s="162"/>
      <c r="T27" s="162"/>
      <c r="U27" s="172"/>
      <c r="V27" s="171"/>
      <c r="W27" s="162"/>
      <c r="X27" s="162"/>
      <c r="Y27" s="172"/>
    </row>
    <row r="28" spans="1:25" ht="12.75" customHeight="1" x14ac:dyDescent="0.15">
      <c r="A28" s="23">
        <v>7</v>
      </c>
      <c r="B28" s="453" t="s">
        <v>29</v>
      </c>
      <c r="C28" s="456" t="e">
        <f>Interview!#REF!</f>
        <v>#REF!</v>
      </c>
      <c r="D28" s="457"/>
      <c r="E28" s="26" t="e">
        <f>Interview!#REF!</f>
        <v>#REF!</v>
      </c>
      <c r="F28" s="149">
        <v>7</v>
      </c>
      <c r="G28" s="149">
        <f>IFERROR(VLOOKUP(E28,AnswerCTBL,2,FALSE),0)</f>
        <v>0</v>
      </c>
      <c r="H28" s="196">
        <f>IFERROR(AVERAGE(G28,G29),0)</f>
        <v>0</v>
      </c>
      <c r="I28" s="205"/>
      <c r="J28" s="169"/>
      <c r="K28" s="149">
        <f>IFERROR(VLOOKUP(J28,AnswerCTBL,2,FALSE),0)</f>
        <v>0</v>
      </c>
      <c r="L28" s="150">
        <f>IFERROR(AVERAGE(K28,K29),0)</f>
        <v>0</v>
      </c>
      <c r="M28" s="173"/>
      <c r="N28" s="169"/>
      <c r="O28" s="149">
        <f>IFERROR(VLOOKUP(N28,AnswerCTBL,2,FALSE),0)</f>
        <v>0</v>
      </c>
      <c r="P28" s="150">
        <f>IFERROR(AVERAGE(O28,O29),0)</f>
        <v>0</v>
      </c>
      <c r="Q28" s="173"/>
      <c r="R28" s="169"/>
      <c r="S28" s="149">
        <f>IFERROR(VLOOKUP(R28,AnswerCTBL,2,FALSE),0)</f>
        <v>0</v>
      </c>
      <c r="T28" s="150">
        <f>IFERROR(AVERAGE(S28,S29),0)</f>
        <v>0</v>
      </c>
      <c r="U28" s="173"/>
      <c r="V28" s="169"/>
      <c r="W28" s="149">
        <f>IFERROR(VLOOKUP(V28,AnswerCTBL,2,FALSE),0)</f>
        <v>0</v>
      </c>
      <c r="X28" s="150">
        <f>IFERROR(AVERAGE(W28,W29),0)</f>
        <v>0</v>
      </c>
      <c r="Y28" s="173"/>
    </row>
    <row r="29" spans="1:25" ht="12.75" customHeight="1" x14ac:dyDescent="0.15">
      <c r="A29" s="23">
        <v>8</v>
      </c>
      <c r="B29" s="455"/>
      <c r="C29" s="451" t="e">
        <f>Interview!#REF!</f>
        <v>#REF!</v>
      </c>
      <c r="D29" s="452"/>
      <c r="E29" s="26" t="e">
        <f>Interview!#REF!</f>
        <v>#REF!</v>
      </c>
      <c r="F29" s="18">
        <v>8</v>
      </c>
      <c r="G29" s="18">
        <f>IFERROR(VLOOKUP(E29,AnswerDTBL,2,FALSE),0)</f>
        <v>0</v>
      </c>
      <c r="H29" s="195"/>
      <c r="I29" s="205"/>
      <c r="J29" s="170"/>
      <c r="K29" s="18">
        <f>IFERROR(VLOOKUP(J29,AnswerDTBL,2,FALSE),0)</f>
        <v>0</v>
      </c>
      <c r="L29" s="105"/>
      <c r="M29" s="173"/>
      <c r="N29" s="170"/>
      <c r="O29" s="18">
        <f>IFERROR(VLOOKUP(N29,AnswerDTBL,2,FALSE),0)</f>
        <v>0</v>
      </c>
      <c r="P29" s="105"/>
      <c r="Q29" s="173"/>
      <c r="R29" s="170"/>
      <c r="S29" s="18">
        <f>IFERROR(VLOOKUP(R29,AnswerDTBL,2,FALSE),0)</f>
        <v>0</v>
      </c>
      <c r="T29" s="105"/>
      <c r="U29" s="173"/>
      <c r="V29" s="170"/>
      <c r="W29" s="18">
        <f>IFERROR(VLOOKUP(V29,AnswerDTBL,2,FALSE),0)</f>
        <v>0</v>
      </c>
      <c r="X29" s="105"/>
      <c r="Y29" s="173"/>
    </row>
    <row r="30" spans="1:25" ht="12.75" customHeight="1" x14ac:dyDescent="0.15">
      <c r="B30" s="504" t="s">
        <v>30</v>
      </c>
      <c r="C30" s="505"/>
      <c r="D30" s="506"/>
      <c r="E30" s="136" t="s">
        <v>70</v>
      </c>
      <c r="F30" s="137"/>
      <c r="G30" s="137"/>
      <c r="H30" s="138"/>
      <c r="I30" s="206" t="s">
        <v>68</v>
      </c>
      <c r="J30" s="174" t="s">
        <v>70</v>
      </c>
      <c r="K30" s="161"/>
      <c r="L30" s="161"/>
      <c r="M30" s="175" t="s">
        <v>68</v>
      </c>
      <c r="N30" s="174" t="s">
        <v>70</v>
      </c>
      <c r="O30" s="161"/>
      <c r="P30" s="161"/>
      <c r="Q30" s="175" t="s">
        <v>68</v>
      </c>
      <c r="R30" s="174" t="s">
        <v>70</v>
      </c>
      <c r="S30" s="161"/>
      <c r="T30" s="161"/>
      <c r="U30" s="175" t="s">
        <v>68</v>
      </c>
      <c r="V30" s="174" t="s">
        <v>70</v>
      </c>
      <c r="W30" s="161"/>
      <c r="X30" s="161"/>
      <c r="Y30" s="175" t="s">
        <v>68</v>
      </c>
    </row>
    <row r="31" spans="1:25" ht="12.75" customHeight="1" x14ac:dyDescent="0.15">
      <c r="A31" s="23">
        <v>9</v>
      </c>
      <c r="B31" s="453" t="s">
        <v>31</v>
      </c>
      <c r="C31" s="456">
        <f>Interview!C32</f>
        <v>1</v>
      </c>
      <c r="D31" s="457"/>
      <c r="E31" s="26">
        <f>Interview!F32</f>
        <v>0</v>
      </c>
      <c r="F31" s="149">
        <v>9</v>
      </c>
      <c r="G31" s="149">
        <f>IFERROR(VLOOKUP(E31,AnswerCTBL,2,FALSE),0)</f>
        <v>0</v>
      </c>
      <c r="H31" s="197">
        <f>IFERROR(AVERAGE(G31,G32),0)</f>
        <v>0</v>
      </c>
      <c r="I31" s="447">
        <f>SUM(H31,H34,H37)</f>
        <v>0</v>
      </c>
      <c r="J31" s="170"/>
      <c r="K31" s="149">
        <f>IFERROR(VLOOKUP(J31,AnswerCTBL,2,FALSE),0)</f>
        <v>0</v>
      </c>
      <c r="L31" s="135">
        <f>IFERROR(AVERAGE(K31,K32),0)</f>
        <v>0</v>
      </c>
      <c r="M31" s="439">
        <f>SUM(L31,L34,L37)</f>
        <v>0</v>
      </c>
      <c r="N31" s="170"/>
      <c r="O31" s="149">
        <f>IFERROR(VLOOKUP(N31,AnswerCTBL,2,FALSE),0)</f>
        <v>0</v>
      </c>
      <c r="P31" s="135">
        <f>IFERROR(AVERAGE(O31,O32),0)</f>
        <v>0</v>
      </c>
      <c r="Q31" s="439">
        <f>SUM(P31,P34,P37)</f>
        <v>0</v>
      </c>
      <c r="R31" s="170"/>
      <c r="S31" s="149">
        <f>IFERROR(VLOOKUP(R31,AnswerCTBL,2,FALSE),0)</f>
        <v>0</v>
      </c>
      <c r="T31" s="135">
        <f>IFERROR(AVERAGE(S31,S32),0)</f>
        <v>0</v>
      </c>
      <c r="U31" s="439">
        <f>SUM(T31,T34,T37)</f>
        <v>0</v>
      </c>
      <c r="V31" s="170"/>
      <c r="W31" s="149">
        <f>IFERROR(VLOOKUP(V31,AnswerCTBL,2,FALSE),0)</f>
        <v>0</v>
      </c>
      <c r="X31" s="135">
        <f>IFERROR(AVERAGE(W31,W32),0)</f>
        <v>0</v>
      </c>
      <c r="Y31" s="439">
        <f>SUM(X31,X34,X37)</f>
        <v>0</v>
      </c>
    </row>
    <row r="32" spans="1:25" ht="12.75" customHeight="1" x14ac:dyDescent="0.15">
      <c r="A32" s="23">
        <v>10</v>
      </c>
      <c r="B32" s="455"/>
      <c r="C32" s="451">
        <f>Interview!C36</f>
        <v>3</v>
      </c>
      <c r="D32" s="452"/>
      <c r="E32" s="26">
        <f>Interview!F36</f>
        <v>0</v>
      </c>
      <c r="F32" s="18">
        <v>10</v>
      </c>
      <c r="G32" s="18">
        <f>IFERROR(VLOOKUP(E32,AnswerETBL,2,FALSE),0)</f>
        <v>0</v>
      </c>
      <c r="H32" s="120"/>
      <c r="I32" s="448"/>
      <c r="J32" s="170"/>
      <c r="K32" s="18">
        <f>IFERROR(VLOOKUP(J32,AnswerETBL,2,FALSE),0)</f>
        <v>0</v>
      </c>
      <c r="L32" s="120"/>
      <c r="M32" s="441"/>
      <c r="N32" s="170"/>
      <c r="O32" s="18">
        <f>IFERROR(VLOOKUP(N32,AnswerETBL,2,FALSE),0)</f>
        <v>0</v>
      </c>
      <c r="P32" s="120"/>
      <c r="Q32" s="441"/>
      <c r="R32" s="170"/>
      <c r="S32" s="18">
        <f>IFERROR(VLOOKUP(R32,AnswerETBL,2,FALSE),0)</f>
        <v>0</v>
      </c>
      <c r="T32" s="120"/>
      <c r="U32" s="441"/>
      <c r="V32" s="170"/>
      <c r="W32" s="18">
        <f>IFERROR(VLOOKUP(V32,AnswerETBL,2,FALSE),0)</f>
        <v>0</v>
      </c>
      <c r="X32" s="120"/>
      <c r="Y32" s="441"/>
    </row>
    <row r="33" spans="1:25" ht="12.75" customHeight="1" x14ac:dyDescent="0.15">
      <c r="B33" s="382"/>
      <c r="C33" s="383"/>
      <c r="D33" s="383"/>
      <c r="E33" s="383"/>
      <c r="F33" s="383"/>
      <c r="G33" s="383"/>
      <c r="H33" s="384"/>
      <c r="I33" s="205"/>
      <c r="J33" s="171"/>
      <c r="K33" s="162"/>
      <c r="L33" s="162"/>
      <c r="M33" s="172"/>
      <c r="N33" s="171"/>
      <c r="O33" s="162"/>
      <c r="P33" s="162"/>
      <c r="Q33" s="172"/>
      <c r="R33" s="171"/>
      <c r="S33" s="162"/>
      <c r="T33" s="162"/>
      <c r="U33" s="172"/>
      <c r="V33" s="171"/>
      <c r="W33" s="162"/>
      <c r="X33" s="162"/>
      <c r="Y33" s="172"/>
    </row>
    <row r="34" spans="1:25" ht="12.75" customHeight="1" x14ac:dyDescent="0.15">
      <c r="A34" s="23">
        <v>11</v>
      </c>
      <c r="B34" s="453" t="s">
        <v>32</v>
      </c>
      <c r="C34" s="456">
        <f>Interview!C39</f>
        <v>1</v>
      </c>
      <c r="D34" s="457"/>
      <c r="E34" s="26">
        <f>Interview!F39</f>
        <v>0</v>
      </c>
      <c r="F34" s="149">
        <v>11</v>
      </c>
      <c r="G34" s="149">
        <f>IFERROR(VLOOKUP(E34,AnswerFTBL,2,FALSE),0)</f>
        <v>0</v>
      </c>
      <c r="H34" s="194">
        <f>IFERROR(AVERAGE(G34,G35),0)</f>
        <v>0</v>
      </c>
      <c r="I34" s="205"/>
      <c r="J34" s="170"/>
      <c r="K34" s="149">
        <f>IFERROR(VLOOKUP(J34,AnswerFTBL,2,FALSE),0)</f>
        <v>0</v>
      </c>
      <c r="L34" s="151">
        <f>IFERROR(AVERAGE(K34,K35),0)</f>
        <v>0</v>
      </c>
      <c r="M34" s="173"/>
      <c r="N34" s="170"/>
      <c r="O34" s="149">
        <f>IFERROR(VLOOKUP(N34,AnswerFTBL,2,FALSE),0)</f>
        <v>0</v>
      </c>
      <c r="P34" s="151">
        <f>IFERROR(AVERAGE(O34,O35),0)</f>
        <v>0</v>
      </c>
      <c r="Q34" s="173"/>
      <c r="R34" s="170"/>
      <c r="S34" s="149">
        <f>IFERROR(VLOOKUP(R34,AnswerFTBL,2,FALSE),0)</f>
        <v>0</v>
      </c>
      <c r="T34" s="151">
        <f>IFERROR(AVERAGE(S34,S35),0)</f>
        <v>0</v>
      </c>
      <c r="U34" s="173"/>
      <c r="V34" s="170"/>
      <c r="W34" s="149">
        <f>IFERROR(VLOOKUP(V34,AnswerFTBL,2,FALSE),0)</f>
        <v>0</v>
      </c>
      <c r="X34" s="151">
        <f>IFERROR(AVERAGE(W34,W35),0)</f>
        <v>0</v>
      </c>
      <c r="Y34" s="173"/>
    </row>
    <row r="35" spans="1:25" ht="12.75" customHeight="1" x14ac:dyDescent="0.15">
      <c r="A35" s="23">
        <v>12</v>
      </c>
      <c r="B35" s="455"/>
      <c r="C35" s="451">
        <f>Interview!C43</f>
        <v>3</v>
      </c>
      <c r="D35" s="452"/>
      <c r="E35" s="26">
        <f>Interview!F43</f>
        <v>0</v>
      </c>
      <c r="F35" s="18">
        <v>12</v>
      </c>
      <c r="G35" s="18">
        <f>IFERROR(VLOOKUP(E35,AnswerCTBL,2,FALSE),0)</f>
        <v>0</v>
      </c>
      <c r="H35" s="195"/>
      <c r="I35" s="205"/>
      <c r="J35" s="170"/>
      <c r="K35" s="18">
        <f>IFERROR(VLOOKUP(J35,AnswerCTBL,2,FALSE),0)</f>
        <v>0</v>
      </c>
      <c r="L35" s="105"/>
      <c r="M35" s="173"/>
      <c r="N35" s="170"/>
      <c r="O35" s="18">
        <f>IFERROR(VLOOKUP(N35,AnswerCTBL,2,FALSE),0)</f>
        <v>0</v>
      </c>
      <c r="P35" s="105"/>
      <c r="Q35" s="173"/>
      <c r="R35" s="170"/>
      <c r="S35" s="18">
        <f>IFERROR(VLOOKUP(R35,AnswerCTBL,2,FALSE),0)</f>
        <v>0</v>
      </c>
      <c r="T35" s="105"/>
      <c r="U35" s="173"/>
      <c r="V35" s="170"/>
      <c r="W35" s="18">
        <f>IFERROR(VLOOKUP(V35,AnswerCTBL,2,FALSE),0)</f>
        <v>0</v>
      </c>
      <c r="X35" s="105"/>
      <c r="Y35" s="173"/>
    </row>
    <row r="36" spans="1:25" ht="12.75" customHeight="1" x14ac:dyDescent="0.15">
      <c r="B36" s="382"/>
      <c r="C36" s="383"/>
      <c r="D36" s="383"/>
      <c r="E36" s="383"/>
      <c r="F36" s="383"/>
      <c r="G36" s="383"/>
      <c r="H36" s="384"/>
      <c r="I36" s="205"/>
      <c r="J36" s="171"/>
      <c r="K36" s="160"/>
      <c r="L36" s="160"/>
      <c r="M36" s="176"/>
      <c r="N36" s="171"/>
      <c r="O36" s="160"/>
      <c r="P36" s="160"/>
      <c r="Q36" s="176"/>
      <c r="R36" s="171"/>
      <c r="S36" s="160"/>
      <c r="T36" s="160"/>
      <c r="U36" s="176"/>
      <c r="V36" s="171"/>
      <c r="W36" s="160"/>
      <c r="X36" s="160"/>
      <c r="Y36" s="176"/>
    </row>
    <row r="37" spans="1:25" ht="12.75" customHeight="1" x14ac:dyDescent="0.15">
      <c r="A37" s="23">
        <v>13</v>
      </c>
      <c r="B37" s="453" t="s">
        <v>33</v>
      </c>
      <c r="C37" s="456" t="e">
        <f>Interview!#REF!</f>
        <v>#REF!</v>
      </c>
      <c r="D37" s="457"/>
      <c r="E37" s="26" t="e">
        <f>Interview!#REF!</f>
        <v>#REF!</v>
      </c>
      <c r="F37" s="149">
        <v>13</v>
      </c>
      <c r="G37" s="149">
        <f>IFERROR(VLOOKUP(E37,AnswerCTBL,2,FALSE),0)</f>
        <v>0</v>
      </c>
      <c r="H37" s="194">
        <f>IFERROR(AVERAGE(G37,G38),0)</f>
        <v>0</v>
      </c>
      <c r="I37" s="205"/>
      <c r="J37" s="169"/>
      <c r="K37" s="149">
        <f>IFERROR(VLOOKUP(J37,AnswerCTBL,2,FALSE),0)</f>
        <v>0</v>
      </c>
      <c r="L37" s="151">
        <f>IFERROR(AVERAGE(K37,K38),0)</f>
        <v>0</v>
      </c>
      <c r="M37" s="173"/>
      <c r="N37" s="169"/>
      <c r="O37" s="149">
        <f>IFERROR(VLOOKUP(N37,AnswerCTBL,2,FALSE),0)</f>
        <v>0</v>
      </c>
      <c r="P37" s="151">
        <f>IFERROR(AVERAGE(O37,O38),0)</f>
        <v>0</v>
      </c>
      <c r="Q37" s="173"/>
      <c r="R37" s="169"/>
      <c r="S37" s="149">
        <f>IFERROR(VLOOKUP(R37,AnswerCTBL,2,FALSE),0)</f>
        <v>0</v>
      </c>
      <c r="T37" s="151">
        <f>IFERROR(AVERAGE(S37,S38),0)</f>
        <v>0</v>
      </c>
      <c r="U37" s="173"/>
      <c r="V37" s="169"/>
      <c r="W37" s="149">
        <f>IFERROR(VLOOKUP(V37,AnswerCTBL,2,FALSE),0)</f>
        <v>0</v>
      </c>
      <c r="X37" s="151">
        <f>IFERROR(AVERAGE(W37,W38),0)</f>
        <v>0</v>
      </c>
      <c r="Y37" s="173"/>
    </row>
    <row r="38" spans="1:25" ht="12.75" customHeight="1" x14ac:dyDescent="0.15">
      <c r="A38" s="23">
        <v>14</v>
      </c>
      <c r="B38" s="455"/>
      <c r="C38" s="451" t="e">
        <f>Interview!#REF!</f>
        <v>#REF!</v>
      </c>
      <c r="D38" s="452"/>
      <c r="E38" s="26" t="e">
        <f>Interview!#REF!</f>
        <v>#REF!</v>
      </c>
      <c r="F38" s="18">
        <v>14</v>
      </c>
      <c r="G38" s="18">
        <f>IFERROR(VLOOKUP(E38,AnswerGTBL,2,FALSE),0)</f>
        <v>0</v>
      </c>
      <c r="H38" s="195"/>
      <c r="I38" s="205"/>
      <c r="J38" s="170"/>
      <c r="K38" s="18">
        <f>IFERROR(VLOOKUP(J38,AnswerGTBL,2,FALSE),0)</f>
        <v>0</v>
      </c>
      <c r="L38" s="105"/>
      <c r="M38" s="173"/>
      <c r="N38" s="170"/>
      <c r="O38" s="18">
        <f>IFERROR(VLOOKUP(N38,AnswerGTBL,2,FALSE),0)</f>
        <v>0</v>
      </c>
      <c r="P38" s="105"/>
      <c r="Q38" s="173"/>
      <c r="R38" s="170"/>
      <c r="S38" s="18">
        <f>IFERROR(VLOOKUP(R38,AnswerGTBL,2,FALSE),0)</f>
        <v>0</v>
      </c>
      <c r="T38" s="105"/>
      <c r="U38" s="173"/>
      <c r="V38" s="170"/>
      <c r="W38" s="18">
        <f>IFERROR(VLOOKUP(V38,AnswerGTBL,2,FALSE),0)</f>
        <v>0</v>
      </c>
      <c r="X38" s="105"/>
      <c r="Y38" s="173"/>
    </row>
    <row r="39" spans="1:25" ht="12.75" customHeight="1" x14ac:dyDescent="0.15">
      <c r="B39" s="504" t="s">
        <v>34</v>
      </c>
      <c r="C39" s="505"/>
      <c r="D39" s="506"/>
      <c r="E39" s="136" t="s">
        <v>70</v>
      </c>
      <c r="F39" s="137"/>
      <c r="G39" s="137"/>
      <c r="H39" s="138"/>
      <c r="I39" s="206" t="s">
        <v>68</v>
      </c>
      <c r="J39" s="174" t="s">
        <v>70</v>
      </c>
      <c r="K39" s="161"/>
      <c r="L39" s="161"/>
      <c r="M39" s="175" t="s">
        <v>68</v>
      </c>
      <c r="N39" s="174" t="s">
        <v>70</v>
      </c>
      <c r="O39" s="161"/>
      <c r="P39" s="161"/>
      <c r="Q39" s="175" t="s">
        <v>68</v>
      </c>
      <c r="R39" s="174" t="s">
        <v>70</v>
      </c>
      <c r="S39" s="161"/>
      <c r="T39" s="161"/>
      <c r="U39" s="175" t="s">
        <v>68</v>
      </c>
      <c r="V39" s="174"/>
      <c r="W39" s="161"/>
      <c r="X39" s="161"/>
      <c r="Y39" s="175" t="s">
        <v>68</v>
      </c>
    </row>
    <row r="40" spans="1:25" ht="12.75" customHeight="1" x14ac:dyDescent="0.15">
      <c r="A40" s="23">
        <v>15</v>
      </c>
      <c r="B40" s="453" t="s">
        <v>35</v>
      </c>
      <c r="C40" s="456">
        <f>Interview!C46</f>
        <v>1</v>
      </c>
      <c r="D40" s="457"/>
      <c r="E40" s="26">
        <f>Interview!F46</f>
        <v>0</v>
      </c>
      <c r="F40" s="149">
        <v>15</v>
      </c>
      <c r="G40" s="149">
        <f>IFERROR(VLOOKUP(E40,AnswerDTBL,2,FALSE),0)</f>
        <v>0</v>
      </c>
      <c r="H40" s="194">
        <f>IFERROR(AVERAGE(G40,G41),0)</f>
        <v>0</v>
      </c>
      <c r="I40" s="447">
        <f>SUM(H40,H43,H46)</f>
        <v>0</v>
      </c>
      <c r="J40" s="170"/>
      <c r="K40" s="149">
        <f>IFERROR(VLOOKUP(J40,AnswerDTBL,2,FALSE),0)</f>
        <v>0</v>
      </c>
      <c r="L40" s="151">
        <f>IFERROR(AVERAGE(K40,K41),0)</f>
        <v>0</v>
      </c>
      <c r="M40" s="439">
        <f>SUM(L40,L43,L46)</f>
        <v>0</v>
      </c>
      <c r="N40" s="170"/>
      <c r="O40" s="149">
        <f>IFERROR(VLOOKUP(N40,AnswerDTBL,2,FALSE),0)</f>
        <v>0</v>
      </c>
      <c r="P40" s="151">
        <f>IFERROR(AVERAGE(O40,O41),0)</f>
        <v>0</v>
      </c>
      <c r="Q40" s="439">
        <f>SUM(P40,P43,P46)</f>
        <v>0</v>
      </c>
      <c r="R40" s="170"/>
      <c r="S40" s="149">
        <f>IFERROR(VLOOKUP(R40,AnswerDTBL,2,FALSE),0)</f>
        <v>0</v>
      </c>
      <c r="T40" s="151">
        <f>IFERROR(AVERAGE(S40,S41),0)</f>
        <v>0</v>
      </c>
      <c r="U40" s="439">
        <f>SUM(T40,T43,T46)</f>
        <v>0</v>
      </c>
      <c r="V40" s="170"/>
      <c r="W40" s="149">
        <f>IFERROR(VLOOKUP(V40,AnswerDTBL,2,FALSE),0)</f>
        <v>0</v>
      </c>
      <c r="X40" s="151">
        <f>IFERROR(AVERAGE(W40,W41),0)</f>
        <v>0</v>
      </c>
      <c r="Y40" s="439">
        <f>SUM(X40,X43,X46)</f>
        <v>0</v>
      </c>
    </row>
    <row r="41" spans="1:25" ht="12.75" customHeight="1" x14ac:dyDescent="0.15">
      <c r="A41" s="23">
        <v>16</v>
      </c>
      <c r="B41" s="455"/>
      <c r="C41" s="451">
        <f>Interview!C50</f>
        <v>3</v>
      </c>
      <c r="D41" s="452"/>
      <c r="E41" s="26">
        <f>Interview!F50</f>
        <v>0</v>
      </c>
      <c r="F41" s="18">
        <v>16</v>
      </c>
      <c r="G41" s="18">
        <f>IFERROR(VLOOKUP(E41,AnswerCTBL,2,FALSE),0)</f>
        <v>0</v>
      </c>
      <c r="H41" s="195"/>
      <c r="I41" s="448"/>
      <c r="J41" s="170"/>
      <c r="K41" s="18">
        <f>IFERROR(VLOOKUP(J41,AnswerCTBL,2,FALSE),0)</f>
        <v>0</v>
      </c>
      <c r="L41" s="105"/>
      <c r="M41" s="441"/>
      <c r="N41" s="170"/>
      <c r="O41" s="18">
        <f>IFERROR(VLOOKUP(N41,AnswerCTBL,2,FALSE),0)</f>
        <v>0</v>
      </c>
      <c r="P41" s="105"/>
      <c r="Q41" s="441"/>
      <c r="R41" s="170"/>
      <c r="S41" s="18">
        <f>IFERROR(VLOOKUP(R41,AnswerCTBL,2,FALSE),0)</f>
        <v>0</v>
      </c>
      <c r="T41" s="105"/>
      <c r="U41" s="441"/>
      <c r="V41" s="170"/>
      <c r="W41" s="18">
        <f>IFERROR(VLOOKUP(V41,AnswerCTBL,2,FALSE),0)</f>
        <v>0</v>
      </c>
      <c r="X41" s="105"/>
      <c r="Y41" s="441"/>
    </row>
    <row r="42" spans="1:25" ht="12.75" customHeight="1" x14ac:dyDescent="0.15">
      <c r="B42" s="382"/>
      <c r="C42" s="383"/>
      <c r="D42" s="383"/>
      <c r="E42" s="383"/>
      <c r="F42" s="383"/>
      <c r="G42" s="383"/>
      <c r="H42" s="384"/>
      <c r="I42" s="205"/>
      <c r="J42" s="171"/>
      <c r="K42" s="160"/>
      <c r="L42" s="160"/>
      <c r="M42" s="176"/>
      <c r="N42" s="171"/>
      <c r="O42" s="160"/>
      <c r="P42" s="160"/>
      <c r="Q42" s="176"/>
      <c r="R42" s="171"/>
      <c r="S42" s="160"/>
      <c r="T42" s="160"/>
      <c r="U42" s="176"/>
      <c r="V42" s="171"/>
      <c r="W42" s="160"/>
      <c r="X42" s="160"/>
      <c r="Y42" s="176"/>
    </row>
    <row r="43" spans="1:25" ht="12.75" customHeight="1" x14ac:dyDescent="0.15">
      <c r="A43" s="23">
        <v>17</v>
      </c>
      <c r="B43" s="453" t="s">
        <v>36</v>
      </c>
      <c r="C43" s="456">
        <f>Interview!C53</f>
        <v>1</v>
      </c>
      <c r="D43" s="457"/>
      <c r="E43" s="26">
        <f>Interview!F53</f>
        <v>0</v>
      </c>
      <c r="F43" s="149">
        <v>17</v>
      </c>
      <c r="G43" s="149">
        <f>IFERROR(VLOOKUP(E43,AnswerCTBL,2,FALSE),0)</f>
        <v>0</v>
      </c>
      <c r="H43" s="194">
        <f>IFERROR(AVERAGE(G43,G44),0)</f>
        <v>0</v>
      </c>
      <c r="I43" s="205"/>
      <c r="J43" s="169"/>
      <c r="K43" s="149">
        <f>IFERROR(VLOOKUP(J43,AnswerCTBL,2,FALSE),0)</f>
        <v>0</v>
      </c>
      <c r="L43" s="151">
        <f>IFERROR(AVERAGE(K43,K44),0)</f>
        <v>0</v>
      </c>
      <c r="M43" s="173"/>
      <c r="N43" s="169"/>
      <c r="O43" s="149">
        <f>IFERROR(VLOOKUP(N43,AnswerCTBL,2,FALSE),0)</f>
        <v>0</v>
      </c>
      <c r="P43" s="151">
        <f>IFERROR(AVERAGE(O43,O44),0)</f>
        <v>0</v>
      </c>
      <c r="Q43" s="173"/>
      <c r="R43" s="169"/>
      <c r="S43" s="149">
        <f>IFERROR(VLOOKUP(R43,AnswerCTBL,2,FALSE),0)</f>
        <v>0</v>
      </c>
      <c r="T43" s="151">
        <f>IFERROR(AVERAGE(S43,S44),0)</f>
        <v>0</v>
      </c>
      <c r="U43" s="173"/>
      <c r="V43" s="169"/>
      <c r="W43" s="149">
        <f>IFERROR(VLOOKUP(V43,AnswerCTBL,2,FALSE),0)</f>
        <v>0</v>
      </c>
      <c r="X43" s="151">
        <f>IFERROR(AVERAGE(W43,W44),0)</f>
        <v>0</v>
      </c>
      <c r="Y43" s="173"/>
    </row>
    <row r="44" spans="1:25" ht="12.75" customHeight="1" x14ac:dyDescent="0.15">
      <c r="A44" s="23">
        <v>18</v>
      </c>
      <c r="B44" s="455"/>
      <c r="C44" s="451">
        <f>Interview!C57</f>
        <v>3</v>
      </c>
      <c r="D44" s="452"/>
      <c r="E44" s="26">
        <f>Interview!F57</f>
        <v>0</v>
      </c>
      <c r="F44" s="18">
        <v>18</v>
      </c>
      <c r="G44" s="18">
        <f>IFERROR(VLOOKUP(E44,AnswerCTBL,2,FALSE),0)</f>
        <v>0</v>
      </c>
      <c r="H44" s="195"/>
      <c r="I44" s="205"/>
      <c r="J44" s="170"/>
      <c r="K44" s="18">
        <f>IFERROR(VLOOKUP(J44,AnswerCTBL,2,FALSE),0)</f>
        <v>0</v>
      </c>
      <c r="L44" s="105"/>
      <c r="M44" s="173"/>
      <c r="N44" s="170"/>
      <c r="O44" s="18">
        <f>IFERROR(VLOOKUP(N44,AnswerCTBL,2,FALSE),0)</f>
        <v>0</v>
      </c>
      <c r="P44" s="105"/>
      <c r="Q44" s="173"/>
      <c r="R44" s="170"/>
      <c r="S44" s="18">
        <f>IFERROR(VLOOKUP(R44,AnswerCTBL,2,FALSE),0)</f>
        <v>0</v>
      </c>
      <c r="T44" s="105"/>
      <c r="U44" s="173"/>
      <c r="V44" s="170"/>
      <c r="W44" s="18">
        <f>IFERROR(VLOOKUP(V44,AnswerCTBL,2,FALSE),0)</f>
        <v>0</v>
      </c>
      <c r="X44" s="105"/>
      <c r="Y44" s="173"/>
    </row>
    <row r="45" spans="1:25" ht="12.75" customHeight="1" x14ac:dyDescent="0.15">
      <c r="B45" s="382"/>
      <c r="C45" s="383"/>
      <c r="D45" s="383"/>
      <c r="E45" s="383"/>
      <c r="F45" s="383"/>
      <c r="G45" s="383"/>
      <c r="H45" s="384"/>
      <c r="I45" s="205"/>
      <c r="J45" s="171"/>
      <c r="K45" s="160"/>
      <c r="L45" s="160"/>
      <c r="M45" s="176"/>
      <c r="N45" s="171"/>
      <c r="O45" s="160"/>
      <c r="P45" s="160"/>
      <c r="Q45" s="176"/>
      <c r="R45" s="171"/>
      <c r="S45" s="160"/>
      <c r="T45" s="160"/>
      <c r="U45" s="176"/>
      <c r="V45" s="171"/>
      <c r="W45" s="160"/>
      <c r="X45" s="160"/>
      <c r="Y45" s="176"/>
    </row>
    <row r="46" spans="1:25" ht="12.75" customHeight="1" x14ac:dyDescent="0.15">
      <c r="A46" s="23">
        <v>19</v>
      </c>
      <c r="B46" s="453" t="s">
        <v>37</v>
      </c>
      <c r="C46" s="456" t="e">
        <f>Interview!#REF!</f>
        <v>#REF!</v>
      </c>
      <c r="D46" s="457"/>
      <c r="E46" s="26" t="e">
        <f>Interview!#REF!</f>
        <v>#REF!</v>
      </c>
      <c r="F46" s="149">
        <v>19</v>
      </c>
      <c r="G46" s="149">
        <f>IFERROR(VLOOKUP(E46,AnswerFTBL,2,FALSE),0)</f>
        <v>0</v>
      </c>
      <c r="H46" s="194">
        <f>IFERROR(AVERAGE(G46,G47),0)</f>
        <v>0</v>
      </c>
      <c r="I46" s="205"/>
      <c r="J46" s="169"/>
      <c r="K46" s="149">
        <f>IFERROR(VLOOKUP(J46,AnswerFTBL,2,FALSE),0)</f>
        <v>0</v>
      </c>
      <c r="L46" s="151">
        <f>IFERROR(AVERAGE(K46,K47),0)</f>
        <v>0</v>
      </c>
      <c r="M46" s="173"/>
      <c r="N46" s="169"/>
      <c r="O46" s="149">
        <f>IFERROR(VLOOKUP(N46,AnswerFTBL,2,FALSE),0)</f>
        <v>0</v>
      </c>
      <c r="P46" s="151">
        <f>IFERROR(AVERAGE(O46,O47),0)</f>
        <v>0</v>
      </c>
      <c r="Q46" s="173"/>
      <c r="R46" s="169"/>
      <c r="S46" s="149">
        <f>IFERROR(VLOOKUP(R46,AnswerFTBL,2,FALSE),0)</f>
        <v>0</v>
      </c>
      <c r="T46" s="151">
        <f>IFERROR(AVERAGE(S46,S47),0)</f>
        <v>0</v>
      </c>
      <c r="U46" s="173"/>
      <c r="V46" s="169"/>
      <c r="W46" s="149">
        <f>IFERROR(VLOOKUP(V46,AnswerFTBL,2,FALSE),0)</f>
        <v>0</v>
      </c>
      <c r="X46" s="151">
        <f>IFERROR(AVERAGE(W46,W47),0)</f>
        <v>0</v>
      </c>
      <c r="Y46" s="173"/>
    </row>
    <row r="47" spans="1:25" ht="12.75" customHeight="1" x14ac:dyDescent="0.15">
      <c r="A47" s="23">
        <v>20</v>
      </c>
      <c r="B47" s="455"/>
      <c r="C47" s="451" t="e">
        <f>Interview!#REF!</f>
        <v>#REF!</v>
      </c>
      <c r="D47" s="452"/>
      <c r="E47" s="27" t="e">
        <f>Interview!#REF!</f>
        <v>#REF!</v>
      </c>
      <c r="F47" s="147">
        <v>20</v>
      </c>
      <c r="G47" s="147">
        <f>IFERROR(VLOOKUP(E47,AnswerDTBL,2,FALSE),0)</f>
        <v>0</v>
      </c>
      <c r="H47" s="198"/>
      <c r="I47" s="207"/>
      <c r="J47" s="170"/>
      <c r="K47" s="18">
        <f>IFERROR(VLOOKUP(J47,AnswerDTBL,2,FALSE),0)</f>
        <v>0</v>
      </c>
      <c r="L47" s="105"/>
      <c r="M47" s="173"/>
      <c r="N47" s="170"/>
      <c r="O47" s="18">
        <f>IFERROR(VLOOKUP(N47,AnswerDTBL,2,FALSE),0)</f>
        <v>0</v>
      </c>
      <c r="P47" s="105"/>
      <c r="Q47" s="173"/>
      <c r="R47" s="170"/>
      <c r="S47" s="18">
        <f>IFERROR(VLOOKUP(R47,AnswerDTBL,2,FALSE),0)</f>
        <v>0</v>
      </c>
      <c r="T47" s="105"/>
      <c r="U47" s="173"/>
      <c r="V47" s="170"/>
      <c r="W47" s="18">
        <f>IFERROR(VLOOKUP(V47,AnswerDTBL,2,FALSE),0)</f>
        <v>0</v>
      </c>
      <c r="X47" s="105"/>
      <c r="Y47" s="173"/>
    </row>
    <row r="48" spans="1:25" ht="12.75" customHeight="1" x14ac:dyDescent="0.15">
      <c r="B48" s="334" t="s">
        <v>38</v>
      </c>
      <c r="C48" s="334"/>
      <c r="D48" s="334"/>
      <c r="E48" s="334" t="s">
        <v>145</v>
      </c>
      <c r="F48" s="334"/>
      <c r="G48" s="334"/>
      <c r="H48" s="334"/>
      <c r="I48" s="334"/>
      <c r="J48" s="425" t="s">
        <v>144</v>
      </c>
      <c r="K48" s="334"/>
      <c r="L48" s="334"/>
      <c r="M48" s="426"/>
      <c r="N48" s="425" t="s">
        <v>146</v>
      </c>
      <c r="O48" s="334"/>
      <c r="P48" s="334"/>
      <c r="Q48" s="426"/>
      <c r="R48" s="425" t="s">
        <v>147</v>
      </c>
      <c r="S48" s="334"/>
      <c r="T48" s="334"/>
      <c r="U48" s="426"/>
      <c r="V48" s="425" t="s">
        <v>148</v>
      </c>
      <c r="W48" s="334"/>
      <c r="X48" s="334"/>
      <c r="Y48" s="426"/>
    </row>
    <row r="49" spans="1:25" ht="12.75" customHeight="1" x14ac:dyDescent="0.15">
      <c r="B49" s="396" t="s">
        <v>39</v>
      </c>
      <c r="C49" s="397"/>
      <c r="D49" s="398"/>
      <c r="E49" s="74" t="s">
        <v>70</v>
      </c>
      <c r="F49" s="74"/>
      <c r="G49" s="74"/>
      <c r="H49" s="121"/>
      <c r="I49" s="164" t="s">
        <v>68</v>
      </c>
      <c r="J49" s="177" t="s">
        <v>70</v>
      </c>
      <c r="K49" s="74"/>
      <c r="L49" s="121"/>
      <c r="M49" s="178" t="s">
        <v>68</v>
      </c>
      <c r="N49" s="177" t="s">
        <v>70</v>
      </c>
      <c r="O49" s="74"/>
      <c r="P49" s="121"/>
      <c r="Q49" s="178" t="s">
        <v>68</v>
      </c>
      <c r="R49" s="177" t="s">
        <v>70</v>
      </c>
      <c r="S49" s="74"/>
      <c r="T49" s="121"/>
      <c r="U49" s="178" t="s">
        <v>68</v>
      </c>
      <c r="V49" s="177" t="s">
        <v>70</v>
      </c>
      <c r="W49" s="74"/>
      <c r="X49" s="121"/>
      <c r="Y49" s="178" t="s">
        <v>68</v>
      </c>
    </row>
    <row r="50" spans="1:25" ht="12.75" customHeight="1" x14ac:dyDescent="0.15">
      <c r="B50" s="503" t="s">
        <v>40</v>
      </c>
      <c r="C50" s="461">
        <f>Interview!C61</f>
        <v>1</v>
      </c>
      <c r="D50" s="462"/>
      <c r="E50" s="148">
        <f>Interview!F61</f>
        <v>0</v>
      </c>
      <c r="F50" s="18">
        <v>1</v>
      </c>
      <c r="G50" s="18">
        <f>IFERROR(VLOOKUP(E50,AnswerCTBL,2,FALSE),0)</f>
        <v>0</v>
      </c>
      <c r="H50" s="159">
        <f>IFERROR(AVERAGE(G50,G51),0)</f>
        <v>0</v>
      </c>
      <c r="I50" s="463">
        <f>SUM(H50,H53,H57)</f>
        <v>0</v>
      </c>
      <c r="J50" s="169"/>
      <c r="K50" s="18">
        <f>IFERROR(VLOOKUP(J50,AnswerCTBL,2,FALSE),0)</f>
        <v>0</v>
      </c>
      <c r="L50" s="105">
        <f>IFERROR(AVERAGE(K50,K51),0)</f>
        <v>0</v>
      </c>
      <c r="M50" s="445">
        <f>SUM(L50,L53,L57)</f>
        <v>0</v>
      </c>
      <c r="N50" s="169"/>
      <c r="O50" s="18">
        <f>IFERROR(VLOOKUP(N50,AnswerCTBL,2,FALSE),0)</f>
        <v>0</v>
      </c>
      <c r="P50" s="105">
        <f>IFERROR(AVERAGE(O50,O51),0)</f>
        <v>0</v>
      </c>
      <c r="Q50" s="445">
        <f>SUM(P50,P53,P57)</f>
        <v>0</v>
      </c>
      <c r="R50" s="169"/>
      <c r="S50" s="18">
        <f>IFERROR(VLOOKUP(R50,AnswerCTBL,2,FALSE),0)</f>
        <v>0</v>
      </c>
      <c r="T50" s="105">
        <f>IFERROR(AVERAGE(S50,S51),0)</f>
        <v>0</v>
      </c>
      <c r="U50" s="445">
        <f>SUM(T50,T53,T57)</f>
        <v>0</v>
      </c>
      <c r="V50" s="169"/>
      <c r="W50" s="18">
        <f>IFERROR(VLOOKUP(V50,AnswerCTBL,2,FALSE),0)</f>
        <v>0</v>
      </c>
      <c r="X50" s="105">
        <f>IFERROR(AVERAGE(W50,W51),0)</f>
        <v>0</v>
      </c>
      <c r="Y50" s="445">
        <f>SUM(X50,X53,X57)</f>
        <v>0</v>
      </c>
    </row>
    <row r="51" spans="1:25" ht="12.75" customHeight="1" x14ac:dyDescent="0.15">
      <c r="B51" s="495"/>
      <c r="C51" s="451">
        <f>Interview!C65</f>
        <v>3</v>
      </c>
      <c r="D51" s="452"/>
      <c r="E51" s="26">
        <f>Interview!F65</f>
        <v>0</v>
      </c>
      <c r="F51" s="18">
        <v>2</v>
      </c>
      <c r="G51" s="18">
        <f>IFERROR(VLOOKUP(E51,AnswerCTBL,2,FALSE),0)</f>
        <v>0</v>
      </c>
      <c r="H51" s="159"/>
      <c r="I51" s="464"/>
      <c r="J51" s="170"/>
      <c r="K51" s="18">
        <f>IFERROR(VLOOKUP(J51,AnswerCTBL,2,FALSE),0)</f>
        <v>0</v>
      </c>
      <c r="L51" s="105"/>
      <c r="M51" s="446"/>
      <c r="N51" s="170"/>
      <c r="O51" s="18">
        <f>IFERROR(VLOOKUP(N51,AnswerCTBL,2,FALSE),0)</f>
        <v>0</v>
      </c>
      <c r="P51" s="105"/>
      <c r="Q51" s="446"/>
      <c r="R51" s="170"/>
      <c r="S51" s="18">
        <f>IFERROR(VLOOKUP(R51,AnswerCTBL,2,FALSE),0)</f>
        <v>0</v>
      </c>
      <c r="T51" s="105"/>
      <c r="U51" s="446"/>
      <c r="V51" s="170"/>
      <c r="W51" s="18">
        <f>IFERROR(VLOOKUP(V51,AnswerCTBL,2,FALSE),0)</f>
        <v>0</v>
      </c>
      <c r="X51" s="105"/>
      <c r="Y51" s="446"/>
    </row>
    <row r="52" spans="1:25" ht="12.75" customHeight="1" x14ac:dyDescent="0.15">
      <c r="A52"/>
      <c r="B52" s="382"/>
      <c r="C52" s="383"/>
      <c r="D52" s="383"/>
      <c r="E52" s="383"/>
      <c r="F52" s="383"/>
      <c r="G52" s="383"/>
      <c r="H52" s="383"/>
      <c r="I52" s="205"/>
      <c r="J52" s="171"/>
      <c r="K52" s="160"/>
      <c r="L52" s="160"/>
      <c r="M52" s="176"/>
      <c r="N52" s="171"/>
      <c r="O52" s="160"/>
      <c r="P52" s="160"/>
      <c r="Q52" s="176"/>
      <c r="R52" s="171"/>
      <c r="S52" s="160"/>
      <c r="T52" s="160"/>
      <c r="U52" s="176"/>
      <c r="V52" s="171"/>
      <c r="W52" s="160"/>
      <c r="X52" s="160"/>
      <c r="Y52" s="176"/>
    </row>
    <row r="53" spans="1:25" ht="12.75" customHeight="1" x14ac:dyDescent="0.15">
      <c r="A53"/>
      <c r="B53" s="493" t="s">
        <v>41</v>
      </c>
      <c r="C53" s="456">
        <f>Interview!C68</f>
        <v>1</v>
      </c>
      <c r="D53" s="457"/>
      <c r="E53" s="26">
        <f>Interview!F68</f>
        <v>0</v>
      </c>
      <c r="F53" s="18">
        <v>3</v>
      </c>
      <c r="G53" s="18">
        <f>IFERROR(VLOOKUP(E53,AnswerCTBL,2,FALSE),0)</f>
        <v>0</v>
      </c>
      <c r="H53" s="159">
        <f>IFERROR(AVERAGE(G53,G54,G55),0)</f>
        <v>0</v>
      </c>
      <c r="I53" s="205"/>
      <c r="J53" s="169"/>
      <c r="K53" s="18">
        <f>IFERROR(VLOOKUP(J53,AnswerCTBL,2,FALSE),0)</f>
        <v>0</v>
      </c>
      <c r="L53" s="105">
        <f>IFERROR(AVERAGE(K53,K54,K55),0)</f>
        <v>0</v>
      </c>
      <c r="M53" s="173"/>
      <c r="N53" s="169"/>
      <c r="O53" s="18">
        <f>IFERROR(VLOOKUP(N53,AnswerCTBL,2,FALSE),0)</f>
        <v>0</v>
      </c>
      <c r="P53" s="105">
        <f>IFERROR(AVERAGE(O53,O54,O55),0)</f>
        <v>0</v>
      </c>
      <c r="Q53" s="173"/>
      <c r="R53" s="169"/>
      <c r="S53" s="18">
        <f>IFERROR(VLOOKUP(R53,AnswerCTBL,2,FALSE),0)</f>
        <v>0</v>
      </c>
      <c r="T53" s="105">
        <f>IFERROR(AVERAGE(S53,S54,S55),0)</f>
        <v>0</v>
      </c>
      <c r="U53" s="173"/>
      <c r="V53" s="169"/>
      <c r="W53" s="18">
        <f>IFERROR(VLOOKUP(V53,AnswerCTBL,2,FALSE),0)</f>
        <v>0</v>
      </c>
      <c r="X53" s="105">
        <f>IFERROR(AVERAGE(W53,W54,W55),0)</f>
        <v>0</v>
      </c>
      <c r="Y53" s="173"/>
    </row>
    <row r="54" spans="1:25" ht="12.75" customHeight="1" x14ac:dyDescent="0.15">
      <c r="A54"/>
      <c r="B54" s="494"/>
      <c r="C54" s="449">
        <f>Interview!C72</f>
        <v>3</v>
      </c>
      <c r="D54" s="450"/>
      <c r="E54" s="26">
        <f>Interview!F72</f>
        <v>0</v>
      </c>
      <c r="F54" s="18">
        <v>4</v>
      </c>
      <c r="G54" s="18">
        <f>IFERROR(VLOOKUP(E54,AnswerCTBL,2,FALSE),0)</f>
        <v>0</v>
      </c>
      <c r="H54" s="159"/>
      <c r="I54" s="205"/>
      <c r="J54" s="170"/>
      <c r="K54" s="18">
        <f>IFERROR(VLOOKUP(J54,AnswerCTBL,2,FALSE),0)</f>
        <v>0</v>
      </c>
      <c r="L54" s="105"/>
      <c r="M54" s="173"/>
      <c r="N54" s="170"/>
      <c r="O54" s="18">
        <f>IFERROR(VLOOKUP(N54,AnswerCTBL,2,FALSE),0)</f>
        <v>0</v>
      </c>
      <c r="P54" s="105"/>
      <c r="Q54" s="173"/>
      <c r="R54" s="170"/>
      <c r="S54" s="18">
        <f>IFERROR(VLOOKUP(R54,AnswerCTBL,2,FALSE),0)</f>
        <v>0</v>
      </c>
      <c r="T54" s="105"/>
      <c r="U54" s="173"/>
      <c r="V54" s="170"/>
      <c r="W54" s="18">
        <f>IFERROR(VLOOKUP(V54,AnswerCTBL,2,FALSE),0)</f>
        <v>0</v>
      </c>
      <c r="X54" s="105"/>
      <c r="Y54" s="173"/>
    </row>
    <row r="55" spans="1:25" ht="12.75" customHeight="1" x14ac:dyDescent="0.15">
      <c r="A55"/>
      <c r="B55" s="495"/>
      <c r="C55" s="451" t="e">
        <f>Interview!#REF!</f>
        <v>#REF!</v>
      </c>
      <c r="D55" s="452"/>
      <c r="E55" s="26" t="e">
        <f>Interview!#REF!</f>
        <v>#REF!</v>
      </c>
      <c r="F55" s="18">
        <v>5</v>
      </c>
      <c r="G55" s="18">
        <f>IFERROR(VLOOKUP(E55,AnswerCTBL,2,FALSE),0)</f>
        <v>0</v>
      </c>
      <c r="H55" s="159"/>
      <c r="I55" s="205"/>
      <c r="J55" s="170"/>
      <c r="K55" s="18">
        <f>IFERROR(VLOOKUP(J55,AnswerCTBL,2,FALSE),0)</f>
        <v>0</v>
      </c>
      <c r="L55" s="105"/>
      <c r="M55" s="173"/>
      <c r="N55" s="170"/>
      <c r="O55" s="18">
        <f>IFERROR(VLOOKUP(N55,AnswerCTBL,2,FALSE),0)</f>
        <v>0</v>
      </c>
      <c r="P55" s="105"/>
      <c r="Q55" s="173"/>
      <c r="R55" s="170"/>
      <c r="S55" s="18">
        <f>IFERROR(VLOOKUP(R55,AnswerCTBL,2,FALSE),0)</f>
        <v>0</v>
      </c>
      <c r="T55" s="105"/>
      <c r="U55" s="173"/>
      <c r="V55" s="170"/>
      <c r="W55" s="18">
        <f>IFERROR(VLOOKUP(V55,AnswerCTBL,2,FALSE),0)</f>
        <v>0</v>
      </c>
      <c r="X55" s="105"/>
      <c r="Y55" s="173"/>
    </row>
    <row r="56" spans="1:25" ht="12.75" customHeight="1" x14ac:dyDescent="0.15">
      <c r="A56"/>
      <c r="B56" s="382"/>
      <c r="C56" s="383"/>
      <c r="D56" s="383"/>
      <c r="E56" s="383"/>
      <c r="F56" s="383"/>
      <c r="G56" s="383"/>
      <c r="H56" s="383"/>
      <c r="I56" s="205"/>
      <c r="J56" s="171"/>
      <c r="K56" s="160"/>
      <c r="L56" s="160"/>
      <c r="M56" s="176"/>
      <c r="N56" s="171"/>
      <c r="O56" s="160"/>
      <c r="P56" s="160"/>
      <c r="Q56" s="176"/>
      <c r="R56" s="171"/>
      <c r="S56" s="160"/>
      <c r="T56" s="160"/>
      <c r="U56" s="176"/>
      <c r="V56" s="171"/>
      <c r="W56" s="160"/>
      <c r="X56" s="160"/>
      <c r="Y56" s="176"/>
    </row>
    <row r="57" spans="1:25" ht="12" customHeight="1" x14ac:dyDescent="0.15">
      <c r="A57"/>
      <c r="B57" s="493" t="s">
        <v>42</v>
      </c>
      <c r="C57" s="456" t="e">
        <f>Interview!#REF!</f>
        <v>#REF!</v>
      </c>
      <c r="D57" s="457"/>
      <c r="E57" s="26" t="e">
        <f>Interview!#REF!</f>
        <v>#REF!</v>
      </c>
      <c r="F57" s="18">
        <v>6</v>
      </c>
      <c r="G57" s="18">
        <f>IFERROR(VLOOKUP(E57,AnswerCTBL,2,FALSE),0)</f>
        <v>0</v>
      </c>
      <c r="H57" s="159">
        <f>IFERROR(AVERAGE(G57,G58),0)</f>
        <v>0</v>
      </c>
      <c r="I57" s="205"/>
      <c r="J57" s="169"/>
      <c r="K57" s="18">
        <f>IFERROR(VLOOKUP(J57,AnswerCTBL,2,FALSE),0)</f>
        <v>0</v>
      </c>
      <c r="L57" s="105">
        <f>IFERROR(AVERAGE(K57,K58),0)</f>
        <v>0</v>
      </c>
      <c r="M57" s="173"/>
      <c r="N57" s="169"/>
      <c r="O57" s="18">
        <f>IFERROR(VLOOKUP(N57,AnswerCTBL,2,FALSE),0)</f>
        <v>0</v>
      </c>
      <c r="P57" s="105">
        <f>IFERROR(AVERAGE(O57,O58),0)</f>
        <v>0</v>
      </c>
      <c r="Q57" s="173"/>
      <c r="R57" s="169"/>
      <c r="S57" s="18">
        <f>IFERROR(VLOOKUP(R57,AnswerCTBL,2,FALSE),0)</f>
        <v>0</v>
      </c>
      <c r="T57" s="105">
        <f>IFERROR(AVERAGE(S57,S58),0)</f>
        <v>0</v>
      </c>
      <c r="U57" s="173"/>
      <c r="V57" s="169"/>
      <c r="W57" s="18">
        <f>IFERROR(VLOOKUP(V57,AnswerCTBL,2,FALSE),0)</f>
        <v>0</v>
      </c>
      <c r="X57" s="105">
        <f>IFERROR(AVERAGE(W57,W58),0)</f>
        <v>0</v>
      </c>
      <c r="Y57" s="173"/>
    </row>
    <row r="58" spans="1:25" ht="12.75" customHeight="1" x14ac:dyDescent="0.15">
      <c r="A58"/>
      <c r="B58" s="495"/>
      <c r="C58" s="451" t="e">
        <f>Interview!#REF!</f>
        <v>#REF!</v>
      </c>
      <c r="D58" s="452"/>
      <c r="E58" s="26" t="e">
        <f>Interview!#REF!</f>
        <v>#REF!</v>
      </c>
      <c r="F58" s="18">
        <v>7</v>
      </c>
      <c r="G58" s="18">
        <f>IFERROR(VLOOKUP(E58,AnswerCTBL,2,FALSE),0)</f>
        <v>0</v>
      </c>
      <c r="H58" s="159"/>
      <c r="I58" s="205"/>
      <c r="J58" s="170"/>
      <c r="K58" s="18">
        <f>IFERROR(VLOOKUP(J58,AnswerCTBL,2,FALSE),0)</f>
        <v>0</v>
      </c>
      <c r="L58" s="105"/>
      <c r="M58" s="173"/>
      <c r="N58" s="170"/>
      <c r="O58" s="18">
        <f>IFERROR(VLOOKUP(N58,AnswerCTBL,2,FALSE),0)</f>
        <v>0</v>
      </c>
      <c r="P58" s="105"/>
      <c r="Q58" s="173"/>
      <c r="R58" s="170"/>
      <c r="S58" s="18">
        <f>IFERROR(VLOOKUP(R58,AnswerCTBL,2,FALSE),0)</f>
        <v>0</v>
      </c>
      <c r="T58" s="105"/>
      <c r="U58" s="173"/>
      <c r="V58" s="170"/>
      <c r="W58" s="18">
        <f>IFERROR(VLOOKUP(V58,AnswerCTBL,2,FALSE),0)</f>
        <v>0</v>
      </c>
      <c r="X58" s="105"/>
      <c r="Y58" s="173"/>
    </row>
    <row r="59" spans="1:25" ht="12.75" customHeight="1" x14ac:dyDescent="0.15">
      <c r="A59"/>
      <c r="B59" s="496" t="s">
        <v>43</v>
      </c>
      <c r="C59" s="497"/>
      <c r="D59" s="498"/>
      <c r="E59" s="139" t="s">
        <v>70</v>
      </c>
      <c r="F59" s="139"/>
      <c r="G59" s="139"/>
      <c r="H59" s="202"/>
      <c r="I59" s="208" t="s">
        <v>68</v>
      </c>
      <c r="J59" s="179" t="s">
        <v>70</v>
      </c>
      <c r="K59" s="139"/>
      <c r="L59" s="140"/>
      <c r="M59" s="178" t="s">
        <v>68</v>
      </c>
      <c r="N59" s="179" t="s">
        <v>70</v>
      </c>
      <c r="O59" s="139"/>
      <c r="P59" s="140"/>
      <c r="Q59" s="178" t="s">
        <v>68</v>
      </c>
      <c r="R59" s="179" t="s">
        <v>70</v>
      </c>
      <c r="S59" s="139"/>
      <c r="T59" s="140"/>
      <c r="U59" s="178" t="s">
        <v>68</v>
      </c>
      <c r="V59" s="179" t="s">
        <v>70</v>
      </c>
      <c r="W59" s="139"/>
      <c r="X59" s="140"/>
      <c r="Y59" s="178" t="s">
        <v>68</v>
      </c>
    </row>
    <row r="60" spans="1:25" ht="12.75" customHeight="1" x14ac:dyDescent="0.15">
      <c r="A60"/>
      <c r="B60" s="493" t="s">
        <v>44</v>
      </c>
      <c r="C60" s="456">
        <f>Interview!C75</f>
        <v>1</v>
      </c>
      <c r="D60" s="457"/>
      <c r="E60" s="26">
        <f>Interview!F75</f>
        <v>0</v>
      </c>
      <c r="F60" s="18">
        <v>8</v>
      </c>
      <c r="G60" s="18">
        <f>IFERROR(VLOOKUP(E60,AnswerCTBL,2,FALSE),0)</f>
        <v>0</v>
      </c>
      <c r="H60" s="159">
        <f>IFERROR(AVERAGE(G60,G61),0)</f>
        <v>0</v>
      </c>
      <c r="I60" s="463">
        <f>SUM(H60,H63,H66)</f>
        <v>0</v>
      </c>
      <c r="J60" s="169"/>
      <c r="K60" s="18">
        <f>IFERROR(VLOOKUP(J60,AnswerCTBL,2,FALSE),0)</f>
        <v>0</v>
      </c>
      <c r="L60" s="105">
        <f>IFERROR(AVERAGE(K60,K61),0)</f>
        <v>0</v>
      </c>
      <c r="M60" s="445">
        <f>SUM(L60,L63,L66)</f>
        <v>0</v>
      </c>
      <c r="N60" s="169"/>
      <c r="O60" s="18">
        <f>IFERROR(VLOOKUP(N60,AnswerCTBL,2,FALSE),0)</f>
        <v>0</v>
      </c>
      <c r="P60" s="105">
        <f>IFERROR(AVERAGE(O60,O61),0)</f>
        <v>0</v>
      </c>
      <c r="Q60" s="445">
        <f>SUM(P60,P63,P66)</f>
        <v>0</v>
      </c>
      <c r="R60" s="169"/>
      <c r="S60" s="18">
        <f>IFERROR(VLOOKUP(R60,AnswerCTBL,2,FALSE),0)</f>
        <v>0</v>
      </c>
      <c r="T60" s="105">
        <f>IFERROR(AVERAGE(S60,S61),0)</f>
        <v>0</v>
      </c>
      <c r="U60" s="445">
        <f>SUM(T60,T63,T66)</f>
        <v>0</v>
      </c>
      <c r="V60" s="169"/>
      <c r="W60" s="18">
        <f>IFERROR(VLOOKUP(V60,AnswerCTBL,2,FALSE),0)</f>
        <v>0</v>
      </c>
      <c r="X60" s="105">
        <f>IFERROR(AVERAGE(W60,W61),0)</f>
        <v>0</v>
      </c>
      <c r="Y60" s="445">
        <f>SUM(X60,X63,X66)</f>
        <v>0</v>
      </c>
    </row>
    <row r="61" spans="1:25" ht="12.75" customHeight="1" x14ac:dyDescent="0.15">
      <c r="A61"/>
      <c r="B61" s="495"/>
      <c r="C61" s="451">
        <f>Interview!C79</f>
        <v>3</v>
      </c>
      <c r="D61" s="452"/>
      <c r="E61" s="26">
        <f>Interview!F79</f>
        <v>0</v>
      </c>
      <c r="F61" s="18">
        <v>9</v>
      </c>
      <c r="G61" s="18">
        <f>IFERROR(VLOOKUP(E61,AnswerFTBL,2,FALSE),0)</f>
        <v>0</v>
      </c>
      <c r="H61" s="159"/>
      <c r="I61" s="464"/>
      <c r="J61" s="170"/>
      <c r="K61" s="18">
        <f>IFERROR(VLOOKUP(J61,AnswerFTBL,2,FALSE),0)</f>
        <v>0</v>
      </c>
      <c r="L61" s="105"/>
      <c r="M61" s="446"/>
      <c r="N61" s="170"/>
      <c r="O61" s="18">
        <f>IFERROR(VLOOKUP(N61,AnswerFTBL,2,FALSE),0)</f>
        <v>0</v>
      </c>
      <c r="P61" s="105"/>
      <c r="Q61" s="446"/>
      <c r="R61" s="170"/>
      <c r="S61" s="18">
        <f>IFERROR(VLOOKUP(R61,AnswerFTBL,2,FALSE),0)</f>
        <v>0</v>
      </c>
      <c r="T61" s="105"/>
      <c r="U61" s="446"/>
      <c r="V61" s="170"/>
      <c r="W61" s="18">
        <f>IFERROR(VLOOKUP(V61,AnswerFTBL,2,FALSE),0)</f>
        <v>0</v>
      </c>
      <c r="X61" s="105"/>
      <c r="Y61" s="446"/>
    </row>
    <row r="62" spans="1:25" ht="12.75" customHeight="1" x14ac:dyDescent="0.15">
      <c r="A62"/>
      <c r="B62" s="382"/>
      <c r="C62" s="383"/>
      <c r="D62" s="383"/>
      <c r="E62" s="383"/>
      <c r="F62" s="383"/>
      <c r="G62" s="383"/>
      <c r="H62" s="383"/>
      <c r="I62" s="205"/>
      <c r="J62" s="171"/>
      <c r="K62" s="160"/>
      <c r="L62" s="160"/>
      <c r="M62" s="176"/>
      <c r="N62" s="171"/>
      <c r="O62" s="160"/>
      <c r="P62" s="160"/>
      <c r="Q62" s="176"/>
      <c r="R62" s="171"/>
      <c r="S62" s="160"/>
      <c r="T62" s="160"/>
      <c r="U62" s="176"/>
      <c r="V62" s="171"/>
      <c r="W62" s="160"/>
      <c r="X62" s="160"/>
      <c r="Y62" s="176"/>
    </row>
    <row r="63" spans="1:25" ht="12.75" customHeight="1" x14ac:dyDescent="0.15">
      <c r="A63"/>
      <c r="B63" s="493" t="s">
        <v>45</v>
      </c>
      <c r="C63" s="456">
        <f>Interview!C82</f>
        <v>1</v>
      </c>
      <c r="D63" s="457"/>
      <c r="E63" s="26">
        <f>Interview!F82</f>
        <v>0</v>
      </c>
      <c r="F63" s="18">
        <v>10</v>
      </c>
      <c r="G63" s="18">
        <f>IFERROR(VLOOKUP(E63,AnswerCTBL,2,FALSE),0)</f>
        <v>0</v>
      </c>
      <c r="H63" s="159">
        <f>IFERROR(AVERAGE(G63,G64),0)</f>
        <v>0</v>
      </c>
      <c r="I63" s="205"/>
      <c r="J63" s="169"/>
      <c r="K63" s="18">
        <f>IFERROR(VLOOKUP(J63,AnswerCTBL,2,FALSE),0)</f>
        <v>0</v>
      </c>
      <c r="L63" s="105">
        <f>IFERROR(AVERAGE(K63,K64),0)</f>
        <v>0</v>
      </c>
      <c r="M63" s="173"/>
      <c r="N63" s="169"/>
      <c r="O63" s="18">
        <f>IFERROR(VLOOKUP(N63,AnswerCTBL,2,FALSE),0)</f>
        <v>0</v>
      </c>
      <c r="P63" s="105">
        <f>IFERROR(AVERAGE(O63,O64),0)</f>
        <v>0</v>
      </c>
      <c r="Q63" s="173"/>
      <c r="R63" s="169"/>
      <c r="S63" s="18">
        <f>IFERROR(VLOOKUP(R63,AnswerCTBL,2,FALSE),0)</f>
        <v>0</v>
      </c>
      <c r="T63" s="105">
        <f>IFERROR(AVERAGE(S63,S64),0)</f>
        <v>0</v>
      </c>
      <c r="U63" s="173"/>
      <c r="V63" s="169"/>
      <c r="W63" s="18">
        <f>IFERROR(VLOOKUP(V63,AnswerCTBL,2,FALSE),0)</f>
        <v>0</v>
      </c>
      <c r="X63" s="105">
        <f>IFERROR(AVERAGE(W63,W64),0)</f>
        <v>0</v>
      </c>
      <c r="Y63" s="173"/>
    </row>
    <row r="64" spans="1:25" ht="12.75" customHeight="1" x14ac:dyDescent="0.15">
      <c r="A64"/>
      <c r="B64" s="495"/>
      <c r="C64" s="451">
        <f>Interview!C86</f>
        <v>3</v>
      </c>
      <c r="D64" s="452"/>
      <c r="E64" s="26">
        <f>Interview!F86</f>
        <v>0</v>
      </c>
      <c r="F64" s="18">
        <v>11</v>
      </c>
      <c r="G64" s="18">
        <f>IFERROR(VLOOKUP(E64,AnswerCTBL,2,FALSE),0)</f>
        <v>0</v>
      </c>
      <c r="H64" s="159"/>
      <c r="I64" s="205"/>
      <c r="J64" s="170"/>
      <c r="K64" s="18">
        <f>IFERROR(VLOOKUP(J64,AnswerCTBL,2,FALSE),0)</f>
        <v>0</v>
      </c>
      <c r="L64" s="105"/>
      <c r="M64" s="173"/>
      <c r="N64" s="170"/>
      <c r="O64" s="18">
        <f>IFERROR(VLOOKUP(N64,AnswerCTBL,2,FALSE),0)</f>
        <v>0</v>
      </c>
      <c r="P64" s="105"/>
      <c r="Q64" s="173"/>
      <c r="R64" s="170"/>
      <c r="S64" s="18">
        <f>IFERROR(VLOOKUP(R64,AnswerCTBL,2,FALSE),0)</f>
        <v>0</v>
      </c>
      <c r="T64" s="105"/>
      <c r="U64" s="173"/>
      <c r="V64" s="170"/>
      <c r="W64" s="18">
        <f>IFERROR(VLOOKUP(V64,AnswerCTBL,2,FALSE),0)</f>
        <v>0</v>
      </c>
      <c r="X64" s="105"/>
      <c r="Y64" s="173"/>
    </row>
    <row r="65" spans="1:25" ht="12.75" customHeight="1" x14ac:dyDescent="0.15">
      <c r="A65"/>
      <c r="B65" s="382"/>
      <c r="C65" s="383"/>
      <c r="D65" s="383"/>
      <c r="E65" s="383"/>
      <c r="F65" s="383"/>
      <c r="G65" s="383"/>
      <c r="H65" s="383"/>
      <c r="I65" s="205"/>
      <c r="J65" s="171"/>
      <c r="K65" s="160"/>
      <c r="L65" s="160"/>
      <c r="M65" s="176"/>
      <c r="N65" s="171"/>
      <c r="O65" s="160"/>
      <c r="P65" s="160"/>
      <c r="Q65" s="176"/>
      <c r="R65" s="171"/>
      <c r="S65" s="160"/>
      <c r="T65" s="160"/>
      <c r="U65" s="176"/>
      <c r="V65" s="171"/>
      <c r="W65" s="160"/>
      <c r="X65" s="160"/>
      <c r="Y65" s="176"/>
    </row>
    <row r="66" spans="1:25" ht="12.75" customHeight="1" x14ac:dyDescent="0.15">
      <c r="A66"/>
      <c r="B66" s="499" t="s">
        <v>46</v>
      </c>
      <c r="C66" s="490" t="e">
        <f>Interview!#REF!</f>
        <v>#REF!</v>
      </c>
      <c r="D66" s="501"/>
      <c r="E66" s="157" t="e">
        <f>Interview!#REF!</f>
        <v>#REF!</v>
      </c>
      <c r="F66" s="154">
        <v>12</v>
      </c>
      <c r="G66" s="18">
        <f>IFERROR(VLOOKUP(E66,AnswerCTBL,2,FALSE),0)</f>
        <v>0</v>
      </c>
      <c r="H66" s="159">
        <f>IFERROR(AVERAGE(G66,G67),0)</f>
        <v>0</v>
      </c>
      <c r="I66" s="205"/>
      <c r="J66" s="169"/>
      <c r="K66" s="18">
        <f>IFERROR(VLOOKUP(J66,AnswerCTBL,2,FALSE),0)</f>
        <v>0</v>
      </c>
      <c r="L66" s="105">
        <f>IFERROR(AVERAGE(K66,K67),0)</f>
        <v>0</v>
      </c>
      <c r="M66" s="173"/>
      <c r="N66" s="169"/>
      <c r="O66" s="18">
        <f>IFERROR(VLOOKUP(N66,AnswerCTBL,2,FALSE),0)</f>
        <v>0</v>
      </c>
      <c r="P66" s="105">
        <f>IFERROR(AVERAGE(O66,O67),0)</f>
        <v>0</v>
      </c>
      <c r="Q66" s="173"/>
      <c r="R66" s="169"/>
      <c r="S66" s="18">
        <f>IFERROR(VLOOKUP(R66,AnswerCTBL,2,FALSE),0)</f>
        <v>0</v>
      </c>
      <c r="T66" s="105">
        <f>IFERROR(AVERAGE(S66,S67),0)</f>
        <v>0</v>
      </c>
      <c r="U66" s="173"/>
      <c r="V66" s="169"/>
      <c r="W66" s="18">
        <f>IFERROR(VLOOKUP(V66,AnswerCTBL,2,FALSE),0)</f>
        <v>0</v>
      </c>
      <c r="X66" s="105">
        <f>IFERROR(AVERAGE(W66,W67),0)</f>
        <v>0</v>
      </c>
      <c r="Y66" s="173"/>
    </row>
    <row r="67" spans="1:25" ht="12.75" customHeight="1" x14ac:dyDescent="0.15">
      <c r="A67"/>
      <c r="B67" s="500"/>
      <c r="C67" s="491" t="e">
        <f>Interview!#REF!</f>
        <v>#REF!</v>
      </c>
      <c r="D67" s="502"/>
      <c r="E67" s="158" t="e">
        <f>Interview!#REF!</f>
        <v>#REF!</v>
      </c>
      <c r="F67" s="154">
        <v>13</v>
      </c>
      <c r="G67" s="18">
        <f>IFERROR(VLOOKUP(E67,AnswerDTBL,2,FALSE),0)</f>
        <v>0</v>
      </c>
      <c r="H67" s="159"/>
      <c r="I67" s="205"/>
      <c r="J67" s="170"/>
      <c r="K67" s="18">
        <f>IFERROR(VLOOKUP(J67,AnswerDTBL,2,FALSE),0)</f>
        <v>0</v>
      </c>
      <c r="L67" s="105"/>
      <c r="M67" s="173"/>
      <c r="N67" s="170"/>
      <c r="O67" s="18">
        <f>IFERROR(VLOOKUP(N67,AnswerDTBL,2,FALSE),0)</f>
        <v>0</v>
      </c>
      <c r="P67" s="105"/>
      <c r="Q67" s="173"/>
      <c r="R67" s="170"/>
      <c r="S67" s="18">
        <f>IFERROR(VLOOKUP(R67,AnswerDTBL,2,FALSE),0)</f>
        <v>0</v>
      </c>
      <c r="T67" s="105"/>
      <c r="U67" s="173"/>
      <c r="V67" s="170"/>
      <c r="W67" s="18">
        <f>IFERROR(VLOOKUP(V67,AnswerDTBL,2,FALSE),0)</f>
        <v>0</v>
      </c>
      <c r="X67" s="105"/>
      <c r="Y67" s="173"/>
    </row>
    <row r="68" spans="1:25" ht="12.75" customHeight="1" x14ac:dyDescent="0.15">
      <c r="A68"/>
      <c r="B68" s="496" t="s">
        <v>47</v>
      </c>
      <c r="C68" s="497"/>
      <c r="D68" s="498"/>
      <c r="E68" s="139" t="s">
        <v>70</v>
      </c>
      <c r="F68" s="139"/>
      <c r="G68" s="139"/>
      <c r="H68" s="202"/>
      <c r="I68" s="208" t="s">
        <v>68</v>
      </c>
      <c r="J68" s="179" t="s">
        <v>70</v>
      </c>
      <c r="K68" s="139"/>
      <c r="L68" s="140"/>
      <c r="M68" s="178" t="s">
        <v>68</v>
      </c>
      <c r="N68" s="179" t="s">
        <v>70</v>
      </c>
      <c r="O68" s="139"/>
      <c r="P68" s="140"/>
      <c r="Q68" s="178" t="s">
        <v>68</v>
      </c>
      <c r="R68" s="179" t="s">
        <v>70</v>
      </c>
      <c r="S68" s="139"/>
      <c r="T68" s="140"/>
      <c r="U68" s="178" t="s">
        <v>68</v>
      </c>
      <c r="V68" s="179" t="s">
        <v>70</v>
      </c>
      <c r="W68" s="139"/>
      <c r="X68" s="140"/>
      <c r="Y68" s="178" t="s">
        <v>68</v>
      </c>
    </row>
    <row r="69" spans="1:25" ht="12.75" customHeight="1" x14ac:dyDescent="0.15">
      <c r="A69"/>
      <c r="B69" s="493" t="s">
        <v>48</v>
      </c>
      <c r="C69" s="456">
        <f>Interview!C89</f>
        <v>1</v>
      </c>
      <c r="D69" s="457"/>
      <c r="E69" s="26">
        <f>Interview!F89</f>
        <v>0</v>
      </c>
      <c r="F69" s="18">
        <v>14</v>
      </c>
      <c r="G69" s="18">
        <f>IFERROR(VLOOKUP(E69,AnswerFTBL,2,FALSE),0)</f>
        <v>0</v>
      </c>
      <c r="H69" s="159">
        <f>IFERROR(AVERAGE(G69,G70),0)</f>
        <v>0</v>
      </c>
      <c r="I69" s="463">
        <f>SUM(H69,H72,H75)</f>
        <v>0</v>
      </c>
      <c r="J69" s="169"/>
      <c r="K69" s="18">
        <f>IFERROR(VLOOKUP(J69,AnswerFTBL,2,FALSE),0)</f>
        <v>0</v>
      </c>
      <c r="L69" s="105">
        <f>IFERROR(AVERAGE(K69,K70),0)</f>
        <v>0</v>
      </c>
      <c r="M69" s="445">
        <f>SUM(L69,L72,L75)</f>
        <v>0</v>
      </c>
      <c r="N69" s="169"/>
      <c r="O69" s="18">
        <f>IFERROR(VLOOKUP(N69,AnswerFTBL,2,FALSE),0)</f>
        <v>0</v>
      </c>
      <c r="P69" s="105">
        <f>IFERROR(AVERAGE(O69,O70),0)</f>
        <v>0</v>
      </c>
      <c r="Q69" s="445">
        <f>SUM(P69,P72,P75)</f>
        <v>0</v>
      </c>
      <c r="R69" s="169"/>
      <c r="S69" s="18">
        <f>IFERROR(VLOOKUP(R69,AnswerFTBL,2,FALSE),0)</f>
        <v>0</v>
      </c>
      <c r="T69" s="105">
        <f>IFERROR(AVERAGE(S69,S70),0)</f>
        <v>0</v>
      </c>
      <c r="U69" s="445">
        <f>SUM(T69,T72,T75)</f>
        <v>0</v>
      </c>
      <c r="V69" s="169"/>
      <c r="W69" s="18">
        <f>IFERROR(VLOOKUP(V69,AnswerFTBL,2,FALSE),0)</f>
        <v>0</v>
      </c>
      <c r="X69" s="105">
        <f>IFERROR(AVERAGE(W69,W70),0)</f>
        <v>0</v>
      </c>
      <c r="Y69" s="445">
        <f>SUM(X69,X72,X75)</f>
        <v>0</v>
      </c>
    </row>
    <row r="70" spans="1:25" ht="12.75" customHeight="1" x14ac:dyDescent="0.15">
      <c r="A70"/>
      <c r="B70" s="495"/>
      <c r="C70" s="451">
        <f>Interview!C93</f>
        <v>3</v>
      </c>
      <c r="D70" s="452"/>
      <c r="E70" s="26">
        <f>Interview!F93</f>
        <v>0</v>
      </c>
      <c r="F70" s="18">
        <v>15</v>
      </c>
      <c r="G70" s="18">
        <f>IFERROR(VLOOKUP(E70,AnswerCTBL,2,FALSE),0)</f>
        <v>0</v>
      </c>
      <c r="H70" s="159"/>
      <c r="I70" s="464"/>
      <c r="J70" s="170"/>
      <c r="K70" s="18">
        <f>IFERROR(VLOOKUP(J70,AnswerCTBL,2,FALSE),0)</f>
        <v>0</v>
      </c>
      <c r="L70" s="105"/>
      <c r="M70" s="446"/>
      <c r="N70" s="170"/>
      <c r="O70" s="18">
        <f>IFERROR(VLOOKUP(N70,AnswerCTBL,2,FALSE),0)</f>
        <v>0</v>
      </c>
      <c r="P70" s="105"/>
      <c r="Q70" s="446"/>
      <c r="R70" s="170"/>
      <c r="S70" s="18">
        <f>IFERROR(VLOOKUP(R70,AnswerCTBL,2,FALSE),0)</f>
        <v>0</v>
      </c>
      <c r="T70" s="105"/>
      <c r="U70" s="446"/>
      <c r="V70" s="170"/>
      <c r="W70" s="18">
        <f>IFERROR(VLOOKUP(V70,AnswerCTBL,2,FALSE),0)</f>
        <v>0</v>
      </c>
      <c r="X70" s="105"/>
      <c r="Y70" s="446"/>
    </row>
    <row r="71" spans="1:25" ht="12.75" customHeight="1" x14ac:dyDescent="0.15">
      <c r="A71"/>
      <c r="B71" s="382"/>
      <c r="C71" s="383"/>
      <c r="D71" s="383"/>
      <c r="E71" s="383"/>
      <c r="F71" s="383"/>
      <c r="G71" s="383"/>
      <c r="H71" s="383"/>
      <c r="I71" s="205"/>
      <c r="J71" s="171"/>
      <c r="K71" s="160"/>
      <c r="L71" s="160"/>
      <c r="M71" s="176"/>
      <c r="N71" s="171"/>
      <c r="O71" s="160"/>
      <c r="P71" s="160"/>
      <c r="Q71" s="176"/>
      <c r="R71" s="171"/>
      <c r="S71" s="160"/>
      <c r="T71" s="160"/>
      <c r="U71" s="176"/>
      <c r="V71" s="171"/>
      <c r="W71" s="160"/>
      <c r="X71" s="160"/>
      <c r="Y71" s="176"/>
    </row>
    <row r="72" spans="1:25" ht="12.75" customHeight="1" x14ac:dyDescent="0.15">
      <c r="A72"/>
      <c r="B72" s="493" t="s">
        <v>49</v>
      </c>
      <c r="C72" s="456">
        <f>Interview!C96</f>
        <v>1</v>
      </c>
      <c r="D72" s="457"/>
      <c r="E72" s="26">
        <f>Interview!F96</f>
        <v>0</v>
      </c>
      <c r="F72" s="18">
        <v>16</v>
      </c>
      <c r="G72" s="18">
        <f>IFERROR(VLOOKUP(E72,AnswerGTBL,2,FALSE),0)</f>
        <v>0</v>
      </c>
      <c r="H72" s="159">
        <f>IFERROR(AVERAGE(G72,G73),0)</f>
        <v>0</v>
      </c>
      <c r="I72" s="205"/>
      <c r="J72" s="169"/>
      <c r="K72" s="18">
        <f>IFERROR(VLOOKUP(J72,AnswerGTBL,2,FALSE),0)</f>
        <v>0</v>
      </c>
      <c r="L72" s="105">
        <f>IFERROR(AVERAGE(K72,K73),0)</f>
        <v>0</v>
      </c>
      <c r="M72" s="173"/>
      <c r="N72" s="169"/>
      <c r="O72" s="18">
        <f>IFERROR(VLOOKUP(N72,AnswerGTBL,2,FALSE),0)</f>
        <v>0</v>
      </c>
      <c r="P72" s="105">
        <f>IFERROR(AVERAGE(O72,O73),0)</f>
        <v>0</v>
      </c>
      <c r="Q72" s="173"/>
      <c r="R72" s="169"/>
      <c r="S72" s="18">
        <f>IFERROR(VLOOKUP(R72,AnswerGTBL,2,FALSE),0)</f>
        <v>0</v>
      </c>
      <c r="T72" s="105">
        <f>IFERROR(AVERAGE(S72,S73),0)</f>
        <v>0</v>
      </c>
      <c r="U72" s="173"/>
      <c r="V72" s="169"/>
      <c r="W72" s="18">
        <f>IFERROR(VLOOKUP(V72,AnswerGTBL,2,FALSE),0)</f>
        <v>0</v>
      </c>
      <c r="X72" s="105">
        <f>IFERROR(AVERAGE(W72,W73),0)</f>
        <v>0</v>
      </c>
      <c r="Y72" s="173"/>
    </row>
    <row r="73" spans="1:25" ht="12.75" customHeight="1" x14ac:dyDescent="0.15">
      <c r="A73"/>
      <c r="B73" s="495"/>
      <c r="C73" s="451">
        <f>Interview!C100</f>
        <v>3</v>
      </c>
      <c r="D73" s="452"/>
      <c r="E73" s="26">
        <f>Interview!F100</f>
        <v>0</v>
      </c>
      <c r="F73" s="18">
        <v>17</v>
      </c>
      <c r="G73" s="18">
        <f>IFERROR(VLOOKUP(E73,AnswerFTBL,2,FALSE),0)</f>
        <v>0</v>
      </c>
      <c r="H73" s="159"/>
      <c r="I73" s="205"/>
      <c r="J73" s="170"/>
      <c r="K73" s="18">
        <f>IFERROR(VLOOKUP(J73,AnswerFTBL,2,FALSE),0)</f>
        <v>0</v>
      </c>
      <c r="L73" s="105"/>
      <c r="M73" s="173"/>
      <c r="N73" s="170"/>
      <c r="O73" s="18">
        <f>IFERROR(VLOOKUP(N73,AnswerFTBL,2,FALSE),0)</f>
        <v>0</v>
      </c>
      <c r="P73" s="105"/>
      <c r="Q73" s="173"/>
      <c r="R73" s="170"/>
      <c r="S73" s="18">
        <f>IFERROR(VLOOKUP(R73,AnswerFTBL,2,FALSE),0)</f>
        <v>0</v>
      </c>
      <c r="T73" s="105"/>
      <c r="U73" s="173"/>
      <c r="V73" s="170"/>
      <c r="W73" s="18">
        <f>IFERROR(VLOOKUP(V73,AnswerFTBL,2,FALSE),0)</f>
        <v>0</v>
      </c>
      <c r="X73" s="105"/>
      <c r="Y73" s="173"/>
    </row>
    <row r="74" spans="1:25" ht="12.75" customHeight="1" x14ac:dyDescent="0.15">
      <c r="A74"/>
      <c r="B74" s="382"/>
      <c r="C74" s="383"/>
      <c r="D74" s="383"/>
      <c r="E74" s="383"/>
      <c r="F74" s="383"/>
      <c r="G74" s="383"/>
      <c r="H74" s="383"/>
      <c r="I74" s="205"/>
      <c r="J74" s="171"/>
      <c r="K74" s="160"/>
      <c r="L74" s="160"/>
      <c r="M74" s="176"/>
      <c r="N74" s="171"/>
      <c r="O74" s="160"/>
      <c r="P74" s="160"/>
      <c r="Q74" s="176"/>
      <c r="R74" s="171"/>
      <c r="S74" s="160"/>
      <c r="T74" s="160"/>
      <c r="U74" s="176"/>
      <c r="V74" s="171"/>
      <c r="W74" s="160"/>
      <c r="X74" s="160"/>
      <c r="Y74" s="176"/>
    </row>
    <row r="75" spans="1:25" ht="12.75" customHeight="1" x14ac:dyDescent="0.15">
      <c r="A75"/>
      <c r="B75" s="493" t="s">
        <v>50</v>
      </c>
      <c r="C75" s="456" t="e">
        <f>Interview!#REF!</f>
        <v>#REF!</v>
      </c>
      <c r="D75" s="457"/>
      <c r="E75" s="26" t="e">
        <f>Interview!#REF!</f>
        <v>#REF!</v>
      </c>
      <c r="F75" s="18">
        <v>18</v>
      </c>
      <c r="G75" s="18">
        <f>IFERROR(VLOOKUP(E75,AnswerCTBL,2,FALSE),0)</f>
        <v>0</v>
      </c>
      <c r="H75" s="159">
        <f>IFERROR(AVERAGE(G75,G76),0)</f>
        <v>0</v>
      </c>
      <c r="I75" s="205"/>
      <c r="J75" s="169"/>
      <c r="K75" s="18">
        <f>IFERROR(VLOOKUP(J75,AnswerCTBL,2,FALSE),0)</f>
        <v>0</v>
      </c>
      <c r="L75" s="105">
        <f>IFERROR(AVERAGE(K75,K76),0)</f>
        <v>0</v>
      </c>
      <c r="M75" s="173"/>
      <c r="N75" s="169"/>
      <c r="O75" s="18">
        <f>IFERROR(VLOOKUP(N75,AnswerCTBL,2,FALSE),0)</f>
        <v>0</v>
      </c>
      <c r="P75" s="105">
        <f>IFERROR(AVERAGE(O75,O76),0)</f>
        <v>0</v>
      </c>
      <c r="Q75" s="173"/>
      <c r="R75" s="169"/>
      <c r="S75" s="18">
        <f>IFERROR(VLOOKUP(R75,AnswerCTBL,2,FALSE),0)</f>
        <v>0</v>
      </c>
      <c r="T75" s="105">
        <f>IFERROR(AVERAGE(S75,S76),0)</f>
        <v>0</v>
      </c>
      <c r="U75" s="173"/>
      <c r="V75" s="169"/>
      <c r="W75" s="18">
        <f>IFERROR(VLOOKUP(V75,AnswerCTBL,2,FALSE),0)</f>
        <v>0</v>
      </c>
      <c r="X75" s="105">
        <f>IFERROR(AVERAGE(W75,W76),0)</f>
        <v>0</v>
      </c>
      <c r="Y75" s="173"/>
    </row>
    <row r="76" spans="1:25" ht="12.75" customHeight="1" x14ac:dyDescent="0.15">
      <c r="A76"/>
      <c r="B76" s="494"/>
      <c r="C76" s="449" t="e">
        <f>Interview!#REF!</f>
        <v>#REF!</v>
      </c>
      <c r="D76" s="450"/>
      <c r="E76" s="26" t="e">
        <f>Interview!#REF!</f>
        <v>#REF!</v>
      </c>
      <c r="F76" s="18">
        <v>19</v>
      </c>
      <c r="G76" s="18">
        <f>IFERROR(VLOOKUP(E76,AnswerDTBL,2,FALSE),0)</f>
        <v>0</v>
      </c>
      <c r="H76" s="159"/>
      <c r="I76" s="207"/>
      <c r="J76" s="170"/>
      <c r="K76" s="18">
        <f>IFERROR(VLOOKUP(J76,AnswerDTBL,2,FALSE),0)</f>
        <v>0</v>
      </c>
      <c r="L76" s="105"/>
      <c r="M76" s="173"/>
      <c r="N76" s="170"/>
      <c r="O76" s="18">
        <f>IFERROR(VLOOKUP(N76,AnswerDTBL,2,FALSE),0)</f>
        <v>0</v>
      </c>
      <c r="P76" s="105"/>
      <c r="Q76" s="173"/>
      <c r="R76" s="170"/>
      <c r="S76" s="18">
        <f>IFERROR(VLOOKUP(R76,AnswerDTBL,2,FALSE),0)</f>
        <v>0</v>
      </c>
      <c r="T76" s="105"/>
      <c r="U76" s="173"/>
      <c r="V76" s="170"/>
      <c r="W76" s="18">
        <f>IFERROR(VLOOKUP(V76,AnswerDTBL,2,FALSE),0)</f>
        <v>0</v>
      </c>
      <c r="X76" s="105"/>
      <c r="Y76" s="173"/>
    </row>
    <row r="77" spans="1:25" ht="12.75" customHeight="1" x14ac:dyDescent="0.15">
      <c r="A77"/>
      <c r="B77" s="335" t="s">
        <v>51</v>
      </c>
      <c r="C77" s="335"/>
      <c r="D77" s="335"/>
      <c r="E77" s="335" t="s">
        <v>145</v>
      </c>
      <c r="F77" s="335"/>
      <c r="G77" s="335"/>
      <c r="H77" s="335"/>
      <c r="I77" s="335"/>
      <c r="J77" s="427" t="s">
        <v>144</v>
      </c>
      <c r="K77" s="335"/>
      <c r="L77" s="335"/>
      <c r="M77" s="428"/>
      <c r="N77" s="427" t="s">
        <v>146</v>
      </c>
      <c r="O77" s="335"/>
      <c r="P77" s="335"/>
      <c r="Q77" s="428"/>
      <c r="R77" s="427" t="s">
        <v>147</v>
      </c>
      <c r="S77" s="335"/>
      <c r="T77" s="335"/>
      <c r="U77" s="428"/>
      <c r="V77" s="427" t="s">
        <v>148</v>
      </c>
      <c r="W77" s="335"/>
      <c r="X77" s="335"/>
      <c r="Y77" s="428"/>
    </row>
    <row r="78" spans="1:25" ht="12.75" customHeight="1" x14ac:dyDescent="0.15">
      <c r="A78"/>
      <c r="B78" s="390" t="s">
        <v>52</v>
      </c>
      <c r="C78" s="391"/>
      <c r="D78" s="392"/>
      <c r="E78" s="79" t="s">
        <v>70</v>
      </c>
      <c r="F78" s="79"/>
      <c r="G78" s="79"/>
      <c r="H78" s="123"/>
      <c r="I78" s="165" t="s">
        <v>68</v>
      </c>
      <c r="J78" s="180" t="s">
        <v>70</v>
      </c>
      <c r="K78" s="79"/>
      <c r="L78" s="123"/>
      <c r="M78" s="181" t="s">
        <v>68</v>
      </c>
      <c r="N78" s="180" t="s">
        <v>70</v>
      </c>
      <c r="O78" s="79"/>
      <c r="P78" s="123"/>
      <c r="Q78" s="181" t="s">
        <v>68</v>
      </c>
      <c r="R78" s="180" t="s">
        <v>70</v>
      </c>
      <c r="S78" s="79"/>
      <c r="T78" s="123"/>
      <c r="U78" s="181" t="s">
        <v>68</v>
      </c>
      <c r="V78" s="180" t="s">
        <v>70</v>
      </c>
      <c r="W78" s="79"/>
      <c r="X78" s="123"/>
      <c r="Y78" s="181" t="s">
        <v>68</v>
      </c>
    </row>
    <row r="79" spans="1:25" ht="12.75" customHeight="1" x14ac:dyDescent="0.15">
      <c r="A79"/>
      <c r="B79" s="492" t="s">
        <v>53</v>
      </c>
      <c r="C79" s="461">
        <f>Interview!C147</f>
        <v>1</v>
      </c>
      <c r="D79" s="462"/>
      <c r="E79" s="148">
        <f>Interview!F147</f>
        <v>0</v>
      </c>
      <c r="F79" s="18">
        <v>1</v>
      </c>
      <c r="G79" s="18">
        <f>IFERROR(VLOOKUP(E79,AnswerCTBL,2,FALSE),0)</f>
        <v>0</v>
      </c>
      <c r="H79" s="159">
        <f>IFERROR(AVERAGE(G79,G80),0)</f>
        <v>0</v>
      </c>
      <c r="I79" s="465">
        <f>SUM(H79,H82,H85)</f>
        <v>0</v>
      </c>
      <c r="J79" s="169"/>
      <c r="K79" s="18">
        <f>IFERROR(VLOOKUP(J79,AnswerCTBL,2,FALSE),0)</f>
        <v>0</v>
      </c>
      <c r="L79" s="105">
        <f>IFERROR(AVERAGE(K79,K80),0)</f>
        <v>0</v>
      </c>
      <c r="M79" s="434">
        <f>SUM(L79,L82,L85)</f>
        <v>0</v>
      </c>
      <c r="N79" s="169"/>
      <c r="O79" s="18">
        <f>IFERROR(VLOOKUP(N79,AnswerCTBL,2,FALSE),0)</f>
        <v>0</v>
      </c>
      <c r="P79" s="105">
        <f>IFERROR(AVERAGE(O79,O80),0)</f>
        <v>0</v>
      </c>
      <c r="Q79" s="434">
        <f>SUM(P79,P82,P85)</f>
        <v>0</v>
      </c>
      <c r="R79" s="169"/>
      <c r="S79" s="18">
        <f>IFERROR(VLOOKUP(R79,AnswerCTBL,2,FALSE),0)</f>
        <v>0</v>
      </c>
      <c r="T79" s="105">
        <f>IFERROR(AVERAGE(S79,S80),0)</f>
        <v>0</v>
      </c>
      <c r="U79" s="434">
        <f>SUM(T79,T82,T85)</f>
        <v>0</v>
      </c>
      <c r="V79" s="169"/>
      <c r="W79" s="18">
        <f>IFERROR(VLOOKUP(V79,AnswerCTBL,2,FALSE),0)</f>
        <v>0</v>
      </c>
      <c r="X79" s="105">
        <f>IFERROR(AVERAGE(W79,W80),0)</f>
        <v>0</v>
      </c>
      <c r="Y79" s="434">
        <f>SUM(X79,X82,X85)</f>
        <v>0</v>
      </c>
    </row>
    <row r="80" spans="1:25" ht="12.75" customHeight="1" x14ac:dyDescent="0.15">
      <c r="A80"/>
      <c r="B80" s="484"/>
      <c r="C80" s="451">
        <f>Interview!C151</f>
        <v>3</v>
      </c>
      <c r="D80" s="452"/>
      <c r="E80" s="26">
        <f>Interview!F151</f>
        <v>0</v>
      </c>
      <c r="F80" s="18">
        <v>2</v>
      </c>
      <c r="G80" s="18">
        <f>IFERROR(VLOOKUP(E80,AnswerCTBL,2,FALSE),0)</f>
        <v>0</v>
      </c>
      <c r="H80" s="159"/>
      <c r="I80" s="466"/>
      <c r="J80" s="170"/>
      <c r="K80" s="18">
        <f>IFERROR(VLOOKUP(J80,AnswerCTBL,2,FALSE),0)</f>
        <v>0</v>
      </c>
      <c r="L80" s="105"/>
      <c r="M80" s="435"/>
      <c r="N80" s="170"/>
      <c r="O80" s="18">
        <f>IFERROR(VLOOKUP(N80,AnswerCTBL,2,FALSE),0)</f>
        <v>0</v>
      </c>
      <c r="P80" s="105"/>
      <c r="Q80" s="435"/>
      <c r="R80" s="170"/>
      <c r="S80" s="18">
        <f>IFERROR(VLOOKUP(R80,AnswerCTBL,2,FALSE),0)</f>
        <v>0</v>
      </c>
      <c r="T80" s="105"/>
      <c r="U80" s="435"/>
      <c r="V80" s="170"/>
      <c r="W80" s="18">
        <f>IFERROR(VLOOKUP(V80,AnswerCTBL,2,FALSE),0)</f>
        <v>0</v>
      </c>
      <c r="X80" s="105"/>
      <c r="Y80" s="435"/>
    </row>
    <row r="81" spans="1:25" ht="12.75" customHeight="1" x14ac:dyDescent="0.15">
      <c r="A81"/>
      <c r="B81" s="382"/>
      <c r="C81" s="383"/>
      <c r="D81" s="383"/>
      <c r="E81" s="383"/>
      <c r="F81" s="383"/>
      <c r="G81" s="383"/>
      <c r="H81" s="383"/>
      <c r="I81" s="205"/>
      <c r="J81" s="171"/>
      <c r="K81" s="160"/>
      <c r="L81" s="160"/>
      <c r="M81" s="176"/>
      <c r="N81" s="171"/>
      <c r="O81" s="160"/>
      <c r="P81" s="160"/>
      <c r="Q81" s="176"/>
      <c r="R81" s="171"/>
      <c r="S81" s="160"/>
      <c r="T81" s="160"/>
      <c r="U81" s="176"/>
      <c r="V81" s="171"/>
      <c r="W81" s="160"/>
      <c r="X81" s="160"/>
      <c r="Y81" s="176"/>
    </row>
    <row r="82" spans="1:25" ht="12.75" customHeight="1" x14ac:dyDescent="0.15">
      <c r="A82"/>
      <c r="B82" s="482" t="s">
        <v>54</v>
      </c>
      <c r="C82" s="456">
        <f>Interview!C154</f>
        <v>1</v>
      </c>
      <c r="D82" s="457"/>
      <c r="E82" s="26">
        <f>Interview!F154</f>
        <v>0</v>
      </c>
      <c r="F82" s="18">
        <v>3</v>
      </c>
      <c r="G82" s="18">
        <f>IFERROR(VLOOKUP(E82,AnswerCTBL,2,FALSE),0)</f>
        <v>0</v>
      </c>
      <c r="H82" s="159">
        <f>IFERROR(AVERAGE(G82,G83),0)</f>
        <v>0</v>
      </c>
      <c r="I82" s="205"/>
      <c r="J82" s="169"/>
      <c r="K82" s="18">
        <f>IFERROR(VLOOKUP(J82,AnswerCTBL,2,FALSE),0)</f>
        <v>0</v>
      </c>
      <c r="L82" s="105">
        <f>IFERROR(AVERAGE(K82,K83),0)</f>
        <v>0</v>
      </c>
      <c r="M82" s="173"/>
      <c r="N82" s="169"/>
      <c r="O82" s="18">
        <f>IFERROR(VLOOKUP(N82,AnswerCTBL,2,FALSE),0)</f>
        <v>0</v>
      </c>
      <c r="P82" s="105">
        <f>IFERROR(AVERAGE(O82,O83),0)</f>
        <v>0</v>
      </c>
      <c r="Q82" s="173"/>
      <c r="R82" s="169"/>
      <c r="S82" s="18">
        <f>IFERROR(VLOOKUP(R82,AnswerCTBL,2,FALSE),0)</f>
        <v>0</v>
      </c>
      <c r="T82" s="105">
        <f>IFERROR(AVERAGE(S82,S83),0)</f>
        <v>0</v>
      </c>
      <c r="U82" s="173"/>
      <c r="V82" s="169"/>
      <c r="W82" s="18">
        <f>IFERROR(VLOOKUP(V82,AnswerCTBL,2,FALSE),0)</f>
        <v>0</v>
      </c>
      <c r="X82" s="105">
        <f>IFERROR(AVERAGE(W82,W83),0)</f>
        <v>0</v>
      </c>
      <c r="Y82" s="173"/>
    </row>
    <row r="83" spans="1:25" ht="12.75" customHeight="1" x14ac:dyDescent="0.15">
      <c r="A83"/>
      <c r="B83" s="484"/>
      <c r="C83" s="451">
        <f>Interview!C158</f>
        <v>3</v>
      </c>
      <c r="D83" s="452"/>
      <c r="E83" s="26">
        <f>Interview!F158</f>
        <v>0</v>
      </c>
      <c r="F83" s="18">
        <v>4</v>
      </c>
      <c r="G83" s="18">
        <f>IFERROR(VLOOKUP(E83,AnswerBTBL,2,FALSE),0)</f>
        <v>0</v>
      </c>
      <c r="H83" s="159"/>
      <c r="I83" s="205"/>
      <c r="J83" s="170"/>
      <c r="K83" s="18">
        <f>IFERROR(VLOOKUP(J83,AnswerBTBL,2,FALSE),0)</f>
        <v>0</v>
      </c>
      <c r="L83" s="105"/>
      <c r="M83" s="173"/>
      <c r="N83" s="170"/>
      <c r="O83" s="18">
        <f>IFERROR(VLOOKUP(N83,AnswerBTBL,2,FALSE),0)</f>
        <v>0</v>
      </c>
      <c r="P83" s="105"/>
      <c r="Q83" s="173"/>
      <c r="R83" s="170"/>
      <c r="S83" s="18">
        <f>IFERROR(VLOOKUP(R83,AnswerBTBL,2,FALSE),0)</f>
        <v>0</v>
      </c>
      <c r="T83" s="105"/>
      <c r="U83" s="173"/>
      <c r="V83" s="170"/>
      <c r="W83" s="18">
        <f>IFERROR(VLOOKUP(V83,AnswerBTBL,2,FALSE),0)</f>
        <v>0</v>
      </c>
      <c r="X83" s="105"/>
      <c r="Y83" s="173"/>
    </row>
    <row r="84" spans="1:25" ht="12.75" customHeight="1" x14ac:dyDescent="0.15">
      <c r="A84"/>
      <c r="B84" s="382"/>
      <c r="C84" s="383"/>
      <c r="D84" s="383"/>
      <c r="E84" s="383"/>
      <c r="F84" s="383"/>
      <c r="G84" s="383"/>
      <c r="H84" s="383"/>
      <c r="I84" s="205"/>
      <c r="J84" s="171"/>
      <c r="K84" s="160"/>
      <c r="L84" s="160"/>
      <c r="M84" s="176"/>
      <c r="N84" s="171"/>
      <c r="O84" s="160"/>
      <c r="P84" s="160"/>
      <c r="Q84" s="176"/>
      <c r="R84" s="171"/>
      <c r="S84" s="160"/>
      <c r="T84" s="160"/>
      <c r="U84" s="176"/>
      <c r="V84" s="171"/>
      <c r="W84" s="160"/>
      <c r="X84" s="160"/>
      <c r="Y84" s="176"/>
    </row>
    <row r="85" spans="1:25" ht="12.75" customHeight="1" x14ac:dyDescent="0.15">
      <c r="A85"/>
      <c r="B85" s="482" t="s">
        <v>55</v>
      </c>
      <c r="C85" s="456" t="e">
        <f>Interview!#REF!</f>
        <v>#REF!</v>
      </c>
      <c r="D85" s="457"/>
      <c r="E85" s="26" t="e">
        <f>Interview!#REF!</f>
        <v>#REF!</v>
      </c>
      <c r="F85" s="18">
        <v>5</v>
      </c>
      <c r="G85" s="18">
        <f>IFERROR(VLOOKUP(E85,AnswerCTBL,2,FALSE),0)</f>
        <v>0</v>
      </c>
      <c r="H85" s="159">
        <f>IFERROR(AVERAGE(G85,G86),0)</f>
        <v>0</v>
      </c>
      <c r="I85" s="205"/>
      <c r="J85" s="169"/>
      <c r="K85" s="18">
        <f>IFERROR(VLOOKUP(J85,AnswerCTBL,2,FALSE),0)</f>
        <v>0</v>
      </c>
      <c r="L85" s="105">
        <f>IFERROR(AVERAGE(K85,K86),0)</f>
        <v>0</v>
      </c>
      <c r="M85" s="173"/>
      <c r="N85" s="169"/>
      <c r="O85" s="18">
        <f>IFERROR(VLOOKUP(N85,AnswerCTBL,2,FALSE),0)</f>
        <v>0</v>
      </c>
      <c r="P85" s="105">
        <f>IFERROR(AVERAGE(O85,O86),0)</f>
        <v>0</v>
      </c>
      <c r="Q85" s="173"/>
      <c r="R85" s="169"/>
      <c r="S85" s="18">
        <f>IFERROR(VLOOKUP(R85,AnswerCTBL,2,FALSE),0)</f>
        <v>0</v>
      </c>
      <c r="T85" s="105">
        <f>IFERROR(AVERAGE(S85,S86),0)</f>
        <v>0</v>
      </c>
      <c r="U85" s="173"/>
      <c r="V85" s="169"/>
      <c r="W85" s="18">
        <f>IFERROR(VLOOKUP(V85,AnswerCTBL,2,FALSE),0)</f>
        <v>0</v>
      </c>
      <c r="X85" s="105">
        <f>IFERROR(AVERAGE(W85,W86),0)</f>
        <v>0</v>
      </c>
      <c r="Y85" s="173"/>
    </row>
    <row r="86" spans="1:25" ht="12.75" customHeight="1" x14ac:dyDescent="0.15">
      <c r="A86"/>
      <c r="B86" s="484"/>
      <c r="C86" s="451" t="e">
        <f>Interview!#REF!</f>
        <v>#REF!</v>
      </c>
      <c r="D86" s="452"/>
      <c r="E86" s="26" t="e">
        <f>Interview!#REF!</f>
        <v>#REF!</v>
      </c>
      <c r="F86" s="18">
        <v>6</v>
      </c>
      <c r="G86" s="18">
        <f>IFERROR(VLOOKUP(E86,AnswerFTBL,2,FALSE),0)</f>
        <v>0</v>
      </c>
      <c r="H86" s="159"/>
      <c r="I86" s="205"/>
      <c r="J86" s="170"/>
      <c r="K86" s="18">
        <f>IFERROR(VLOOKUP(J86,AnswerFTBL,2,FALSE),0)</f>
        <v>0</v>
      </c>
      <c r="L86" s="105"/>
      <c r="M86" s="173"/>
      <c r="N86" s="170"/>
      <c r="O86" s="18">
        <f>IFERROR(VLOOKUP(N86,AnswerFTBL,2,FALSE),0)</f>
        <v>0</v>
      </c>
      <c r="P86" s="105"/>
      <c r="Q86" s="173"/>
      <c r="R86" s="170"/>
      <c r="S86" s="18">
        <f>IFERROR(VLOOKUP(R86,AnswerFTBL,2,FALSE),0)</f>
        <v>0</v>
      </c>
      <c r="T86" s="105"/>
      <c r="U86" s="173"/>
      <c r="V86" s="170"/>
      <c r="W86" s="18">
        <f>IFERROR(VLOOKUP(V86,AnswerFTBL,2,FALSE),0)</f>
        <v>0</v>
      </c>
      <c r="X86" s="105"/>
      <c r="Y86" s="173"/>
    </row>
    <row r="87" spans="1:25" ht="12.75" customHeight="1" x14ac:dyDescent="0.15">
      <c r="A87"/>
      <c r="B87" s="485" t="s">
        <v>80</v>
      </c>
      <c r="C87" s="486"/>
      <c r="D87" s="487"/>
      <c r="E87" s="141" t="s">
        <v>70</v>
      </c>
      <c r="F87" s="141"/>
      <c r="G87" s="141"/>
      <c r="H87" s="203"/>
      <c r="I87" s="209" t="s">
        <v>68</v>
      </c>
      <c r="J87" s="182" t="s">
        <v>70</v>
      </c>
      <c r="K87" s="141"/>
      <c r="L87" s="142"/>
      <c r="M87" s="181" t="s">
        <v>68</v>
      </c>
      <c r="N87" s="182" t="s">
        <v>70</v>
      </c>
      <c r="O87" s="141"/>
      <c r="P87" s="142"/>
      <c r="Q87" s="181" t="s">
        <v>68</v>
      </c>
      <c r="R87" s="182" t="s">
        <v>70</v>
      </c>
      <c r="S87" s="141"/>
      <c r="T87" s="142"/>
      <c r="U87" s="181" t="s">
        <v>68</v>
      </c>
      <c r="V87" s="182" t="s">
        <v>70</v>
      </c>
      <c r="W87" s="141"/>
      <c r="X87" s="142"/>
      <c r="Y87" s="181" t="s">
        <v>68</v>
      </c>
    </row>
    <row r="88" spans="1:25" ht="12.75" customHeight="1" x14ac:dyDescent="0.15">
      <c r="A88"/>
      <c r="B88" s="488" t="s">
        <v>77</v>
      </c>
      <c r="C88" s="490">
        <f>Interview!C161</f>
        <v>1</v>
      </c>
      <c r="D88" s="457"/>
      <c r="E88" s="155">
        <f>Interview!F161</f>
        <v>0</v>
      </c>
      <c r="F88" s="154">
        <v>7</v>
      </c>
      <c r="G88" s="18">
        <f>IFERROR(VLOOKUP(E88,AnswerGTBL,2,FALSE),0)</f>
        <v>0</v>
      </c>
      <c r="H88" s="159">
        <f>IFERROR(AVERAGE(G88,G89),0)</f>
        <v>0</v>
      </c>
      <c r="I88" s="465">
        <f>SUM(H88,H91,H94)</f>
        <v>0</v>
      </c>
      <c r="J88" s="169"/>
      <c r="K88" s="18">
        <f>IFERROR(VLOOKUP(J88,AnswerGTBL,2,FALSE),0)</f>
        <v>0</v>
      </c>
      <c r="L88" s="105">
        <f>IFERROR(AVERAGE(K88,K89),0)</f>
        <v>0</v>
      </c>
      <c r="M88" s="434">
        <f>SUM(L88,L91,L94)</f>
        <v>0</v>
      </c>
      <c r="N88" s="169"/>
      <c r="O88" s="18">
        <f>IFERROR(VLOOKUP(N88,AnswerGTBL,2,FALSE),0)</f>
        <v>0</v>
      </c>
      <c r="P88" s="105">
        <f>IFERROR(AVERAGE(O88,O89),0)</f>
        <v>0</v>
      </c>
      <c r="Q88" s="434">
        <f>SUM(P88,P91,P94)</f>
        <v>0</v>
      </c>
      <c r="R88" s="169"/>
      <c r="S88" s="18">
        <f>IFERROR(VLOOKUP(R88,AnswerGTBL,2,FALSE),0)</f>
        <v>0</v>
      </c>
      <c r="T88" s="105">
        <f>IFERROR(AVERAGE(S88,S89),0)</f>
        <v>0</v>
      </c>
      <c r="U88" s="434">
        <f>SUM(T88,T91,T94)</f>
        <v>0</v>
      </c>
      <c r="V88" s="169"/>
      <c r="W88" s="18">
        <f>IFERROR(VLOOKUP(V88,AnswerGTBL,2,FALSE),0)</f>
        <v>0</v>
      </c>
      <c r="X88" s="105">
        <f>IFERROR(AVERAGE(W88,W89),0)</f>
        <v>0</v>
      </c>
      <c r="Y88" s="434">
        <f>SUM(X88,X91,X94)</f>
        <v>0</v>
      </c>
    </row>
    <row r="89" spans="1:25" ht="12.75" customHeight="1" x14ac:dyDescent="0.15">
      <c r="A89"/>
      <c r="B89" s="489"/>
      <c r="C89" s="491">
        <f>Interview!C165</f>
        <v>3</v>
      </c>
      <c r="D89" s="452"/>
      <c r="E89" s="156">
        <f>Interview!F165</f>
        <v>0</v>
      </c>
      <c r="F89" s="154">
        <v>8</v>
      </c>
      <c r="G89" s="18">
        <f>IFERROR(VLOOKUP(E89,AnswerCTBL,2,FALSE),0)</f>
        <v>0</v>
      </c>
      <c r="H89" s="159"/>
      <c r="I89" s="466"/>
      <c r="J89" s="170"/>
      <c r="K89" s="18">
        <f>IFERROR(VLOOKUP(J89,AnswerCTBL,2,FALSE),0)</f>
        <v>0</v>
      </c>
      <c r="L89" s="105"/>
      <c r="M89" s="435"/>
      <c r="N89" s="170"/>
      <c r="O89" s="18">
        <f>IFERROR(VLOOKUP(N89,AnswerCTBL,2,FALSE),0)</f>
        <v>0</v>
      </c>
      <c r="P89" s="105"/>
      <c r="Q89" s="435"/>
      <c r="R89" s="170"/>
      <c r="S89" s="18">
        <f>IFERROR(VLOOKUP(R89,AnswerCTBL,2,FALSE),0)</f>
        <v>0</v>
      </c>
      <c r="T89" s="105"/>
      <c r="U89" s="435"/>
      <c r="V89" s="170"/>
      <c r="W89" s="18">
        <f>IFERROR(VLOOKUP(V89,AnswerCTBL,2,FALSE),0)</f>
        <v>0</v>
      </c>
      <c r="X89" s="105"/>
      <c r="Y89" s="435"/>
    </row>
    <row r="90" spans="1:25" ht="12.75" customHeight="1" x14ac:dyDescent="0.15">
      <c r="A90"/>
      <c r="B90" s="382"/>
      <c r="C90" s="383"/>
      <c r="D90" s="383"/>
      <c r="E90" s="383"/>
      <c r="F90" s="383"/>
      <c r="G90" s="383"/>
      <c r="H90" s="383"/>
      <c r="I90" s="205"/>
      <c r="J90" s="171"/>
      <c r="K90" s="160"/>
      <c r="L90" s="160"/>
      <c r="M90" s="176"/>
      <c r="N90" s="171"/>
      <c r="O90" s="160"/>
      <c r="P90" s="160"/>
      <c r="Q90" s="176"/>
      <c r="R90" s="171"/>
      <c r="S90" s="160"/>
      <c r="T90" s="160"/>
      <c r="U90" s="176"/>
      <c r="V90" s="171"/>
      <c r="W90" s="160"/>
      <c r="X90" s="160"/>
      <c r="Y90" s="176"/>
    </row>
    <row r="91" spans="1:25" ht="12.75" customHeight="1" x14ac:dyDescent="0.15">
      <c r="A91"/>
      <c r="B91" s="482" t="s">
        <v>78</v>
      </c>
      <c r="C91" s="456">
        <f>Interview!C168</f>
        <v>1</v>
      </c>
      <c r="D91" s="457"/>
      <c r="E91" s="26">
        <f>Interview!F168</f>
        <v>0</v>
      </c>
      <c r="F91" s="18">
        <v>9</v>
      </c>
      <c r="G91" s="18">
        <f>IFERROR(VLOOKUP(E91,AnswerFTBL,2,FALSE),0)</f>
        <v>0</v>
      </c>
      <c r="H91" s="159">
        <f>IFERROR(AVERAGE(G91,G92),0)</f>
        <v>0</v>
      </c>
      <c r="I91" s="205"/>
      <c r="J91" s="169"/>
      <c r="K91" s="18">
        <f>IFERROR(VLOOKUP(J91,AnswerFTBL,2,FALSE),0)</f>
        <v>0</v>
      </c>
      <c r="L91" s="105">
        <f>IFERROR(AVERAGE(K91,K92),0)</f>
        <v>0</v>
      </c>
      <c r="M91" s="173"/>
      <c r="N91" s="169"/>
      <c r="O91" s="18">
        <f>IFERROR(VLOOKUP(N91,AnswerFTBL,2,FALSE),0)</f>
        <v>0</v>
      </c>
      <c r="P91" s="105">
        <f>IFERROR(AVERAGE(O91,O92),0)</f>
        <v>0</v>
      </c>
      <c r="Q91" s="173"/>
      <c r="R91" s="169"/>
      <c r="S91" s="18">
        <f>IFERROR(VLOOKUP(R91,AnswerFTBL,2,FALSE),0)</f>
        <v>0</v>
      </c>
      <c r="T91" s="105">
        <f>IFERROR(AVERAGE(S91,S92),0)</f>
        <v>0</v>
      </c>
      <c r="U91" s="173"/>
      <c r="V91" s="169"/>
      <c r="W91" s="18">
        <f>IFERROR(VLOOKUP(V91,AnswerFTBL,2,FALSE),0)</f>
        <v>0</v>
      </c>
      <c r="X91" s="105">
        <f>IFERROR(AVERAGE(W91,W92),0)</f>
        <v>0</v>
      </c>
      <c r="Y91" s="173"/>
    </row>
    <row r="92" spans="1:25" ht="12.75" customHeight="1" x14ac:dyDescent="0.15">
      <c r="A92"/>
      <c r="B92" s="484"/>
      <c r="C92" s="451">
        <f>Interview!C172</f>
        <v>3</v>
      </c>
      <c r="D92" s="452"/>
      <c r="E92" s="26">
        <f>Interview!F172</f>
        <v>0</v>
      </c>
      <c r="F92" s="18">
        <v>10</v>
      </c>
      <c r="G92" s="18">
        <f>IFERROR(VLOOKUP(E92,AnswerCTBL,2,FALSE),0)</f>
        <v>0</v>
      </c>
      <c r="H92" s="159"/>
      <c r="I92" s="205"/>
      <c r="J92" s="170"/>
      <c r="K92" s="18">
        <f>IFERROR(VLOOKUP(J92,AnswerCTBL,2,FALSE),0)</f>
        <v>0</v>
      </c>
      <c r="L92" s="105"/>
      <c r="M92" s="173"/>
      <c r="N92" s="170"/>
      <c r="O92" s="18">
        <f>IFERROR(VLOOKUP(N92,AnswerCTBL,2,FALSE),0)</f>
        <v>0</v>
      </c>
      <c r="P92" s="105"/>
      <c r="Q92" s="173"/>
      <c r="R92" s="170"/>
      <c r="S92" s="18">
        <f>IFERROR(VLOOKUP(R92,AnswerCTBL,2,FALSE),0)</f>
        <v>0</v>
      </c>
      <c r="T92" s="105"/>
      <c r="U92" s="173"/>
      <c r="V92" s="170"/>
      <c r="W92" s="18">
        <f>IFERROR(VLOOKUP(V92,AnswerCTBL,2,FALSE),0)</f>
        <v>0</v>
      </c>
      <c r="X92" s="105"/>
      <c r="Y92" s="173"/>
    </row>
    <row r="93" spans="1:25" ht="12.75" customHeight="1" x14ac:dyDescent="0.15">
      <c r="A93"/>
      <c r="B93" s="382"/>
      <c r="C93" s="383"/>
      <c r="D93" s="383"/>
      <c r="E93" s="383"/>
      <c r="F93" s="383"/>
      <c r="G93" s="383"/>
      <c r="H93" s="383"/>
      <c r="I93" s="205"/>
      <c r="J93" s="171"/>
      <c r="K93" s="160"/>
      <c r="L93" s="160"/>
      <c r="M93" s="176"/>
      <c r="N93" s="171"/>
      <c r="O93" s="160"/>
      <c r="P93" s="160"/>
      <c r="Q93" s="176"/>
      <c r="R93" s="171"/>
      <c r="S93" s="160"/>
      <c r="T93" s="160"/>
      <c r="U93" s="176"/>
      <c r="V93" s="171"/>
      <c r="W93" s="160"/>
      <c r="X93" s="160"/>
      <c r="Y93" s="176"/>
    </row>
    <row r="94" spans="1:25" ht="12.75" customHeight="1" x14ac:dyDescent="0.15">
      <c r="A94"/>
      <c r="B94" s="482" t="s">
        <v>79</v>
      </c>
      <c r="C94" s="456" t="e">
        <f>Interview!#REF!</f>
        <v>#REF!</v>
      </c>
      <c r="D94" s="457"/>
      <c r="E94" s="26" t="e">
        <f>Interview!#REF!</f>
        <v>#REF!</v>
      </c>
      <c r="F94" s="18">
        <v>11</v>
      </c>
      <c r="G94" s="18">
        <f>IFERROR(VLOOKUP(E94,AnswerGTBL,2,FALSE),0)</f>
        <v>0</v>
      </c>
      <c r="H94" s="159">
        <f>IFERROR(AVERAGE(G94,G95),0)</f>
        <v>0</v>
      </c>
      <c r="I94" s="205"/>
      <c r="J94" s="169"/>
      <c r="K94" s="18">
        <f>IFERROR(VLOOKUP(J94,AnswerGTBL,2,FALSE),0)</f>
        <v>0</v>
      </c>
      <c r="L94" s="105">
        <f>IFERROR(AVERAGE(K94,K95),0)</f>
        <v>0</v>
      </c>
      <c r="M94" s="173"/>
      <c r="N94" s="169"/>
      <c r="O94" s="18">
        <f>IFERROR(VLOOKUP(N94,AnswerGTBL,2,FALSE),0)</f>
        <v>0</v>
      </c>
      <c r="P94" s="105">
        <f>IFERROR(AVERAGE(O94,O95),0)</f>
        <v>0</v>
      </c>
      <c r="Q94" s="173"/>
      <c r="R94" s="169"/>
      <c r="S94" s="18">
        <f>IFERROR(VLOOKUP(R94,AnswerGTBL,2,FALSE),0)</f>
        <v>0</v>
      </c>
      <c r="T94" s="105">
        <f>IFERROR(AVERAGE(S94,S95),0)</f>
        <v>0</v>
      </c>
      <c r="U94" s="173"/>
      <c r="V94" s="169"/>
      <c r="W94" s="18">
        <f>IFERROR(VLOOKUP(V94,AnswerGTBL,2,FALSE),0)</f>
        <v>0</v>
      </c>
      <c r="X94" s="105">
        <f>IFERROR(AVERAGE(W94,W95),0)</f>
        <v>0</v>
      </c>
      <c r="Y94" s="173"/>
    </row>
    <row r="95" spans="1:25" ht="12.75" customHeight="1" x14ac:dyDescent="0.15">
      <c r="A95"/>
      <c r="B95" s="484"/>
      <c r="C95" s="451" t="e">
        <f>Interview!#REF!</f>
        <v>#REF!</v>
      </c>
      <c r="D95" s="452"/>
      <c r="E95" s="26" t="e">
        <f>Interview!#REF!</f>
        <v>#REF!</v>
      </c>
      <c r="F95" s="18">
        <v>12</v>
      </c>
      <c r="G95" s="18">
        <f>IFERROR(VLOOKUP(E95,AnswerFTBL,2,FALSE),0)</f>
        <v>0</v>
      </c>
      <c r="H95" s="159"/>
      <c r="I95" s="205"/>
      <c r="J95" s="170"/>
      <c r="K95" s="18">
        <f>IFERROR(VLOOKUP(J95,AnswerFTBL,2,FALSE),0)</f>
        <v>0</v>
      </c>
      <c r="L95" s="105"/>
      <c r="M95" s="173"/>
      <c r="N95" s="170"/>
      <c r="O95" s="18">
        <f>IFERROR(VLOOKUP(N95,AnswerFTBL,2,FALSE),0)</f>
        <v>0</v>
      </c>
      <c r="P95" s="105"/>
      <c r="Q95" s="173"/>
      <c r="R95" s="170"/>
      <c r="S95" s="18">
        <f>IFERROR(VLOOKUP(R95,AnswerFTBL,2,FALSE),0)</f>
        <v>0</v>
      </c>
      <c r="T95" s="105"/>
      <c r="U95" s="173"/>
      <c r="V95" s="170"/>
      <c r="W95" s="18">
        <f>IFERROR(VLOOKUP(V95,AnswerFTBL,2,FALSE),0)</f>
        <v>0</v>
      </c>
      <c r="X95" s="105"/>
      <c r="Y95" s="173"/>
    </row>
    <row r="96" spans="1:25" ht="12.75" customHeight="1" x14ac:dyDescent="0.15">
      <c r="A96"/>
      <c r="B96" s="485" t="s">
        <v>56</v>
      </c>
      <c r="C96" s="486"/>
      <c r="D96" s="487"/>
      <c r="E96" s="141" t="s">
        <v>70</v>
      </c>
      <c r="F96" s="141"/>
      <c r="G96" s="141"/>
      <c r="H96" s="203"/>
      <c r="I96" s="209" t="s">
        <v>68</v>
      </c>
      <c r="J96" s="182" t="s">
        <v>70</v>
      </c>
      <c r="K96" s="141"/>
      <c r="L96" s="142"/>
      <c r="M96" s="181" t="s">
        <v>68</v>
      </c>
      <c r="N96" s="182" t="s">
        <v>70</v>
      </c>
      <c r="O96" s="141"/>
      <c r="P96" s="142"/>
      <c r="Q96" s="181" t="s">
        <v>68</v>
      </c>
      <c r="R96" s="182" t="s">
        <v>70</v>
      </c>
      <c r="S96" s="141"/>
      <c r="T96" s="142"/>
      <c r="U96" s="181" t="s">
        <v>68</v>
      </c>
      <c r="V96" s="182" t="s">
        <v>70</v>
      </c>
      <c r="W96" s="141"/>
      <c r="X96" s="142"/>
      <c r="Y96" s="181" t="s">
        <v>68</v>
      </c>
    </row>
    <row r="97" spans="1:25" ht="12.75" customHeight="1" x14ac:dyDescent="0.15">
      <c r="A97"/>
      <c r="B97" s="482" t="s">
        <v>57</v>
      </c>
      <c r="C97" s="456">
        <f>Interview!C175</f>
        <v>1</v>
      </c>
      <c r="D97" s="457"/>
      <c r="E97" s="26">
        <f>Interview!F175</f>
        <v>0</v>
      </c>
      <c r="F97" s="18">
        <v>13</v>
      </c>
      <c r="G97" s="18">
        <f>IFERROR(VLOOKUP(E97,AnswerCTBL,2,FALSE),0)</f>
        <v>0</v>
      </c>
      <c r="H97" s="159">
        <f>IFERROR(AVERAGE(G97,G98,G99),0)</f>
        <v>0</v>
      </c>
      <c r="I97" s="465">
        <f>SUM(H97,H101,H104)</f>
        <v>0</v>
      </c>
      <c r="J97" s="169"/>
      <c r="K97" s="18">
        <f>IFERROR(VLOOKUP(J97,AnswerCTBL,2,FALSE),0)</f>
        <v>0</v>
      </c>
      <c r="L97" s="105">
        <f>IFERROR(AVERAGE(K97,K98,K99),0)</f>
        <v>0</v>
      </c>
      <c r="M97" s="434">
        <f>SUM(L97,L101,L104)</f>
        <v>0</v>
      </c>
      <c r="N97" s="169"/>
      <c r="O97" s="18">
        <f>IFERROR(VLOOKUP(N97,AnswerCTBL,2,FALSE),0)</f>
        <v>0</v>
      </c>
      <c r="P97" s="105">
        <f>IFERROR(AVERAGE(O97,O98,O99),0)</f>
        <v>0</v>
      </c>
      <c r="Q97" s="434">
        <f>SUM(P97,P101,P104)</f>
        <v>0</v>
      </c>
      <c r="R97" s="169"/>
      <c r="S97" s="18">
        <f>IFERROR(VLOOKUP(R97,AnswerCTBL,2,FALSE),0)</f>
        <v>0</v>
      </c>
      <c r="T97" s="105">
        <f>IFERROR(AVERAGE(S97,S98,S99),0)</f>
        <v>0</v>
      </c>
      <c r="U97" s="434">
        <f>SUM(T97,T101,T104)</f>
        <v>0</v>
      </c>
      <c r="V97" s="169"/>
      <c r="W97" s="18">
        <f>IFERROR(VLOOKUP(V97,AnswerCTBL,2,FALSE),0)</f>
        <v>0</v>
      </c>
      <c r="X97" s="105">
        <f>IFERROR(AVERAGE(W97,W98,W99),0)</f>
        <v>0</v>
      </c>
      <c r="Y97" s="434">
        <f>SUM(X97,X101,X104)</f>
        <v>0</v>
      </c>
    </row>
    <row r="98" spans="1:25" ht="12.75" customHeight="1" x14ac:dyDescent="0.15">
      <c r="A98"/>
      <c r="B98" s="483"/>
      <c r="C98" s="449">
        <f>Interview!C179</f>
        <v>3</v>
      </c>
      <c r="D98" s="450"/>
      <c r="E98" s="26">
        <f>Interview!F179</f>
        <v>0</v>
      </c>
      <c r="F98" s="18">
        <v>14</v>
      </c>
      <c r="G98" s="18">
        <f>IFERROR(VLOOKUP(E98,AnswerCTBL,2,FALSE),0)</f>
        <v>0</v>
      </c>
      <c r="H98" s="159"/>
      <c r="I98" s="466"/>
      <c r="J98" s="170"/>
      <c r="K98" s="18">
        <f>IFERROR(VLOOKUP(J98,AnswerCTBL,2,FALSE),0)</f>
        <v>0</v>
      </c>
      <c r="L98" s="105"/>
      <c r="M98" s="435"/>
      <c r="N98" s="170"/>
      <c r="O98" s="18">
        <f>IFERROR(VLOOKUP(N98,AnswerCTBL,2,FALSE),0)</f>
        <v>0</v>
      </c>
      <c r="P98" s="105"/>
      <c r="Q98" s="435"/>
      <c r="R98" s="170"/>
      <c r="S98" s="18">
        <f>IFERROR(VLOOKUP(R98,AnswerCTBL,2,FALSE),0)</f>
        <v>0</v>
      </c>
      <c r="T98" s="105"/>
      <c r="U98" s="435"/>
      <c r="V98" s="170"/>
      <c r="W98" s="18">
        <f>IFERROR(VLOOKUP(V98,AnswerCTBL,2,FALSE),0)</f>
        <v>0</v>
      </c>
      <c r="X98" s="105"/>
      <c r="Y98" s="435"/>
    </row>
    <row r="99" spans="1:25" ht="12.75" customHeight="1" x14ac:dyDescent="0.15">
      <c r="A99"/>
      <c r="B99" s="484"/>
      <c r="C99" s="451" t="e">
        <f>Interview!#REF!</f>
        <v>#REF!</v>
      </c>
      <c r="D99" s="452"/>
      <c r="E99" s="26" t="e">
        <f>Interview!#REF!</f>
        <v>#REF!</v>
      </c>
      <c r="F99" s="18">
        <v>15</v>
      </c>
      <c r="G99" s="18">
        <f>IFERROR(VLOOKUP(E99,AnswerBTBL,2,FALSE),0)</f>
        <v>0</v>
      </c>
      <c r="H99" s="159"/>
      <c r="I99" s="205"/>
      <c r="J99" s="170"/>
      <c r="K99" s="18">
        <f>IFERROR(VLOOKUP(J99,AnswerBTBL,2,FALSE),0)</f>
        <v>0</v>
      </c>
      <c r="L99" s="105"/>
      <c r="M99" s="173"/>
      <c r="N99" s="170"/>
      <c r="O99" s="18">
        <f>IFERROR(VLOOKUP(N99,AnswerBTBL,2,FALSE),0)</f>
        <v>0</v>
      </c>
      <c r="P99" s="105"/>
      <c r="Q99" s="173"/>
      <c r="R99" s="170"/>
      <c r="S99" s="18">
        <f>IFERROR(VLOOKUP(R99,AnswerBTBL,2,FALSE),0)</f>
        <v>0</v>
      </c>
      <c r="T99" s="105"/>
      <c r="U99" s="173"/>
      <c r="V99" s="170"/>
      <c r="W99" s="18">
        <f>IFERROR(VLOOKUP(V99,AnswerBTBL,2,FALSE),0)</f>
        <v>0</v>
      </c>
      <c r="X99" s="105"/>
      <c r="Y99" s="173"/>
    </row>
    <row r="100" spans="1:25" ht="12.75" customHeight="1" x14ac:dyDescent="0.15">
      <c r="A100"/>
      <c r="B100" s="382"/>
      <c r="C100" s="383"/>
      <c r="D100" s="383"/>
      <c r="E100" s="383"/>
      <c r="F100" s="383"/>
      <c r="G100" s="383"/>
      <c r="H100" s="383"/>
      <c r="I100" s="205"/>
      <c r="J100" s="171"/>
      <c r="K100" s="160"/>
      <c r="L100" s="160"/>
      <c r="M100" s="176"/>
      <c r="N100" s="171"/>
      <c r="O100" s="160"/>
      <c r="P100" s="160"/>
      <c r="Q100" s="176"/>
      <c r="R100" s="171"/>
      <c r="S100" s="160"/>
      <c r="T100" s="160"/>
      <c r="U100" s="176"/>
      <c r="V100" s="171"/>
      <c r="W100" s="160"/>
      <c r="X100" s="160"/>
      <c r="Y100" s="176"/>
    </row>
    <row r="101" spans="1:25" ht="12.75" customHeight="1" x14ac:dyDescent="0.15">
      <c r="A101"/>
      <c r="B101" s="482" t="s">
        <v>58</v>
      </c>
      <c r="C101" s="456">
        <f>Interview!C182</f>
        <v>1</v>
      </c>
      <c r="D101" s="457"/>
      <c r="E101" s="26">
        <f>Interview!F182</f>
        <v>0</v>
      </c>
      <c r="F101" s="18">
        <v>16</v>
      </c>
      <c r="G101" s="18">
        <f>IFERROR(VLOOKUP(E101,AnswerCTBL,2,FALSE),0)</f>
        <v>0</v>
      </c>
      <c r="H101" s="159">
        <f>IFERROR(AVERAGE(G101,G102),0)</f>
        <v>0</v>
      </c>
      <c r="I101" s="205"/>
      <c r="J101" s="169"/>
      <c r="K101" s="18">
        <f>IFERROR(VLOOKUP(J101,AnswerCTBL,2,FALSE),0)</f>
        <v>0</v>
      </c>
      <c r="L101" s="105">
        <f>IFERROR(AVERAGE(K101,K102),0)</f>
        <v>0</v>
      </c>
      <c r="M101" s="173"/>
      <c r="N101" s="169"/>
      <c r="O101" s="18">
        <f>IFERROR(VLOOKUP(N101,AnswerCTBL,2,FALSE),0)</f>
        <v>0</v>
      </c>
      <c r="P101" s="105">
        <f>IFERROR(AVERAGE(O101,O102),0)</f>
        <v>0</v>
      </c>
      <c r="Q101" s="173"/>
      <c r="R101" s="169"/>
      <c r="S101" s="18">
        <f>IFERROR(VLOOKUP(R101,AnswerCTBL,2,FALSE),0)</f>
        <v>0</v>
      </c>
      <c r="T101" s="105">
        <f>IFERROR(AVERAGE(S101,S102),0)</f>
        <v>0</v>
      </c>
      <c r="U101" s="173"/>
      <c r="V101" s="169"/>
      <c r="W101" s="18">
        <f>IFERROR(VLOOKUP(V101,AnswerCTBL,2,FALSE),0)</f>
        <v>0</v>
      </c>
      <c r="X101" s="105">
        <f>IFERROR(AVERAGE(W101,W102),0)</f>
        <v>0</v>
      </c>
      <c r="Y101" s="173"/>
    </row>
    <row r="102" spans="1:25" ht="12.75" customHeight="1" x14ac:dyDescent="0.15">
      <c r="A102"/>
      <c r="B102" s="484"/>
      <c r="C102" s="451">
        <f>Interview!C186</f>
        <v>3</v>
      </c>
      <c r="D102" s="452"/>
      <c r="E102" s="26">
        <f>Interview!F186</f>
        <v>0</v>
      </c>
      <c r="F102" s="18">
        <v>17</v>
      </c>
      <c r="G102" s="18">
        <f>IFERROR(VLOOKUP(E102,AnswerCTBL,2,FALSE),0)</f>
        <v>0</v>
      </c>
      <c r="H102" s="159"/>
      <c r="I102" s="205"/>
      <c r="J102" s="170"/>
      <c r="K102" s="18">
        <f>IFERROR(VLOOKUP(J102,AnswerCTBL,2,FALSE),0)</f>
        <v>0</v>
      </c>
      <c r="L102" s="105"/>
      <c r="M102" s="173"/>
      <c r="N102" s="170"/>
      <c r="O102" s="18">
        <f>IFERROR(VLOOKUP(N102,AnswerCTBL,2,FALSE),0)</f>
        <v>0</v>
      </c>
      <c r="P102" s="105"/>
      <c r="Q102" s="173"/>
      <c r="R102" s="170"/>
      <c r="S102" s="18">
        <f>IFERROR(VLOOKUP(R102,AnswerCTBL,2,FALSE),0)</f>
        <v>0</v>
      </c>
      <c r="T102" s="105"/>
      <c r="U102" s="173"/>
      <c r="V102" s="170"/>
      <c r="W102" s="18">
        <f>IFERROR(VLOOKUP(V102,AnswerCTBL,2,FALSE),0)</f>
        <v>0</v>
      </c>
      <c r="X102" s="105"/>
      <c r="Y102" s="173"/>
    </row>
    <row r="103" spans="1:25" ht="12.75" customHeight="1" x14ac:dyDescent="0.15">
      <c r="A103"/>
      <c r="B103" s="382"/>
      <c r="C103" s="383"/>
      <c r="D103" s="383"/>
      <c r="E103" s="383"/>
      <c r="F103" s="383"/>
      <c r="G103" s="383"/>
      <c r="H103" s="383"/>
      <c r="I103" s="205"/>
      <c r="J103" s="171"/>
      <c r="K103" s="160"/>
      <c r="L103" s="160"/>
      <c r="M103" s="176"/>
      <c r="N103" s="171"/>
      <c r="O103" s="160"/>
      <c r="P103" s="160"/>
      <c r="Q103" s="176"/>
      <c r="R103" s="171"/>
      <c r="S103" s="160"/>
      <c r="T103" s="160"/>
      <c r="U103" s="176"/>
      <c r="V103" s="171"/>
      <c r="W103" s="160"/>
      <c r="X103" s="160"/>
      <c r="Y103" s="176"/>
    </row>
    <row r="104" spans="1:25" ht="12.75" customHeight="1" x14ac:dyDescent="0.15">
      <c r="A104"/>
      <c r="B104" s="482" t="s">
        <v>59</v>
      </c>
      <c r="C104" s="456" t="e">
        <f>Interview!#REF!</f>
        <v>#REF!</v>
      </c>
      <c r="D104" s="457"/>
      <c r="E104" s="26" t="e">
        <f>Interview!#REF!</f>
        <v>#REF!</v>
      </c>
      <c r="F104" s="18">
        <v>18</v>
      </c>
      <c r="G104" s="18">
        <f>IFERROR(VLOOKUP(E104,AnswerCTBL,2,FALSE),0)</f>
        <v>0</v>
      </c>
      <c r="H104" s="159">
        <f>IFERROR(AVERAGE(G104,G105),0)</f>
        <v>0</v>
      </c>
      <c r="I104" s="205"/>
      <c r="J104" s="169"/>
      <c r="K104" s="18">
        <f>IFERROR(VLOOKUP(J104,AnswerCTBL,2,FALSE),0)</f>
        <v>0</v>
      </c>
      <c r="L104" s="105">
        <f>IFERROR(AVERAGE(K104,K105),0)</f>
        <v>0</v>
      </c>
      <c r="M104" s="173"/>
      <c r="N104" s="169"/>
      <c r="O104" s="18">
        <f>IFERROR(VLOOKUP(N104,AnswerCTBL,2,FALSE),0)</f>
        <v>0</v>
      </c>
      <c r="P104" s="105">
        <f>IFERROR(AVERAGE(O104,O105),0)</f>
        <v>0</v>
      </c>
      <c r="Q104" s="173"/>
      <c r="R104" s="169"/>
      <c r="S104" s="18">
        <f>IFERROR(VLOOKUP(R104,AnswerCTBL,2,FALSE),0)</f>
        <v>0</v>
      </c>
      <c r="T104" s="105">
        <f>IFERROR(AVERAGE(S104,S105),0)</f>
        <v>0</v>
      </c>
      <c r="U104" s="173"/>
      <c r="V104" s="169"/>
      <c r="W104" s="18">
        <f>IFERROR(VLOOKUP(V104,AnswerCTBL,2,FALSE),0)</f>
        <v>0</v>
      </c>
      <c r="X104" s="105">
        <f>IFERROR(AVERAGE(W104,W105),0)</f>
        <v>0</v>
      </c>
      <c r="Y104" s="173"/>
    </row>
    <row r="105" spans="1:25" ht="12.75" customHeight="1" x14ac:dyDescent="0.15">
      <c r="A105"/>
      <c r="B105" s="483"/>
      <c r="C105" s="449" t="e">
        <f>Interview!#REF!</f>
        <v>#REF!</v>
      </c>
      <c r="D105" s="450"/>
      <c r="E105" s="26" t="e">
        <f>Interview!#REF!</f>
        <v>#REF!</v>
      </c>
      <c r="F105" s="18">
        <v>19</v>
      </c>
      <c r="G105" s="18">
        <f>IFERROR(VLOOKUP(E105,AnswerFTBL,2,FALSE),0)</f>
        <v>0</v>
      </c>
      <c r="H105" s="159"/>
      <c r="I105" s="207"/>
      <c r="J105" s="170"/>
      <c r="K105" s="18">
        <f>IFERROR(VLOOKUP(J105,AnswerFTBL,2,FALSE),0)</f>
        <v>0</v>
      </c>
      <c r="L105" s="105"/>
      <c r="M105" s="173"/>
      <c r="N105" s="170"/>
      <c r="O105" s="18">
        <f>IFERROR(VLOOKUP(N105,AnswerFTBL,2,FALSE),0)</f>
        <v>0</v>
      </c>
      <c r="P105" s="105"/>
      <c r="Q105" s="173"/>
      <c r="R105" s="170"/>
      <c r="S105" s="18">
        <f>IFERROR(VLOOKUP(R105,AnswerFTBL,2,FALSE),0)</f>
        <v>0</v>
      </c>
      <c r="T105" s="105"/>
      <c r="U105" s="173"/>
      <c r="V105" s="170"/>
      <c r="W105" s="18">
        <f>IFERROR(VLOOKUP(V105,AnswerFTBL,2,FALSE),0)</f>
        <v>0</v>
      </c>
      <c r="X105" s="105"/>
      <c r="Y105" s="173"/>
    </row>
    <row r="106" spans="1:25" ht="12.75" customHeight="1" x14ac:dyDescent="0.15">
      <c r="A106"/>
      <c r="B106" s="380" t="s">
        <v>72</v>
      </c>
      <c r="C106" s="380"/>
      <c r="D106" s="380"/>
      <c r="E106" s="380" t="s">
        <v>145</v>
      </c>
      <c r="F106" s="380"/>
      <c r="G106" s="380"/>
      <c r="H106" s="380"/>
      <c r="I106" s="380"/>
      <c r="J106" s="429" t="s">
        <v>144</v>
      </c>
      <c r="K106" s="380"/>
      <c r="L106" s="380"/>
      <c r="M106" s="430"/>
      <c r="N106" s="429" t="s">
        <v>146</v>
      </c>
      <c r="O106" s="380"/>
      <c r="P106" s="380"/>
      <c r="Q106" s="430"/>
      <c r="R106" s="429" t="s">
        <v>147</v>
      </c>
      <c r="S106" s="380"/>
      <c r="T106" s="380"/>
      <c r="U106" s="430"/>
      <c r="V106" s="429" t="s">
        <v>148</v>
      </c>
      <c r="W106" s="380"/>
      <c r="X106" s="380"/>
      <c r="Y106" s="430"/>
    </row>
    <row r="107" spans="1:25" ht="12.75" customHeight="1" x14ac:dyDescent="0.15">
      <c r="A107"/>
      <c r="B107" s="478" t="s">
        <v>73</v>
      </c>
      <c r="C107" s="479"/>
      <c r="D107" s="480"/>
      <c r="E107" s="199" t="s">
        <v>70</v>
      </c>
      <c r="F107" s="199"/>
      <c r="G107" s="199"/>
      <c r="H107" s="200"/>
      <c r="I107" s="166" t="s">
        <v>68</v>
      </c>
      <c r="J107" s="183" t="s">
        <v>70</v>
      </c>
      <c r="K107" s="84"/>
      <c r="L107" s="125"/>
      <c r="M107" s="184" t="s">
        <v>68</v>
      </c>
      <c r="N107" s="183" t="s">
        <v>70</v>
      </c>
      <c r="O107" s="84"/>
      <c r="P107" s="125"/>
      <c r="Q107" s="184" t="s">
        <v>68</v>
      </c>
      <c r="R107" s="183" t="s">
        <v>70</v>
      </c>
      <c r="S107" s="84"/>
      <c r="T107" s="125"/>
      <c r="U107" s="184" t="s">
        <v>68</v>
      </c>
      <c r="V107" s="183" t="s">
        <v>70</v>
      </c>
      <c r="W107" s="84"/>
      <c r="X107" s="125"/>
      <c r="Y107" s="184" t="s">
        <v>68</v>
      </c>
    </row>
    <row r="108" spans="1:25" ht="12.75" customHeight="1" x14ac:dyDescent="0.15">
      <c r="A108"/>
      <c r="B108" s="469" t="s">
        <v>74</v>
      </c>
      <c r="C108" s="456">
        <f>Interview!C190</f>
        <v>1</v>
      </c>
      <c r="D108" s="457"/>
      <c r="E108" s="25">
        <f>Interview!F190</f>
        <v>0</v>
      </c>
      <c r="F108" s="145">
        <v>1</v>
      </c>
      <c r="G108" s="145">
        <f>IFERROR(VLOOKUP(E108,AnswerCTBL,2,FALSE),0)</f>
        <v>0</v>
      </c>
      <c r="H108" s="201">
        <f>IFERROR(AVERAGE(G108,G109,G110),0)</f>
        <v>0</v>
      </c>
      <c r="I108" s="467">
        <f>SUM(H108,H112,H115)</f>
        <v>0</v>
      </c>
      <c r="J108" s="169"/>
      <c r="K108" s="18">
        <f>IFERROR(VLOOKUP(J108,AnswerCTBL,2,FALSE),0)</f>
        <v>0</v>
      </c>
      <c r="L108" s="105">
        <f>IFERROR(AVERAGE(K108,K109,K110),0)</f>
        <v>0</v>
      </c>
      <c r="M108" s="443">
        <f>SUM(L108,L112,L115)</f>
        <v>0</v>
      </c>
      <c r="N108" s="169"/>
      <c r="O108" s="18">
        <f>IFERROR(VLOOKUP(N108,AnswerCTBL,2,FALSE),0)</f>
        <v>0</v>
      </c>
      <c r="P108" s="105">
        <f>IFERROR(AVERAGE(O108,O109,O110),0)</f>
        <v>0</v>
      </c>
      <c r="Q108" s="443">
        <f>SUM(P108,P112,P115)</f>
        <v>0</v>
      </c>
      <c r="R108" s="169"/>
      <c r="S108" s="18">
        <f>IFERROR(VLOOKUP(R108,AnswerCTBL,2,FALSE),0)</f>
        <v>0</v>
      </c>
      <c r="T108" s="105">
        <f>IFERROR(AVERAGE(S108,S109,S110),0)</f>
        <v>0</v>
      </c>
      <c r="U108" s="443">
        <f>SUM(T108,T112,T115)</f>
        <v>0</v>
      </c>
      <c r="V108" s="169"/>
      <c r="W108" s="18">
        <f>IFERROR(VLOOKUP(V108,AnswerCTBL,2,FALSE),0)</f>
        <v>0</v>
      </c>
      <c r="X108" s="105">
        <f>IFERROR(AVERAGE(W108,W109,W110),0)</f>
        <v>0</v>
      </c>
      <c r="Y108" s="443">
        <f>SUM(X108,X112,X115)</f>
        <v>0</v>
      </c>
    </row>
    <row r="109" spans="1:25" ht="12.75" customHeight="1" x14ac:dyDescent="0.15">
      <c r="A109"/>
      <c r="B109" s="481"/>
      <c r="C109" s="449">
        <f>Interview!C194</f>
        <v>3</v>
      </c>
      <c r="D109" s="450"/>
      <c r="E109" s="26">
        <f>Interview!F194</f>
        <v>0</v>
      </c>
      <c r="F109" s="18">
        <v>2</v>
      </c>
      <c r="G109" s="18">
        <f>IFERROR(VLOOKUP(E109,AnswerATBL,2,FALSE),0)</f>
        <v>0</v>
      </c>
      <c r="H109" s="195"/>
      <c r="I109" s="468"/>
      <c r="J109" s="170"/>
      <c r="K109" s="18">
        <f>IFERROR(VLOOKUP(J109,AnswerATBL,2,FALSE),0)</f>
        <v>0</v>
      </c>
      <c r="L109" s="105"/>
      <c r="M109" s="444"/>
      <c r="N109" s="170"/>
      <c r="O109" s="18">
        <f>IFERROR(VLOOKUP(N109,AnswerATBL,2,FALSE),0)</f>
        <v>0</v>
      </c>
      <c r="P109" s="105"/>
      <c r="Q109" s="444"/>
      <c r="R109" s="170"/>
      <c r="S109" s="18">
        <f>IFERROR(VLOOKUP(R109,AnswerATBL,2,FALSE),0)</f>
        <v>0</v>
      </c>
      <c r="T109" s="105"/>
      <c r="U109" s="444"/>
      <c r="V109" s="170"/>
      <c r="W109" s="18">
        <f>IFERROR(VLOOKUP(V109,AnswerATBL,2,FALSE),0)</f>
        <v>0</v>
      </c>
      <c r="X109" s="105"/>
      <c r="Y109" s="444"/>
    </row>
    <row r="110" spans="1:25" ht="12.75" customHeight="1" x14ac:dyDescent="0.15">
      <c r="A110"/>
      <c r="B110" s="470"/>
      <c r="C110" s="451" t="e">
        <f>Interview!#REF!</f>
        <v>#REF!</v>
      </c>
      <c r="D110" s="452"/>
      <c r="E110" s="26" t="e">
        <f>Interview!#REF!</f>
        <v>#REF!</v>
      </c>
      <c r="F110" s="18">
        <v>3</v>
      </c>
      <c r="G110" s="18">
        <f>IFERROR(VLOOKUP(E110,AnswerCTBL,2,FALSE),0)</f>
        <v>0</v>
      </c>
      <c r="H110" s="195"/>
      <c r="I110" s="205"/>
      <c r="J110" s="170"/>
      <c r="K110" s="18">
        <f>IFERROR(VLOOKUP(J110,AnswerCTBL,2,FALSE),0)</f>
        <v>0</v>
      </c>
      <c r="L110" s="105"/>
      <c r="M110" s="173"/>
      <c r="N110" s="170"/>
      <c r="O110" s="18">
        <f>IFERROR(VLOOKUP(N110,AnswerCTBL,2,FALSE),0)</f>
        <v>0</v>
      </c>
      <c r="P110" s="105"/>
      <c r="Q110" s="173"/>
      <c r="R110" s="170"/>
      <c r="S110" s="18">
        <f>IFERROR(VLOOKUP(R110,AnswerCTBL,2,FALSE),0)</f>
        <v>0</v>
      </c>
      <c r="T110" s="105"/>
      <c r="U110" s="173"/>
      <c r="V110" s="170"/>
      <c r="W110" s="18">
        <f>IFERROR(VLOOKUP(V110,AnswerCTBL,2,FALSE),0)</f>
        <v>0</v>
      </c>
      <c r="X110" s="105"/>
      <c r="Y110" s="173"/>
    </row>
    <row r="111" spans="1:25" ht="12.75" customHeight="1" x14ac:dyDescent="0.15">
      <c r="A111"/>
      <c r="B111" s="382"/>
      <c r="C111" s="383"/>
      <c r="D111" s="383"/>
      <c r="E111" s="383"/>
      <c r="F111" s="383"/>
      <c r="G111" s="383"/>
      <c r="H111" s="384"/>
      <c r="I111" s="205"/>
      <c r="J111" s="171"/>
      <c r="K111" s="160"/>
      <c r="L111" s="160"/>
      <c r="M111" s="176"/>
      <c r="N111" s="171"/>
      <c r="O111" s="160"/>
      <c r="P111" s="160"/>
      <c r="Q111" s="176"/>
      <c r="R111" s="171"/>
      <c r="S111" s="160"/>
      <c r="T111" s="160"/>
      <c r="U111" s="176"/>
      <c r="V111" s="171"/>
      <c r="W111" s="160"/>
      <c r="X111" s="160"/>
      <c r="Y111" s="176"/>
    </row>
    <row r="112" spans="1:25" ht="12.75" customHeight="1" x14ac:dyDescent="0.15">
      <c r="A112"/>
      <c r="B112" s="469" t="s">
        <v>75</v>
      </c>
      <c r="C112" s="456">
        <f>Interview!C197</f>
        <v>1</v>
      </c>
      <c r="D112" s="457"/>
      <c r="E112" s="26">
        <f>Interview!F197</f>
        <v>0</v>
      </c>
      <c r="F112" s="18">
        <v>4</v>
      </c>
      <c r="G112" s="18">
        <f>IFERROR(VLOOKUP(E112,AnswerGTBL,2,FALSE),0)</f>
        <v>0</v>
      </c>
      <c r="H112" s="195">
        <f>IFERROR(AVERAGE(G112,G113),0)</f>
        <v>0</v>
      </c>
      <c r="I112" s="205"/>
      <c r="J112" s="169"/>
      <c r="K112" s="18">
        <f>IFERROR(VLOOKUP(J112,AnswerGTBL,2,FALSE),0)</f>
        <v>0</v>
      </c>
      <c r="L112" s="105">
        <f>IFERROR(AVERAGE(K112,K113),0)</f>
        <v>0</v>
      </c>
      <c r="M112" s="173"/>
      <c r="N112" s="169"/>
      <c r="O112" s="18">
        <f>IFERROR(VLOOKUP(N112,AnswerGTBL,2,FALSE),0)</f>
        <v>0</v>
      </c>
      <c r="P112" s="105">
        <f>IFERROR(AVERAGE(O112,O113),0)</f>
        <v>0</v>
      </c>
      <c r="Q112" s="173"/>
      <c r="R112" s="169"/>
      <c r="S112" s="18">
        <f>IFERROR(VLOOKUP(R112,AnswerGTBL,2,FALSE),0)</f>
        <v>0</v>
      </c>
      <c r="T112" s="105">
        <f>IFERROR(AVERAGE(S112,S113),0)</f>
        <v>0</v>
      </c>
      <c r="U112" s="173"/>
      <c r="V112" s="169"/>
      <c r="W112" s="18">
        <f>IFERROR(VLOOKUP(V112,AnswerGTBL,2,FALSE),0)</f>
        <v>0</v>
      </c>
      <c r="X112" s="105">
        <f>IFERROR(AVERAGE(W112,W113),0)</f>
        <v>0</v>
      </c>
      <c r="Y112" s="173"/>
    </row>
    <row r="113" spans="1:25" ht="12.75" customHeight="1" x14ac:dyDescent="0.15">
      <c r="A113"/>
      <c r="B113" s="470"/>
      <c r="C113" s="451">
        <f>Interview!C201</f>
        <v>3</v>
      </c>
      <c r="D113" s="452"/>
      <c r="E113" s="26">
        <f>Interview!F201</f>
        <v>0</v>
      </c>
      <c r="F113" s="18">
        <v>5</v>
      </c>
      <c r="G113" s="18">
        <f>IFERROR(VLOOKUP(E113,AnswerCTBL,2,FALSE),0)</f>
        <v>0</v>
      </c>
      <c r="H113" s="195"/>
      <c r="I113" s="205"/>
      <c r="J113" s="170"/>
      <c r="K113" s="18">
        <f>IFERROR(VLOOKUP(J113,AnswerCTBL,2,FALSE),0)</f>
        <v>0</v>
      </c>
      <c r="L113" s="105"/>
      <c r="M113" s="173"/>
      <c r="N113" s="170"/>
      <c r="O113" s="18">
        <f>IFERROR(VLOOKUP(N113,AnswerCTBL,2,FALSE),0)</f>
        <v>0</v>
      </c>
      <c r="P113" s="105"/>
      <c r="Q113" s="173"/>
      <c r="R113" s="170"/>
      <c r="S113" s="18">
        <f>IFERROR(VLOOKUP(R113,AnswerCTBL,2,FALSE),0)</f>
        <v>0</v>
      </c>
      <c r="T113" s="105"/>
      <c r="U113" s="173"/>
      <c r="V113" s="170"/>
      <c r="W113" s="18">
        <f>IFERROR(VLOOKUP(V113,AnswerCTBL,2,FALSE),0)</f>
        <v>0</v>
      </c>
      <c r="X113" s="105"/>
      <c r="Y113" s="173"/>
    </row>
    <row r="114" spans="1:25" ht="12.75" customHeight="1" x14ac:dyDescent="0.15">
      <c r="A114"/>
      <c r="B114" s="382"/>
      <c r="C114" s="383"/>
      <c r="D114" s="383"/>
      <c r="E114" s="383"/>
      <c r="F114" s="383"/>
      <c r="G114" s="383"/>
      <c r="H114" s="384"/>
      <c r="I114" s="205"/>
      <c r="J114" s="171"/>
      <c r="K114" s="160"/>
      <c r="L114" s="160"/>
      <c r="M114" s="176"/>
      <c r="N114" s="171"/>
      <c r="O114" s="160"/>
      <c r="P114" s="160"/>
      <c r="Q114" s="176"/>
      <c r="R114" s="171"/>
      <c r="S114" s="160"/>
      <c r="T114" s="160"/>
      <c r="U114" s="176"/>
      <c r="V114" s="171"/>
      <c r="W114" s="160"/>
      <c r="X114" s="160"/>
      <c r="Y114" s="176"/>
    </row>
    <row r="115" spans="1:25" ht="12.75" customHeight="1" x14ac:dyDescent="0.15">
      <c r="A115"/>
      <c r="B115" s="469" t="s">
        <v>76</v>
      </c>
      <c r="C115" s="476" t="e">
        <f>Interview!#REF!</f>
        <v>#REF!</v>
      </c>
      <c r="D115" s="477"/>
      <c r="E115" s="26" t="e">
        <f>Interview!#REF!</f>
        <v>#REF!</v>
      </c>
      <c r="F115" s="18">
        <v>6</v>
      </c>
      <c r="G115" s="18">
        <f>IFERROR(VLOOKUP(E115,AnswerCTBL,2,FALSE),0)</f>
        <v>0</v>
      </c>
      <c r="H115" s="195">
        <f>IFERROR(AVERAGE(G115,G116),0)</f>
        <v>0</v>
      </c>
      <c r="I115" s="205"/>
      <c r="J115" s="169"/>
      <c r="K115" s="18">
        <f>IFERROR(VLOOKUP(J115,AnswerCTBL,2,FALSE),0)</f>
        <v>0</v>
      </c>
      <c r="L115" s="105">
        <f>IFERROR(AVERAGE(K115,K116),0)</f>
        <v>0</v>
      </c>
      <c r="M115" s="173"/>
      <c r="N115" s="169"/>
      <c r="O115" s="18">
        <f>IFERROR(VLOOKUP(N115,AnswerCTBL,2,FALSE),0)</f>
        <v>0</v>
      </c>
      <c r="P115" s="105">
        <f>IFERROR(AVERAGE(O115,O116),0)</f>
        <v>0</v>
      </c>
      <c r="Q115" s="173"/>
      <c r="R115" s="169"/>
      <c r="S115" s="18">
        <f>IFERROR(VLOOKUP(R115,AnswerCTBL,2,FALSE),0)</f>
        <v>0</v>
      </c>
      <c r="T115" s="105">
        <f>IFERROR(AVERAGE(S115,S116),0)</f>
        <v>0</v>
      </c>
      <c r="U115" s="173"/>
      <c r="V115" s="169"/>
      <c r="W115" s="18">
        <f>IFERROR(VLOOKUP(V115,AnswerCTBL,2,FALSE),0)</f>
        <v>0</v>
      </c>
      <c r="X115" s="105">
        <f>IFERROR(AVERAGE(W115,W116),0)</f>
        <v>0</v>
      </c>
      <c r="Y115" s="173"/>
    </row>
    <row r="116" spans="1:25" ht="12.75" customHeight="1" x14ac:dyDescent="0.15">
      <c r="A116"/>
      <c r="B116" s="470"/>
      <c r="C116" s="471" t="e">
        <f>Interview!#REF!</f>
        <v>#REF!</v>
      </c>
      <c r="D116" s="472"/>
      <c r="E116" s="26" t="e">
        <f>Interview!#REF!</f>
        <v>#REF!</v>
      </c>
      <c r="F116" s="18">
        <v>7</v>
      </c>
      <c r="G116" s="18">
        <f>IFERROR(VLOOKUP(E116,AnswerCTBL,2,FALSE),0)</f>
        <v>0</v>
      </c>
      <c r="H116" s="195"/>
      <c r="I116" s="205"/>
      <c r="J116" s="170"/>
      <c r="K116" s="18">
        <f>IFERROR(VLOOKUP(J116,AnswerCTBL,2,FALSE),0)</f>
        <v>0</v>
      </c>
      <c r="L116" s="105"/>
      <c r="M116" s="173"/>
      <c r="N116" s="170"/>
      <c r="O116" s="18">
        <f>IFERROR(VLOOKUP(N116,AnswerCTBL,2,FALSE),0)</f>
        <v>0</v>
      </c>
      <c r="P116" s="105"/>
      <c r="Q116" s="173"/>
      <c r="R116" s="170"/>
      <c r="S116" s="18">
        <f>IFERROR(VLOOKUP(R116,AnswerCTBL,2,FALSE),0)</f>
        <v>0</v>
      </c>
      <c r="T116" s="105"/>
      <c r="U116" s="173"/>
      <c r="V116" s="170"/>
      <c r="W116" s="18">
        <f>IFERROR(VLOOKUP(V116,AnswerCTBL,2,FALSE),0)</f>
        <v>0</v>
      </c>
      <c r="X116" s="105"/>
      <c r="Y116" s="173"/>
    </row>
    <row r="117" spans="1:25" ht="12.75" customHeight="1" x14ac:dyDescent="0.15">
      <c r="A117"/>
      <c r="B117" s="473" t="s">
        <v>60</v>
      </c>
      <c r="C117" s="474"/>
      <c r="D117" s="475"/>
      <c r="E117" s="143" t="s">
        <v>70</v>
      </c>
      <c r="F117" s="143"/>
      <c r="G117" s="143"/>
      <c r="H117" s="144"/>
      <c r="I117" s="210" t="s">
        <v>68</v>
      </c>
      <c r="J117" s="185" t="s">
        <v>70</v>
      </c>
      <c r="K117" s="143"/>
      <c r="L117" s="144"/>
      <c r="M117" s="184" t="s">
        <v>68</v>
      </c>
      <c r="N117" s="185" t="s">
        <v>70</v>
      </c>
      <c r="O117" s="143"/>
      <c r="P117" s="144"/>
      <c r="Q117" s="184" t="s">
        <v>68</v>
      </c>
      <c r="R117" s="185" t="s">
        <v>70</v>
      </c>
      <c r="S117" s="143"/>
      <c r="T117" s="144"/>
      <c r="U117" s="184" t="s">
        <v>68</v>
      </c>
      <c r="V117" s="185" t="s">
        <v>70</v>
      </c>
      <c r="W117" s="143"/>
      <c r="X117" s="144"/>
      <c r="Y117" s="184" t="s">
        <v>68</v>
      </c>
    </row>
    <row r="118" spans="1:25" ht="12.75" customHeight="1" x14ac:dyDescent="0.15">
      <c r="A118"/>
      <c r="B118" s="469" t="s">
        <v>61</v>
      </c>
      <c r="C118" s="476">
        <f>Interview!C204</f>
        <v>1</v>
      </c>
      <c r="D118" s="477"/>
      <c r="E118" s="26">
        <f>Interview!F204</f>
        <v>0</v>
      </c>
      <c r="F118" s="18">
        <v>8</v>
      </c>
      <c r="G118" s="18">
        <f>IFERROR(VLOOKUP(E118,AnswerCTBL,2,FALSE),0)</f>
        <v>0</v>
      </c>
      <c r="H118" s="195">
        <f>IFERROR(AVERAGE(G118,G119),0)</f>
        <v>0</v>
      </c>
      <c r="I118" s="467">
        <f>SUM(H118,H121,H124)</f>
        <v>0</v>
      </c>
      <c r="J118" s="169"/>
      <c r="K118" s="18">
        <f>IFERROR(VLOOKUP(J118,AnswerCTBL,2,FALSE),0)</f>
        <v>0</v>
      </c>
      <c r="L118" s="105">
        <f>IFERROR(AVERAGE(K118,K119),0)</f>
        <v>0</v>
      </c>
      <c r="M118" s="443">
        <f>SUM(L118,L121,L124)</f>
        <v>0</v>
      </c>
      <c r="N118" s="169"/>
      <c r="O118" s="18">
        <f>IFERROR(VLOOKUP(N118,AnswerCTBL,2,FALSE),0)</f>
        <v>0</v>
      </c>
      <c r="P118" s="105">
        <f>IFERROR(AVERAGE(O118,O119),0)</f>
        <v>0</v>
      </c>
      <c r="Q118" s="443">
        <f>SUM(P118,P121,P124)</f>
        <v>0</v>
      </c>
      <c r="R118" s="169"/>
      <c r="S118" s="18">
        <f>IFERROR(VLOOKUP(R118,AnswerCTBL,2,FALSE),0)</f>
        <v>0</v>
      </c>
      <c r="T118" s="105">
        <f>IFERROR(AVERAGE(S118,S119),0)</f>
        <v>0</v>
      </c>
      <c r="U118" s="443">
        <f>SUM(T118,T121,T124)</f>
        <v>0</v>
      </c>
      <c r="V118" s="169"/>
      <c r="W118" s="18">
        <f>IFERROR(VLOOKUP(V118,AnswerCTBL,2,FALSE),0)</f>
        <v>0</v>
      </c>
      <c r="X118" s="105">
        <f>IFERROR(AVERAGE(W118,W119),0)</f>
        <v>0</v>
      </c>
      <c r="Y118" s="443">
        <f>SUM(X118,X121,X124)</f>
        <v>0</v>
      </c>
    </row>
    <row r="119" spans="1:25" ht="12" customHeight="1" x14ac:dyDescent="0.15">
      <c r="A119"/>
      <c r="B119" s="470"/>
      <c r="C119" s="471">
        <f>Interview!C208</f>
        <v>3</v>
      </c>
      <c r="D119" s="472"/>
      <c r="E119" s="26">
        <f>Interview!F208</f>
        <v>0</v>
      </c>
      <c r="F119" s="18">
        <v>9</v>
      </c>
      <c r="G119" s="18">
        <f>IFERROR(VLOOKUP(E119,AnswerCTBL,2,FALSE),0)</f>
        <v>0</v>
      </c>
      <c r="H119" s="195"/>
      <c r="I119" s="468"/>
      <c r="J119" s="170"/>
      <c r="K119" s="18">
        <f>IFERROR(VLOOKUP(J119,AnswerCTBL,2,FALSE),0)</f>
        <v>0</v>
      </c>
      <c r="L119" s="105"/>
      <c r="M119" s="444"/>
      <c r="N119" s="170"/>
      <c r="O119" s="18">
        <f>IFERROR(VLOOKUP(N119,AnswerCTBL,2,FALSE),0)</f>
        <v>0</v>
      </c>
      <c r="P119" s="105"/>
      <c r="Q119" s="444"/>
      <c r="R119" s="170"/>
      <c r="S119" s="18">
        <f>IFERROR(VLOOKUP(R119,AnswerCTBL,2,FALSE),0)</f>
        <v>0</v>
      </c>
      <c r="T119" s="105"/>
      <c r="U119" s="444"/>
      <c r="V119" s="170"/>
      <c r="W119" s="18">
        <f>IFERROR(VLOOKUP(V119,AnswerCTBL,2,FALSE),0)</f>
        <v>0</v>
      </c>
      <c r="X119" s="105"/>
      <c r="Y119" s="444"/>
    </row>
    <row r="120" spans="1:25" ht="12.75" customHeight="1" x14ac:dyDescent="0.15">
      <c r="A120"/>
      <c r="B120" s="382"/>
      <c r="C120" s="383"/>
      <c r="D120" s="383"/>
      <c r="E120" s="383"/>
      <c r="F120" s="383"/>
      <c r="G120" s="383"/>
      <c r="H120" s="384"/>
      <c r="I120" s="205"/>
      <c r="J120" s="171"/>
      <c r="K120" s="160"/>
      <c r="L120" s="160"/>
      <c r="M120" s="176"/>
      <c r="N120" s="171"/>
      <c r="O120" s="160"/>
      <c r="P120" s="160"/>
      <c r="Q120" s="176"/>
      <c r="R120" s="171"/>
      <c r="S120" s="160"/>
      <c r="T120" s="160"/>
      <c r="U120" s="176"/>
      <c r="V120" s="171"/>
      <c r="W120" s="160"/>
      <c r="X120" s="160"/>
      <c r="Y120" s="176"/>
    </row>
    <row r="121" spans="1:25" ht="12.75" customHeight="1" x14ac:dyDescent="0.15">
      <c r="A121"/>
      <c r="B121" s="469" t="s">
        <v>62</v>
      </c>
      <c r="C121" s="456">
        <f>Interview!C211</f>
        <v>1</v>
      </c>
      <c r="D121" s="457"/>
      <c r="E121" s="26">
        <f>Interview!F211</f>
        <v>0</v>
      </c>
      <c r="F121" s="18">
        <v>10</v>
      </c>
      <c r="G121" s="18">
        <f>IFERROR(VLOOKUP(E121,AnswerGTBL,2,FALSE),0)</f>
        <v>0</v>
      </c>
      <c r="H121" s="195">
        <f>IFERROR(AVERAGE(G121,G122),0)</f>
        <v>0</v>
      </c>
      <c r="I121" s="205"/>
      <c r="J121" s="169"/>
      <c r="K121" s="18">
        <f>IFERROR(VLOOKUP(J121,AnswerGTBL,2,FALSE),0)</f>
        <v>0</v>
      </c>
      <c r="L121" s="105">
        <f>IFERROR(AVERAGE(K121,K122),0)</f>
        <v>0</v>
      </c>
      <c r="M121" s="173"/>
      <c r="N121" s="169"/>
      <c r="O121" s="18">
        <f>IFERROR(VLOOKUP(N121,AnswerGTBL,2,FALSE),0)</f>
        <v>0</v>
      </c>
      <c r="P121" s="105">
        <f>IFERROR(AVERAGE(O121,O122),0)</f>
        <v>0</v>
      </c>
      <c r="Q121" s="173"/>
      <c r="R121" s="169"/>
      <c r="S121" s="18">
        <f>IFERROR(VLOOKUP(R121,AnswerGTBL,2,FALSE),0)</f>
        <v>0</v>
      </c>
      <c r="T121" s="105">
        <f>IFERROR(AVERAGE(S121,S122),0)</f>
        <v>0</v>
      </c>
      <c r="U121" s="173"/>
      <c r="V121" s="169"/>
      <c r="W121" s="18">
        <f>IFERROR(VLOOKUP(V121,AnswerGTBL,2,FALSE),0)</f>
        <v>0</v>
      </c>
      <c r="X121" s="105">
        <f>IFERROR(AVERAGE(W121,W122),0)</f>
        <v>0</v>
      </c>
      <c r="Y121" s="173"/>
    </row>
    <row r="122" spans="1:25" ht="12.75" customHeight="1" x14ac:dyDescent="0.15">
      <c r="A122"/>
      <c r="B122" s="470"/>
      <c r="C122" s="471">
        <f>Interview!C215</f>
        <v>3</v>
      </c>
      <c r="D122" s="472"/>
      <c r="E122" s="26">
        <f>Interview!F215</f>
        <v>0</v>
      </c>
      <c r="F122" s="18">
        <v>11</v>
      </c>
      <c r="G122" s="18">
        <f>IFERROR(VLOOKUP(E122,AnswerCTBL,2,FALSE),0)</f>
        <v>0</v>
      </c>
      <c r="H122" s="195"/>
      <c r="I122" s="205"/>
      <c r="J122" s="170"/>
      <c r="K122" s="18">
        <f>IFERROR(VLOOKUP(J122,AnswerCTBL,2,FALSE),0)</f>
        <v>0</v>
      </c>
      <c r="L122" s="105"/>
      <c r="M122" s="173"/>
      <c r="N122" s="170"/>
      <c r="O122" s="18">
        <f>IFERROR(VLOOKUP(N122,AnswerCTBL,2,FALSE),0)</f>
        <v>0</v>
      </c>
      <c r="P122" s="105"/>
      <c r="Q122" s="173"/>
      <c r="R122" s="170"/>
      <c r="S122" s="18">
        <f>IFERROR(VLOOKUP(R122,AnswerCTBL,2,FALSE),0)</f>
        <v>0</v>
      </c>
      <c r="T122" s="105"/>
      <c r="U122" s="173"/>
      <c r="V122" s="170"/>
      <c r="W122" s="18">
        <f>IFERROR(VLOOKUP(V122,AnswerCTBL,2,FALSE),0)</f>
        <v>0</v>
      </c>
      <c r="X122" s="105"/>
      <c r="Y122" s="173"/>
    </row>
    <row r="123" spans="1:25" ht="12.75" customHeight="1" x14ac:dyDescent="0.15">
      <c r="A123"/>
      <c r="B123" s="382"/>
      <c r="C123" s="383"/>
      <c r="D123" s="383"/>
      <c r="E123" s="383"/>
      <c r="F123" s="383"/>
      <c r="G123" s="383"/>
      <c r="H123" s="384"/>
      <c r="I123" s="205"/>
      <c r="J123" s="171"/>
      <c r="K123" s="160"/>
      <c r="L123" s="160"/>
      <c r="M123" s="176"/>
      <c r="N123" s="171"/>
      <c r="O123" s="160"/>
      <c r="P123" s="160"/>
      <c r="Q123" s="176"/>
      <c r="R123" s="171"/>
      <c r="S123" s="160"/>
      <c r="T123" s="160"/>
      <c r="U123" s="176"/>
      <c r="V123" s="171"/>
      <c r="W123" s="160"/>
      <c r="X123" s="160"/>
      <c r="Y123" s="176"/>
    </row>
    <row r="124" spans="1:25" ht="12.75" customHeight="1" x14ac:dyDescent="0.15">
      <c r="A124"/>
      <c r="B124" s="469" t="s">
        <v>63</v>
      </c>
      <c r="C124" s="456" t="e">
        <f>Interview!#REF!</f>
        <v>#REF!</v>
      </c>
      <c r="D124" s="457"/>
      <c r="E124" s="26" t="e">
        <f>Interview!#REF!</f>
        <v>#REF!</v>
      </c>
      <c r="F124" s="18">
        <v>12</v>
      </c>
      <c r="G124" s="18">
        <f>IFERROR(VLOOKUP(E124,AnswerFTBL,2,FALSE),0)</f>
        <v>0</v>
      </c>
      <c r="H124" s="195">
        <f>IFERROR(AVERAGE(G124,G125),0)</f>
        <v>0</v>
      </c>
      <c r="I124" s="205"/>
      <c r="J124" s="169"/>
      <c r="K124" s="18">
        <f>IFERROR(VLOOKUP(J124,AnswerFTBL,2,FALSE),0)</f>
        <v>0</v>
      </c>
      <c r="L124" s="105">
        <f>IFERROR(AVERAGE(K124,K125),0)</f>
        <v>0</v>
      </c>
      <c r="M124" s="173"/>
      <c r="N124" s="169"/>
      <c r="O124" s="18">
        <f>IFERROR(VLOOKUP(N124,AnswerFTBL,2,FALSE),0)</f>
        <v>0</v>
      </c>
      <c r="P124" s="105">
        <f>IFERROR(AVERAGE(O124,O125),0)</f>
        <v>0</v>
      </c>
      <c r="Q124" s="173"/>
      <c r="R124" s="169"/>
      <c r="S124" s="18">
        <f>IFERROR(VLOOKUP(R124,AnswerFTBL,2,FALSE),0)</f>
        <v>0</v>
      </c>
      <c r="T124" s="105">
        <f>IFERROR(AVERAGE(S124,S125),0)</f>
        <v>0</v>
      </c>
      <c r="U124" s="173"/>
      <c r="V124" s="169"/>
      <c r="W124" s="18">
        <f>IFERROR(VLOOKUP(V124,AnswerFTBL,2,FALSE),0)</f>
        <v>0</v>
      </c>
      <c r="X124" s="105">
        <f>IFERROR(AVERAGE(W124,W125),0)</f>
        <v>0</v>
      </c>
      <c r="Y124" s="173"/>
    </row>
    <row r="125" spans="1:25" ht="12.75" customHeight="1" x14ac:dyDescent="0.15">
      <c r="A125"/>
      <c r="B125" s="470"/>
      <c r="C125" s="451" t="e">
        <f>Interview!#REF!</f>
        <v>#REF!</v>
      </c>
      <c r="D125" s="452"/>
      <c r="E125" s="26" t="e">
        <f>Interview!#REF!</f>
        <v>#REF!</v>
      </c>
      <c r="F125" s="18">
        <v>13</v>
      </c>
      <c r="G125" s="18">
        <f>IFERROR(VLOOKUP(E125,AnswerGTBL,2,FALSE),0)</f>
        <v>0</v>
      </c>
      <c r="H125" s="195"/>
      <c r="I125" s="205"/>
      <c r="J125" s="170"/>
      <c r="K125" s="18">
        <f>IFERROR(VLOOKUP(J125,AnswerGTBL,2,FALSE),0)</f>
        <v>0</v>
      </c>
      <c r="L125" s="105"/>
      <c r="M125" s="173"/>
      <c r="N125" s="170"/>
      <c r="O125" s="18">
        <f>IFERROR(VLOOKUP(N125,AnswerGTBL,2,FALSE),0)</f>
        <v>0</v>
      </c>
      <c r="P125" s="105"/>
      <c r="Q125" s="173"/>
      <c r="R125" s="170"/>
      <c r="S125" s="18">
        <f>IFERROR(VLOOKUP(R125,AnswerGTBL,2,FALSE),0)</f>
        <v>0</v>
      </c>
      <c r="T125" s="105"/>
      <c r="U125" s="173"/>
      <c r="V125" s="170"/>
      <c r="W125" s="18">
        <f>IFERROR(VLOOKUP(V125,AnswerGTBL,2,FALSE),0)</f>
        <v>0</v>
      </c>
      <c r="X125" s="105"/>
      <c r="Y125" s="173"/>
    </row>
    <row r="126" spans="1:25" ht="12.75" customHeight="1" x14ac:dyDescent="0.15">
      <c r="A126"/>
      <c r="B126" s="473" t="s">
        <v>0</v>
      </c>
      <c r="C126" s="474"/>
      <c r="D126" s="475"/>
      <c r="E126" s="143" t="s">
        <v>70</v>
      </c>
      <c r="F126" s="143"/>
      <c r="G126" s="143"/>
      <c r="H126" s="144"/>
      <c r="I126" s="210" t="s">
        <v>68</v>
      </c>
      <c r="J126" s="185" t="s">
        <v>70</v>
      </c>
      <c r="K126" s="143"/>
      <c r="L126" s="144"/>
      <c r="M126" s="184" t="s">
        <v>68</v>
      </c>
      <c r="N126" s="185" t="s">
        <v>70</v>
      </c>
      <c r="O126" s="143"/>
      <c r="P126" s="144"/>
      <c r="Q126" s="184" t="s">
        <v>68</v>
      </c>
      <c r="R126" s="185" t="s">
        <v>70</v>
      </c>
      <c r="S126" s="143"/>
      <c r="T126" s="144"/>
      <c r="U126" s="184" t="s">
        <v>68</v>
      </c>
      <c r="V126" s="185" t="s">
        <v>70</v>
      </c>
      <c r="W126" s="143"/>
      <c r="X126" s="144"/>
      <c r="Y126" s="184" t="s">
        <v>68</v>
      </c>
    </row>
    <row r="127" spans="1:25" ht="12.75" customHeight="1" x14ac:dyDescent="0.15">
      <c r="A127"/>
      <c r="B127" s="469" t="s">
        <v>1</v>
      </c>
      <c r="C127" s="476">
        <f>Interview!C218</f>
        <v>1</v>
      </c>
      <c r="D127" s="477"/>
      <c r="E127" s="26">
        <f>Interview!F218</f>
        <v>0</v>
      </c>
      <c r="F127" s="18">
        <v>14</v>
      </c>
      <c r="G127" s="18">
        <f>IFERROR(VLOOKUP(E127,AnswerCTBL,2,FALSE),0)</f>
        <v>0</v>
      </c>
      <c r="H127" s="195">
        <f>IFERROR(AVERAGE(G127,G128),0)</f>
        <v>0</v>
      </c>
      <c r="I127" s="467">
        <f>SUM(H127,H130,H133)</f>
        <v>0</v>
      </c>
      <c r="J127" s="169"/>
      <c r="K127" s="18">
        <f>IFERROR(VLOOKUP(J127,AnswerCTBL,2,FALSE),0)</f>
        <v>0</v>
      </c>
      <c r="L127" s="105">
        <f>IFERROR(AVERAGE(K127,K128),0)</f>
        <v>0</v>
      </c>
      <c r="M127" s="443">
        <f>SUM(L127,L130,L133)</f>
        <v>0</v>
      </c>
      <c r="N127" s="169"/>
      <c r="O127" s="18">
        <f>IFERROR(VLOOKUP(N127,AnswerCTBL,2,FALSE),0)</f>
        <v>0</v>
      </c>
      <c r="P127" s="105">
        <f>IFERROR(AVERAGE(O127,O128),0)</f>
        <v>0</v>
      </c>
      <c r="Q127" s="443">
        <f>SUM(P127,P130,P133)</f>
        <v>0</v>
      </c>
      <c r="R127" s="169"/>
      <c r="S127" s="18">
        <f>IFERROR(VLOOKUP(R127,AnswerCTBL,2,FALSE),0)</f>
        <v>0</v>
      </c>
      <c r="T127" s="105">
        <f>IFERROR(AVERAGE(S127,S128),0)</f>
        <v>0</v>
      </c>
      <c r="U127" s="443">
        <f>SUM(T127,T130,T133)</f>
        <v>0</v>
      </c>
      <c r="V127" s="169"/>
      <c r="W127" s="18">
        <f>IFERROR(VLOOKUP(V127,AnswerCTBL,2,FALSE),0)</f>
        <v>0</v>
      </c>
      <c r="X127" s="105">
        <f>IFERROR(AVERAGE(W127,W128),0)</f>
        <v>0</v>
      </c>
      <c r="Y127" s="443">
        <f>SUM(X127,X130,X133)</f>
        <v>0</v>
      </c>
    </row>
    <row r="128" spans="1:25" ht="12.75" customHeight="1" x14ac:dyDescent="0.15">
      <c r="A128"/>
      <c r="B128" s="470"/>
      <c r="C128" s="471">
        <f>Interview!C222</f>
        <v>3</v>
      </c>
      <c r="D128" s="472"/>
      <c r="E128" s="26">
        <f>Interview!F222</f>
        <v>0</v>
      </c>
      <c r="F128" s="18">
        <v>15</v>
      </c>
      <c r="G128" s="18">
        <f>IFERROR(VLOOKUP(E128,AnswerCTBL,2,FALSE),0)</f>
        <v>0</v>
      </c>
      <c r="H128" s="195"/>
      <c r="I128" s="468"/>
      <c r="J128" s="170"/>
      <c r="K128" s="18">
        <f>IFERROR(VLOOKUP(J128,AnswerCTBL,2,FALSE),0)</f>
        <v>0</v>
      </c>
      <c r="L128" s="105"/>
      <c r="M128" s="444"/>
      <c r="N128" s="170"/>
      <c r="O128" s="18">
        <f>IFERROR(VLOOKUP(N128,AnswerCTBL,2,FALSE),0)</f>
        <v>0</v>
      </c>
      <c r="P128" s="105"/>
      <c r="Q128" s="444"/>
      <c r="R128" s="170"/>
      <c r="S128" s="18">
        <f>IFERROR(VLOOKUP(R128,AnswerCTBL,2,FALSE),0)</f>
        <v>0</v>
      </c>
      <c r="T128" s="105"/>
      <c r="U128" s="444"/>
      <c r="V128" s="170"/>
      <c r="W128" s="18">
        <f>IFERROR(VLOOKUP(V128,AnswerCTBL,2,FALSE),0)</f>
        <v>0</v>
      </c>
      <c r="X128" s="105"/>
      <c r="Y128" s="444"/>
    </row>
    <row r="129" spans="1:25" ht="12.75" customHeight="1" x14ac:dyDescent="0.15">
      <c r="A129"/>
      <c r="B129" s="382"/>
      <c r="C129" s="383"/>
      <c r="D129" s="383"/>
      <c r="E129" s="383"/>
      <c r="F129" s="383"/>
      <c r="G129" s="383"/>
      <c r="H129" s="384"/>
      <c r="I129" s="205"/>
      <c r="J129" s="171"/>
      <c r="K129" s="160"/>
      <c r="L129" s="160"/>
      <c r="M129" s="176"/>
      <c r="N129" s="171"/>
      <c r="O129" s="160"/>
      <c r="P129" s="160"/>
      <c r="Q129" s="176"/>
      <c r="R129" s="171"/>
      <c r="S129" s="160"/>
      <c r="T129" s="160"/>
      <c r="U129" s="176"/>
      <c r="V129" s="171"/>
      <c r="W129" s="160"/>
      <c r="X129" s="160"/>
      <c r="Y129" s="176"/>
    </row>
    <row r="130" spans="1:25" ht="12.75" customHeight="1" x14ac:dyDescent="0.15">
      <c r="A130"/>
      <c r="B130" s="469" t="s">
        <v>2</v>
      </c>
      <c r="C130" s="476">
        <f>Interview!C225</f>
        <v>1</v>
      </c>
      <c r="D130" s="477"/>
      <c r="E130" s="26">
        <f>Interview!F225</f>
        <v>0</v>
      </c>
      <c r="F130" s="18">
        <v>16</v>
      </c>
      <c r="G130" s="18">
        <f>IFERROR(VLOOKUP(E130,AnswerCTBL,2,FALSE),0)</f>
        <v>0</v>
      </c>
      <c r="H130" s="195">
        <f>IFERROR(AVERAGE(G130,G131),0)</f>
        <v>0</v>
      </c>
      <c r="I130" s="205"/>
      <c r="J130" s="169"/>
      <c r="K130" s="18">
        <f>IFERROR(VLOOKUP(J130,AnswerCTBL,2,FALSE),0)</f>
        <v>0</v>
      </c>
      <c r="L130" s="105">
        <f>IFERROR(AVERAGE(K130,K131),0)</f>
        <v>0</v>
      </c>
      <c r="M130" s="173"/>
      <c r="N130" s="169"/>
      <c r="O130" s="18">
        <f>IFERROR(VLOOKUP(N130,AnswerCTBL,2,FALSE),0)</f>
        <v>0</v>
      </c>
      <c r="P130" s="105">
        <f>IFERROR(AVERAGE(O130,O131),0)</f>
        <v>0</v>
      </c>
      <c r="Q130" s="173"/>
      <c r="R130" s="169"/>
      <c r="S130" s="18">
        <f>IFERROR(VLOOKUP(R130,AnswerCTBL,2,FALSE),0)</f>
        <v>0</v>
      </c>
      <c r="T130" s="105">
        <f>IFERROR(AVERAGE(S130,S131),0)</f>
        <v>0</v>
      </c>
      <c r="U130" s="173"/>
      <c r="V130" s="169"/>
      <c r="W130" s="18">
        <f>IFERROR(VLOOKUP(V130,AnswerCTBL,2,FALSE),0)</f>
        <v>0</v>
      </c>
      <c r="X130" s="105">
        <f>IFERROR(AVERAGE(W130,W131),0)</f>
        <v>0</v>
      </c>
      <c r="Y130" s="173"/>
    </row>
    <row r="131" spans="1:25" ht="12.75" customHeight="1" x14ac:dyDescent="0.15">
      <c r="A131"/>
      <c r="B131" s="470"/>
      <c r="C131" s="451">
        <f>Interview!C229</f>
        <v>3</v>
      </c>
      <c r="D131" s="452"/>
      <c r="E131" s="26">
        <f>Interview!F229</f>
        <v>0</v>
      </c>
      <c r="F131" s="18">
        <v>17</v>
      </c>
      <c r="G131" s="18">
        <f>IFERROR(VLOOKUP(E131,AnswerCTBL,2,FALSE),0)</f>
        <v>0</v>
      </c>
      <c r="H131" s="195"/>
      <c r="I131" s="205"/>
      <c r="J131" s="170"/>
      <c r="K131" s="18">
        <f>IFERROR(VLOOKUP(J131,AnswerCTBL,2,FALSE),0)</f>
        <v>0</v>
      </c>
      <c r="L131" s="105"/>
      <c r="M131" s="173"/>
      <c r="N131" s="170"/>
      <c r="O131" s="18">
        <f>IFERROR(VLOOKUP(N131,AnswerCTBL,2,FALSE),0)</f>
        <v>0</v>
      </c>
      <c r="P131" s="105"/>
      <c r="Q131" s="173"/>
      <c r="R131" s="170"/>
      <c r="S131" s="18">
        <f>IFERROR(VLOOKUP(R131,AnswerCTBL,2,FALSE),0)</f>
        <v>0</v>
      </c>
      <c r="T131" s="105"/>
      <c r="U131" s="173"/>
      <c r="V131" s="170"/>
      <c r="W131" s="18">
        <f>IFERROR(VLOOKUP(V131,AnswerCTBL,2,FALSE),0)</f>
        <v>0</v>
      </c>
      <c r="X131" s="105"/>
      <c r="Y131" s="173"/>
    </row>
    <row r="132" spans="1:25" ht="12.75" customHeight="1" x14ac:dyDescent="0.15">
      <c r="A132"/>
      <c r="B132" s="382"/>
      <c r="C132" s="383"/>
      <c r="D132" s="383"/>
      <c r="E132" s="383"/>
      <c r="F132" s="383"/>
      <c r="G132" s="383"/>
      <c r="H132" s="384"/>
      <c r="I132" s="205"/>
      <c r="J132" s="171"/>
      <c r="K132" s="160"/>
      <c r="L132" s="160"/>
      <c r="M132" s="176"/>
      <c r="N132" s="171"/>
      <c r="O132" s="160"/>
      <c r="P132" s="160"/>
      <c r="Q132" s="176"/>
      <c r="R132" s="171"/>
      <c r="S132" s="160"/>
      <c r="T132" s="160"/>
      <c r="U132" s="176"/>
      <c r="V132" s="171"/>
      <c r="W132" s="160"/>
      <c r="X132" s="160"/>
      <c r="Y132" s="176"/>
    </row>
    <row r="133" spans="1:25" ht="12" customHeight="1" x14ac:dyDescent="0.15">
      <c r="A133"/>
      <c r="B133" s="469" t="s">
        <v>3</v>
      </c>
      <c r="C133" s="456" t="e">
        <f>Interview!#REF!</f>
        <v>#REF!</v>
      </c>
      <c r="D133" s="457"/>
      <c r="E133" s="25" t="e">
        <f>Interview!#REF!</f>
        <v>#REF!</v>
      </c>
      <c r="F133" s="145">
        <v>18</v>
      </c>
      <c r="G133" s="145">
        <f>IFERROR(VLOOKUP(E133,AnswerDTBL,2,FALSE),0)</f>
        <v>0</v>
      </c>
      <c r="H133" s="201">
        <f>IFERROR(AVERAGE(G133,G134),0)</f>
        <v>0</v>
      </c>
      <c r="I133" s="205"/>
      <c r="J133" s="186"/>
      <c r="K133" s="163">
        <f>IFERROR(VLOOKUP(J133,AnswerDTBL,2,FALSE),0)</f>
        <v>0</v>
      </c>
      <c r="L133" s="146">
        <f>IFERROR(AVERAGE(K133,K134),0)</f>
        <v>0</v>
      </c>
      <c r="M133" s="173"/>
      <c r="N133" s="186"/>
      <c r="O133" s="163">
        <f>IFERROR(VLOOKUP(N133,AnswerDTBL,2,FALSE),0)</f>
        <v>0</v>
      </c>
      <c r="P133" s="146">
        <f>IFERROR(AVERAGE(O133,O134),0)</f>
        <v>0</v>
      </c>
      <c r="Q133" s="173"/>
      <c r="R133" s="186"/>
      <c r="S133" s="163">
        <f>IFERROR(VLOOKUP(R133,AnswerDTBL,2,FALSE),0)</f>
        <v>0</v>
      </c>
      <c r="T133" s="146">
        <f>IFERROR(AVERAGE(S133,S134),0)</f>
        <v>0</v>
      </c>
      <c r="U133" s="173"/>
      <c r="V133" s="186"/>
      <c r="W133" s="163">
        <f>IFERROR(VLOOKUP(V133,AnswerDTBL,2,FALSE),0)</f>
        <v>0</v>
      </c>
      <c r="X133" s="146">
        <f>IFERROR(AVERAGE(W133,W134),0)</f>
        <v>0</v>
      </c>
      <c r="Y133" s="173"/>
    </row>
    <row r="134" spans="1:25" ht="14" customHeight="1" thickBot="1" x14ac:dyDescent="0.2">
      <c r="A134"/>
      <c r="B134" s="470"/>
      <c r="C134" s="451" t="e">
        <f>Interview!#REF!</f>
        <v>#REF!</v>
      </c>
      <c r="D134" s="452"/>
      <c r="E134" s="27" t="e">
        <f>Interview!#REF!</f>
        <v>#REF!</v>
      </c>
      <c r="F134" s="147">
        <v>19</v>
      </c>
      <c r="G134" s="147">
        <f>IFERROR(VLOOKUP(E134,AnswerETBL,2,FALSE),0)</f>
        <v>0</v>
      </c>
      <c r="H134" s="198"/>
      <c r="I134" s="207"/>
      <c r="J134" s="187"/>
      <c r="K134" s="188">
        <f>IFERROR(VLOOKUP(J134,AnswerETBL,2,FALSE),0)</f>
        <v>0</v>
      </c>
      <c r="L134" s="189"/>
      <c r="M134" s="190"/>
      <c r="N134" s="187"/>
      <c r="O134" s="188">
        <f>IFERROR(VLOOKUP(N134,AnswerETBL,2,FALSE),0)</f>
        <v>0</v>
      </c>
      <c r="P134" s="189"/>
      <c r="Q134" s="190"/>
      <c r="R134" s="187"/>
      <c r="S134" s="188">
        <f>IFERROR(VLOOKUP(R134,AnswerETBL,2,FALSE),0)</f>
        <v>0</v>
      </c>
      <c r="T134" s="189"/>
      <c r="U134" s="190"/>
      <c r="V134" s="187"/>
      <c r="W134" s="188">
        <f>IFERROR(VLOOKUP(V134,AnswerETBL,2,FALSE),0)</f>
        <v>0</v>
      </c>
      <c r="X134" s="189"/>
      <c r="Y134" s="190"/>
    </row>
  </sheetData>
  <customSheetViews>
    <customSheetView guid="{9846C184-355C-EA4B-8C35-9561D1AEE31C}" hiddenRows="1" hiddenColumns="1" topLeftCell="B2">
      <selection activeCell="I23" sqref="I23"/>
      <pageMargins left="0.7" right="0.7" top="0.75" bottom="0.75" header="0.3" footer="0.3"/>
    </customSheetView>
  </customSheetViews>
  <mergeCells count="247">
    <mergeCell ref="B1:H1"/>
    <mergeCell ref="B34:B35"/>
    <mergeCell ref="C34:D34"/>
    <mergeCell ref="C35:D35"/>
    <mergeCell ref="B30:D30"/>
    <mergeCell ref="B31:B32"/>
    <mergeCell ref="C31:D31"/>
    <mergeCell ref="I31:I32"/>
    <mergeCell ref="C32:D32"/>
    <mergeCell ref="B28:B29"/>
    <mergeCell ref="C28:D28"/>
    <mergeCell ref="C29:D29"/>
    <mergeCell ref="B3:D3"/>
    <mergeCell ref="B4:D4"/>
    <mergeCell ref="B5:D5"/>
    <mergeCell ref="B6:D6"/>
    <mergeCell ref="B7:D7"/>
    <mergeCell ref="B10:D10"/>
    <mergeCell ref="B19:D19"/>
    <mergeCell ref="B12:C12"/>
    <mergeCell ref="B13:C13"/>
    <mergeCell ref="B14:C14"/>
    <mergeCell ref="B15:C15"/>
    <mergeCell ref="B16:C16"/>
    <mergeCell ref="B43:B44"/>
    <mergeCell ref="C43:D43"/>
    <mergeCell ref="C44:D44"/>
    <mergeCell ref="B39:D39"/>
    <mergeCell ref="B40:B41"/>
    <mergeCell ref="C40:D40"/>
    <mergeCell ref="C41:D41"/>
    <mergeCell ref="B37:B38"/>
    <mergeCell ref="C37:D37"/>
    <mergeCell ref="C38:D38"/>
    <mergeCell ref="B53:B55"/>
    <mergeCell ref="C53:D53"/>
    <mergeCell ref="C54:D54"/>
    <mergeCell ref="C55:D55"/>
    <mergeCell ref="B49:D49"/>
    <mergeCell ref="B50:B51"/>
    <mergeCell ref="C50:D50"/>
    <mergeCell ref="C51:D51"/>
    <mergeCell ref="B46:B47"/>
    <mergeCell ref="C46:D46"/>
    <mergeCell ref="C47:D47"/>
    <mergeCell ref="B62:H62"/>
    <mergeCell ref="B63:B64"/>
    <mergeCell ref="C63:D63"/>
    <mergeCell ref="C64:D64"/>
    <mergeCell ref="B59:D59"/>
    <mergeCell ref="B60:B61"/>
    <mergeCell ref="C60:D60"/>
    <mergeCell ref="C61:D61"/>
    <mergeCell ref="B56:H56"/>
    <mergeCell ref="B57:B58"/>
    <mergeCell ref="C57:D57"/>
    <mergeCell ref="C58:D58"/>
    <mergeCell ref="B71:H71"/>
    <mergeCell ref="B72:B73"/>
    <mergeCell ref="C72:D72"/>
    <mergeCell ref="C73:D73"/>
    <mergeCell ref="B68:D68"/>
    <mergeCell ref="B69:B70"/>
    <mergeCell ref="C69:D69"/>
    <mergeCell ref="C70:D70"/>
    <mergeCell ref="B65:H65"/>
    <mergeCell ref="B66:B67"/>
    <mergeCell ref="C66:D66"/>
    <mergeCell ref="C67:D67"/>
    <mergeCell ref="B78:D78"/>
    <mergeCell ref="B79:B80"/>
    <mergeCell ref="C79:D79"/>
    <mergeCell ref="C80:D80"/>
    <mergeCell ref="B77:D77"/>
    <mergeCell ref="B74:H74"/>
    <mergeCell ref="B75:B76"/>
    <mergeCell ref="C75:D75"/>
    <mergeCell ref="C76:D76"/>
    <mergeCell ref="I88:I89"/>
    <mergeCell ref="C89:D89"/>
    <mergeCell ref="B84:H84"/>
    <mergeCell ref="B85:B86"/>
    <mergeCell ref="C85:D85"/>
    <mergeCell ref="C86:D86"/>
    <mergeCell ref="B81:H81"/>
    <mergeCell ref="B82:B83"/>
    <mergeCell ref="C82:D82"/>
    <mergeCell ref="C83:D83"/>
    <mergeCell ref="B93:H93"/>
    <mergeCell ref="B94:B95"/>
    <mergeCell ref="C94:D94"/>
    <mergeCell ref="C95:D95"/>
    <mergeCell ref="B90:H90"/>
    <mergeCell ref="B91:B92"/>
    <mergeCell ref="C91:D91"/>
    <mergeCell ref="C92:D92"/>
    <mergeCell ref="B87:D87"/>
    <mergeCell ref="B88:B89"/>
    <mergeCell ref="C88:D88"/>
    <mergeCell ref="B100:H100"/>
    <mergeCell ref="B101:B102"/>
    <mergeCell ref="C101:D101"/>
    <mergeCell ref="C102:D102"/>
    <mergeCell ref="B96:D96"/>
    <mergeCell ref="B97:B99"/>
    <mergeCell ref="C97:D97"/>
    <mergeCell ref="C98:D98"/>
    <mergeCell ref="C99:D99"/>
    <mergeCell ref="B107:D107"/>
    <mergeCell ref="B108:B110"/>
    <mergeCell ref="C108:D108"/>
    <mergeCell ref="I108:I109"/>
    <mergeCell ref="C109:D109"/>
    <mergeCell ref="C110:D110"/>
    <mergeCell ref="B103:H103"/>
    <mergeCell ref="B104:B105"/>
    <mergeCell ref="C104:D104"/>
    <mergeCell ref="C105:D105"/>
    <mergeCell ref="C119:D119"/>
    <mergeCell ref="B114:H114"/>
    <mergeCell ref="B115:B116"/>
    <mergeCell ref="C115:D115"/>
    <mergeCell ref="C116:D116"/>
    <mergeCell ref="B111:H111"/>
    <mergeCell ref="B112:B113"/>
    <mergeCell ref="C112:D112"/>
    <mergeCell ref="C113:D113"/>
    <mergeCell ref="B132:H132"/>
    <mergeCell ref="B133:B134"/>
    <mergeCell ref="C133:D133"/>
    <mergeCell ref="C134:D134"/>
    <mergeCell ref="B129:H129"/>
    <mergeCell ref="B130:B131"/>
    <mergeCell ref="C130:D130"/>
    <mergeCell ref="C131:D131"/>
    <mergeCell ref="B126:D126"/>
    <mergeCell ref="B127:B128"/>
    <mergeCell ref="C127:D127"/>
    <mergeCell ref="C128:D128"/>
    <mergeCell ref="B36:H36"/>
    <mergeCell ref="B42:H42"/>
    <mergeCell ref="B45:H45"/>
    <mergeCell ref="B52:H52"/>
    <mergeCell ref="I69:I70"/>
    <mergeCell ref="I97:I98"/>
    <mergeCell ref="I79:I80"/>
    <mergeCell ref="I118:I119"/>
    <mergeCell ref="I127:I128"/>
    <mergeCell ref="I40:I41"/>
    <mergeCell ref="I50:I51"/>
    <mergeCell ref="I60:I61"/>
    <mergeCell ref="B48:D48"/>
    <mergeCell ref="B123:H123"/>
    <mergeCell ref="B124:B125"/>
    <mergeCell ref="C124:D124"/>
    <mergeCell ref="C125:D125"/>
    <mergeCell ref="B120:H120"/>
    <mergeCell ref="B121:B122"/>
    <mergeCell ref="C121:D121"/>
    <mergeCell ref="C122:D122"/>
    <mergeCell ref="B117:D117"/>
    <mergeCell ref="B118:B119"/>
    <mergeCell ref="C118:D118"/>
    <mergeCell ref="M20:M22"/>
    <mergeCell ref="B23:H23"/>
    <mergeCell ref="B27:H27"/>
    <mergeCell ref="I20:I21"/>
    <mergeCell ref="C21:D21"/>
    <mergeCell ref="C22:D22"/>
    <mergeCell ref="B24:B26"/>
    <mergeCell ref="C24:D24"/>
    <mergeCell ref="C25:D25"/>
    <mergeCell ref="C26:D26"/>
    <mergeCell ref="B20:B22"/>
    <mergeCell ref="C20:D20"/>
    <mergeCell ref="Q118:Q119"/>
    <mergeCell ref="Q127:Q128"/>
    <mergeCell ref="R18:U18"/>
    <mergeCell ref="U20:U22"/>
    <mergeCell ref="U31:U32"/>
    <mergeCell ref="U40:U41"/>
    <mergeCell ref="U50:U51"/>
    <mergeCell ref="M108:M109"/>
    <mergeCell ref="M118:M119"/>
    <mergeCell ref="M127:M128"/>
    <mergeCell ref="N18:Q18"/>
    <mergeCell ref="Q31:Q32"/>
    <mergeCell ref="Q40:Q41"/>
    <mergeCell ref="Q50:Q51"/>
    <mergeCell ref="Q60:Q61"/>
    <mergeCell ref="Q69:Q70"/>
    <mergeCell ref="Q79:Q80"/>
    <mergeCell ref="J18:M18"/>
    <mergeCell ref="M50:M51"/>
    <mergeCell ref="M60:M61"/>
    <mergeCell ref="M69:M70"/>
    <mergeCell ref="M79:M80"/>
    <mergeCell ref="M88:M89"/>
    <mergeCell ref="M97:M98"/>
    <mergeCell ref="Y108:Y109"/>
    <mergeCell ref="Y118:Y119"/>
    <mergeCell ref="Y127:Y128"/>
    <mergeCell ref="J48:M48"/>
    <mergeCell ref="J77:M77"/>
    <mergeCell ref="J106:M106"/>
    <mergeCell ref="R48:U48"/>
    <mergeCell ref="R77:U77"/>
    <mergeCell ref="U118:U119"/>
    <mergeCell ref="U127:U128"/>
    <mergeCell ref="Y50:Y51"/>
    <mergeCell ref="Y60:Y61"/>
    <mergeCell ref="Y69:Y70"/>
    <mergeCell ref="Y79:Y80"/>
    <mergeCell ref="U60:U61"/>
    <mergeCell ref="U69:U70"/>
    <mergeCell ref="U79:U80"/>
    <mergeCell ref="U88:U89"/>
    <mergeCell ref="U97:U98"/>
    <mergeCell ref="U108:U109"/>
    <mergeCell ref="R106:U106"/>
    <mergeCell ref="Q88:Q89"/>
    <mergeCell ref="Q97:Q98"/>
    <mergeCell ref="Q108:Q109"/>
    <mergeCell ref="V48:Y48"/>
    <mergeCell ref="V77:Y77"/>
    <mergeCell ref="V106:Y106"/>
    <mergeCell ref="B9:D9"/>
    <mergeCell ref="B8:D8"/>
    <mergeCell ref="E77:I77"/>
    <mergeCell ref="E48:I48"/>
    <mergeCell ref="B106:D106"/>
    <mergeCell ref="E106:I106"/>
    <mergeCell ref="N48:Q48"/>
    <mergeCell ref="N77:Q77"/>
    <mergeCell ref="N106:Q106"/>
    <mergeCell ref="Y88:Y89"/>
    <mergeCell ref="Y97:Y98"/>
    <mergeCell ref="V18:Y18"/>
    <mergeCell ref="Y20:Y22"/>
    <mergeCell ref="Y31:Y32"/>
    <mergeCell ref="Y40:Y41"/>
    <mergeCell ref="B18:D18"/>
    <mergeCell ref="E18:I18"/>
    <mergeCell ref="M31:M32"/>
    <mergeCell ref="M40:M41"/>
    <mergeCell ref="Q20:Q22"/>
    <mergeCell ref="B33:H33"/>
  </mergeCells>
  <conditionalFormatting sqref="E17">
    <cfRule type="expression" dxfId="8" priority="10">
      <formula>$H$24=1</formula>
    </cfRule>
  </conditionalFormatting>
  <conditionalFormatting sqref="J20:J47 J50:J76 J79:J105 J108:J134">
    <cfRule type="expression" dxfId="7" priority="7">
      <formula>K20&gt;G20</formula>
    </cfRule>
    <cfRule type="expression" dxfId="6" priority="8">
      <formula>K20&lt;G20</formula>
    </cfRule>
  </conditionalFormatting>
  <conditionalFormatting sqref="N20:N47 N50:N76 N79:N105 N108:N134">
    <cfRule type="expression" dxfId="5" priority="5">
      <formula>O20&gt;K20</formula>
    </cfRule>
    <cfRule type="expression" dxfId="4" priority="6">
      <formula>O20&lt;K20</formula>
    </cfRule>
  </conditionalFormatting>
  <conditionalFormatting sqref="R20:R47 R50:R76 R79:R105 R108:R134">
    <cfRule type="expression" dxfId="3" priority="3">
      <formula>S20&gt;O20</formula>
    </cfRule>
    <cfRule type="expression" dxfId="2" priority="4">
      <formula>S20&lt;O20</formula>
    </cfRule>
  </conditionalFormatting>
  <conditionalFormatting sqref="V20:V47 V50:V76 V79:V105 V108:V134">
    <cfRule type="expression" dxfId="1" priority="1">
      <formula>W20&gt;S20</formula>
    </cfRule>
    <cfRule type="expression" dxfId="0" priority="2">
      <formula>W20&lt;S20</formula>
    </cfRule>
  </conditionalFormatting>
  <dataValidations count="7">
    <dataValidation type="list" allowBlank="1" showInputMessage="1" showErrorMessage="1" sqref="R125 V72 R72 N125 N121 V125 J94 N112 R88 N88 R94 R121 J72 V121 V94 J88 N72 N94 V88 R112 J112 V112 J121 J125 J38 N38 R38 V38" xr:uid="{00000000-0002-0000-0300-000000000000}">
      <formula1>AnswerG</formula1>
    </dataValidation>
    <dataValidation type="list" allowBlank="1" showInputMessage="1" showErrorMessage="1" sqref="V105 V46 R73 N105 J105 V95 R105 R46 J34 V34 R69 J61 J69 J73 J46 V69 N34 V61 R61 N61 N69 N73 N46 V73 R34 R95 J124 N124 R124 V124 J86 N86 R86 V86 J95 N95 J91 N91 R91 V91" xr:uid="{00000000-0002-0000-0300-000001000000}">
      <formula1>AnswerF</formula1>
    </dataValidation>
    <dataValidation type="list" allowBlank="1" showInputMessage="1" showErrorMessage="1" sqref="V134 J32 N32 R32 V32 R134 J134 N134" xr:uid="{00000000-0002-0000-0300-000002000000}">
      <formula1>AnswerE</formula1>
    </dataValidation>
    <dataValidation type="list" allowBlank="1" showInputMessage="1" showErrorMessage="1" sqref="R133 V76 J133 N133 J29 J67 J47 J40 N29 N67 N47 N40 R29 R67 R47 R40 V29 V67 V47 V40 V133 J76 N76 R76" xr:uid="{00000000-0002-0000-0300-000003000000}">
      <formula1>AnswerD</formula1>
    </dataValidation>
    <dataValidation type="list" allowBlank="1" showInputMessage="1" showErrorMessage="1" sqref="V20 V109 J20 J109 N20 N109 R20 R109" xr:uid="{00000000-0002-0000-0300-000004000000}">
      <formula1>AnswerA</formula1>
    </dataValidation>
    <dataValidation type="list" allowBlank="1" showInputMessage="1" showErrorMessage="1" sqref="N101 N41 V118 R118 N118 J118 V54 V75 V51 R51 N51 J51 V41 R41 J41 V43:V44 V130:V131 V127:V128 V122 V119 V115:V116 V101 R101 J75 N75 R75 J53 J50 J57:J58 J60 J63:J64 J66 J70 N54 J79:J80 J82 J85 J89 J92 J97:J98 J102 J104 J115:J116 J119 J122 J127:J128 J130:J131 J43:J44 V28 V24:V25 J28 J24:J25 J54 N50 N57:N58 N60 N63:N64 N66 N70 R53 N79:N80 N82 N85 N89 N92 N97:N98 N102 N104 N115:N116 N119 N122 N127:N128 N130:N131 N43:N44 J37 N37 N28 N24:N25 J101 R50 R57:R58 R60 R63:R64 R66 R70 R54 R79:R80 R82 R85 R89 R92 R97:R98 R102 R104 R115:R116 R119 R122 R127:R128 R130:R131 R43:R44 V37 R37 R28 R24:R25 N53 V50 V57:V58 V60 V63:V64 V66 V70 V53 V79:V80 V82 V85 V89 V92 V97:V98 V102 V104 J35 N35 R35 V35 J21 J22 J26 N21 N22 N26 R21 R22 R26 V21 V22 V26 J31 N31 R31 V31 J55 N55 R55 V55 J108 J110 J113 N108 N110 N113 R108 R110 R113 V108 V110 V113" xr:uid="{00000000-0002-0000-0300-000005000000}">
      <formula1>AnswerC</formula1>
    </dataValidation>
    <dataValidation type="list" allowBlank="1" showInputMessage="1" showErrorMessage="1" sqref="N99 V99 V83 J83 R83 J99 R99 N83" xr:uid="{00000000-0002-0000-0300-000006000000}">
      <formula1>AnswerB</formula1>
    </dataValidation>
  </dataValidations>
  <pageMargins left="0.7" right="0.7" top="0.75" bottom="0.75" header="0.3" footer="0.3"/>
  <ignoredErrors>
    <ignoredError sqref="G109 K109 O109 S109 W109" formula="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pageSetUpPr fitToPage="1"/>
  </sheetPr>
  <dimension ref="A1:AE105"/>
  <sheetViews>
    <sheetView workbookViewId="0">
      <selection activeCell="C12" sqref="C12"/>
    </sheetView>
  </sheetViews>
  <sheetFormatPr baseColWidth="10" defaultColWidth="8.83203125" defaultRowHeight="13" x14ac:dyDescent="0.15"/>
  <cols>
    <col min="1" max="1" width="22.83203125" style="36" customWidth="1"/>
    <col min="2" max="2" width="11" style="36" customWidth="1"/>
    <col min="3" max="3" width="9.6640625" style="36" customWidth="1"/>
    <col min="4" max="4" width="1.83203125" style="36" customWidth="1"/>
    <col min="5" max="5" width="8.83203125" style="36"/>
    <col min="6" max="6" width="1.5" style="36" customWidth="1"/>
    <col min="7" max="7" width="8.83203125" style="36"/>
    <col min="8" max="8" width="1.5" style="36" customWidth="1"/>
    <col min="9" max="9" width="8.83203125" style="36"/>
    <col min="10" max="10" width="1.5" style="36" customWidth="1"/>
    <col min="11" max="11" width="21.5" style="36" customWidth="1"/>
    <col min="12" max="12" width="22.1640625" style="36" customWidth="1"/>
    <col min="13" max="13" width="3.83203125" style="36" customWidth="1"/>
    <col min="14" max="14" width="4.5" style="36" customWidth="1"/>
    <col min="15" max="21" width="9.6640625" style="37" customWidth="1"/>
    <col min="22" max="22" width="9.6640625" style="36" customWidth="1"/>
    <col min="23" max="16384" width="8.83203125" style="36"/>
  </cols>
  <sheetData>
    <row r="1" spans="1:31" ht="69" customHeight="1" thickBot="1" x14ac:dyDescent="0.2">
      <c r="A1" s="421" t="s">
        <v>158</v>
      </c>
      <c r="B1" s="422"/>
      <c r="C1" s="422"/>
      <c r="D1" s="422"/>
      <c r="E1" s="422"/>
      <c r="F1" s="422"/>
      <c r="G1" s="422"/>
      <c r="H1" s="422"/>
      <c r="I1" s="422"/>
      <c r="J1" s="422"/>
      <c r="K1" s="423"/>
    </row>
    <row r="3" spans="1:31" ht="25" x14ac:dyDescent="0.25">
      <c r="A3" s="35" t="s">
        <v>81</v>
      </c>
      <c r="L3" s="35" t="str">
        <f>A3</f>
        <v>Software Assurance Maturity Model (SAMM) Roadmap</v>
      </c>
    </row>
    <row r="4" spans="1:31" s="38" customFormat="1" ht="14" x14ac:dyDescent="0.15">
      <c r="A4" s="38" t="s">
        <v>20</v>
      </c>
      <c r="B4" s="523" t="str">
        <f>IF(ISBLANK(Interview!D10),"",Interview!D10)</f>
        <v/>
      </c>
      <c r="C4" s="523"/>
      <c r="L4" s="38" t="str">
        <f>B4</f>
        <v/>
      </c>
      <c r="O4" s="40"/>
      <c r="P4" s="40"/>
      <c r="Q4" s="40"/>
      <c r="R4" s="40"/>
      <c r="S4" s="40"/>
      <c r="T4" s="40"/>
      <c r="U4" s="40"/>
      <c r="Y4" s="38">
        <v>1</v>
      </c>
      <c r="Z4" s="38">
        <v>1</v>
      </c>
      <c r="AA4" s="38">
        <v>1</v>
      </c>
    </row>
    <row r="5" spans="1:31" s="38" customFormat="1" ht="14" x14ac:dyDescent="0.15">
      <c r="A5" s="38" t="s">
        <v>21</v>
      </c>
      <c r="B5" s="523" t="str">
        <f>IF(ISBLANK(Interview!D11),"",Interview!D11)</f>
        <v/>
      </c>
      <c r="C5" s="523"/>
      <c r="L5" s="38" t="str">
        <f>B5</f>
        <v/>
      </c>
      <c r="O5" s="40"/>
      <c r="P5" s="40"/>
      <c r="Q5" s="40"/>
      <c r="R5" s="40"/>
      <c r="S5" s="40"/>
      <c r="T5" s="40"/>
      <c r="U5" s="40"/>
    </row>
    <row r="6" spans="1:31" s="38" customFormat="1" ht="14" x14ac:dyDescent="0.15">
      <c r="A6" s="38" t="s">
        <v>82</v>
      </c>
      <c r="B6" s="39" t="s">
        <v>180</v>
      </c>
      <c r="L6" s="231" t="str">
        <f>B6</f>
        <v>v1.0</v>
      </c>
      <c r="O6" s="40"/>
      <c r="P6" s="40"/>
      <c r="Q6" s="40"/>
      <c r="R6" s="40"/>
      <c r="S6" s="40"/>
      <c r="T6" s="40"/>
      <c r="U6" s="40"/>
    </row>
    <row r="7" spans="1:31" s="38" customFormat="1" ht="14" x14ac:dyDescent="0.15">
      <c r="A7" s="38" t="s">
        <v>83</v>
      </c>
      <c r="B7" s="232">
        <v>42794</v>
      </c>
      <c r="O7" s="40"/>
      <c r="P7" s="40"/>
      <c r="Q7" s="40"/>
      <c r="R7" s="40"/>
      <c r="S7" s="40"/>
      <c r="T7" s="40"/>
      <c r="U7" s="40"/>
    </row>
    <row r="8" spans="1:31" s="38" customFormat="1" ht="14" x14ac:dyDescent="0.15">
      <c r="A8" s="38" t="s">
        <v>84</v>
      </c>
      <c r="B8" s="39" t="s">
        <v>181</v>
      </c>
      <c r="L8" s="217"/>
      <c r="M8" s="217"/>
      <c r="N8" s="217"/>
      <c r="O8" s="525"/>
      <c r="P8" s="525"/>
      <c r="Q8" s="525"/>
      <c r="R8" s="525"/>
      <c r="S8" s="525"/>
      <c r="T8" s="525"/>
      <c r="U8" s="525"/>
      <c r="V8" s="525"/>
    </row>
    <row r="9" spans="1:31" s="38" customFormat="1" ht="14" x14ac:dyDescent="0.15">
      <c r="L9" s="218"/>
      <c r="M9" s="218"/>
      <c r="N9" s="218"/>
      <c r="O9" s="525"/>
      <c r="P9" s="525"/>
      <c r="Q9" s="525"/>
      <c r="R9" s="525"/>
      <c r="S9" s="525"/>
      <c r="T9" s="525"/>
      <c r="U9" s="525"/>
      <c r="V9" s="525"/>
    </row>
    <row r="10" spans="1:31" s="38" customFormat="1" ht="15" thickBot="1" x14ac:dyDescent="0.2">
      <c r="A10" s="38" t="s">
        <v>85</v>
      </c>
      <c r="B10" s="41" t="s">
        <v>86</v>
      </c>
      <c r="I10" s="41" t="s">
        <v>87</v>
      </c>
      <c r="L10" s="219" t="s">
        <v>88</v>
      </c>
      <c r="M10" s="219"/>
      <c r="N10" s="219"/>
      <c r="O10" s="522"/>
      <c r="P10" s="522"/>
      <c r="Q10" s="522"/>
      <c r="R10" s="522"/>
      <c r="S10" s="522"/>
      <c r="T10" s="522"/>
      <c r="U10" s="522"/>
      <c r="V10" s="522"/>
    </row>
    <row r="11" spans="1:31" ht="14" thickBot="1" x14ac:dyDescent="0.2">
      <c r="A11" s="100" t="s">
        <v>89</v>
      </c>
      <c r="B11" s="101" t="s">
        <v>90</v>
      </c>
      <c r="C11" s="101" t="s">
        <v>140</v>
      </c>
      <c r="D11" s="102" t="s">
        <v>91</v>
      </c>
      <c r="E11" s="101" t="s">
        <v>141</v>
      </c>
      <c r="F11" s="102" t="s">
        <v>92</v>
      </c>
      <c r="G11" s="101" t="s">
        <v>142</v>
      </c>
      <c r="H11" s="102" t="s">
        <v>93</v>
      </c>
      <c r="I11" s="101" t="s">
        <v>143</v>
      </c>
      <c r="J11" s="42" t="s">
        <v>94</v>
      </c>
      <c r="K11" s="43" t="s">
        <v>95</v>
      </c>
      <c r="L11" s="220"/>
      <c r="M11" s="221"/>
      <c r="N11" s="221"/>
      <c r="O11" s="524" t="str">
        <f>C11</f>
        <v>Phase 1</v>
      </c>
      <c r="P11" s="524"/>
      <c r="Q11" s="524" t="str">
        <f>E11</f>
        <v>Phase 2</v>
      </c>
      <c r="R11" s="524"/>
      <c r="S11" s="524" t="str">
        <f>G11</f>
        <v>Phase 3</v>
      </c>
      <c r="T11" s="524"/>
      <c r="U11" s="524" t="str">
        <f>I11</f>
        <v>Phase 4</v>
      </c>
      <c r="V11" s="524"/>
      <c r="AA11" s="43" t="str">
        <f>I11</f>
        <v>Phase 4</v>
      </c>
      <c r="AB11" s="43" t="str">
        <f>G11</f>
        <v>Phase 3</v>
      </c>
      <c r="AC11" s="43" t="str">
        <f>E11</f>
        <v>Phase 2</v>
      </c>
      <c r="AD11" s="43" t="str">
        <f>C11</f>
        <v>Phase 1</v>
      </c>
      <c r="AE11" s="43" t="str">
        <f>B11</f>
        <v>Start</v>
      </c>
    </row>
    <row r="12" spans="1:31" ht="15" customHeight="1" x14ac:dyDescent="0.15">
      <c r="A12" s="97" t="s">
        <v>96</v>
      </c>
      <c r="B12" s="106">
        <f>IF(ISNUMBER(Interview!$J$18),Interview!$J$18,SUM(LEFT(Interview!$J$18),".5"))</f>
        <v>0</v>
      </c>
      <c r="C12" s="211">
        <f>Roadmap!M20</f>
        <v>0</v>
      </c>
      <c r="D12" s="44">
        <f>C12</f>
        <v>0</v>
      </c>
      <c r="E12" s="211">
        <f>Roadmap!Q20</f>
        <v>0</v>
      </c>
      <c r="F12" s="44">
        <f>E12</f>
        <v>0</v>
      </c>
      <c r="G12" s="211">
        <f>Roadmap!U20</f>
        <v>0</v>
      </c>
      <c r="H12" s="45">
        <f>G12</f>
        <v>0</v>
      </c>
      <c r="I12" s="211">
        <f>Roadmap!Y20</f>
        <v>0</v>
      </c>
      <c r="J12" s="45">
        <f>I12</f>
        <v>0</v>
      </c>
      <c r="K12" s="128">
        <f>IFERROR(I12-B12,I12-LEFT(B12,1))</f>
        <v>0</v>
      </c>
      <c r="L12" s="221"/>
      <c r="M12" s="221"/>
      <c r="N12" s="221"/>
      <c r="O12" s="221"/>
      <c r="P12" s="221"/>
      <c r="Q12" s="221"/>
      <c r="R12" s="221"/>
      <c r="S12" s="221"/>
      <c r="T12" s="221"/>
      <c r="U12" s="221"/>
      <c r="V12" s="221"/>
      <c r="Z12" s="36" t="str">
        <f>A12</f>
        <v>Strategy &amp; metrics</v>
      </c>
      <c r="AA12" s="129">
        <f>I12</f>
        <v>0</v>
      </c>
      <c r="AB12" s="129">
        <f>G12</f>
        <v>0</v>
      </c>
      <c r="AC12" s="129">
        <f>E12</f>
        <v>0</v>
      </c>
      <c r="AD12" s="129">
        <f>C12</f>
        <v>0</v>
      </c>
      <c r="AE12" s="129">
        <f>B12</f>
        <v>0</v>
      </c>
    </row>
    <row r="13" spans="1:31" ht="15" customHeight="1" x14ac:dyDescent="0.15">
      <c r="A13" s="98" t="s">
        <v>30</v>
      </c>
      <c r="B13" s="106">
        <f>IF(ISNUMBER(Interview!$J$32),Interview!$J$32,SUM(LEFT(Interview!$J$32),".5"))</f>
        <v>0</v>
      </c>
      <c r="C13" s="212">
        <f>Roadmap!M31</f>
        <v>0</v>
      </c>
      <c r="D13" s="44">
        <f>C13</f>
        <v>0</v>
      </c>
      <c r="E13" s="212">
        <f>Roadmap!Q31</f>
        <v>0</v>
      </c>
      <c r="F13" s="44">
        <f>E13</f>
        <v>0</v>
      </c>
      <c r="G13" s="212">
        <f>Roadmap!U31</f>
        <v>0</v>
      </c>
      <c r="H13" s="44">
        <f>G13</f>
        <v>0</v>
      </c>
      <c r="I13" s="212">
        <f>Roadmap!Y31</f>
        <v>0</v>
      </c>
      <c r="J13" s="44">
        <f>I13</f>
        <v>0</v>
      </c>
      <c r="K13" s="128">
        <f t="shared" ref="K13:K23" si="0">IFERROR(I13-B13,I13-LEFT(B13,1))</f>
        <v>0</v>
      </c>
      <c r="L13" s="221"/>
      <c r="M13" s="221"/>
      <c r="N13" s="221"/>
      <c r="O13" s="221"/>
      <c r="P13" s="221"/>
      <c r="Q13" s="221"/>
      <c r="R13" s="221"/>
      <c r="S13" s="221"/>
      <c r="T13" s="221"/>
      <c r="U13" s="221"/>
      <c r="V13" s="221"/>
      <c r="Z13" s="36" t="str">
        <f t="shared" ref="Z13:Z23" si="1">A13</f>
        <v>Policy &amp; Compliance</v>
      </c>
      <c r="AA13" s="129">
        <f t="shared" ref="AA13:AA23" si="2">I13</f>
        <v>0</v>
      </c>
      <c r="AB13" s="129">
        <f t="shared" ref="AB13:AB23" si="3">G13</f>
        <v>0</v>
      </c>
      <c r="AC13" s="129">
        <f t="shared" ref="AC13:AC23" si="4">E13</f>
        <v>0</v>
      </c>
      <c r="AD13" s="129">
        <f t="shared" ref="AD13:AD23" si="5">C13</f>
        <v>0</v>
      </c>
      <c r="AE13" s="129">
        <f t="shared" ref="AE13:AE23" si="6">B13</f>
        <v>0</v>
      </c>
    </row>
    <row r="14" spans="1:31" ht="15" customHeight="1" x14ac:dyDescent="0.15">
      <c r="A14" s="99" t="s">
        <v>34</v>
      </c>
      <c r="B14" s="107">
        <f>IF(ISNUMBER(Interview!$J$46),Interview!$J$46,SUM(LEFT(Interview!$J$46),".5"))</f>
        <v>0</v>
      </c>
      <c r="C14" s="213">
        <f>Roadmap!M40</f>
        <v>0</v>
      </c>
      <c r="D14" s="46">
        <f>C14</f>
        <v>0</v>
      </c>
      <c r="E14" s="213">
        <f>Roadmap!Q40</f>
        <v>0</v>
      </c>
      <c r="F14" s="46">
        <f>E14</f>
        <v>0</v>
      </c>
      <c r="G14" s="213">
        <f>Roadmap!U40</f>
        <v>0</v>
      </c>
      <c r="H14" s="46">
        <f>G14</f>
        <v>0</v>
      </c>
      <c r="I14" s="213">
        <f>Roadmap!Y40</f>
        <v>0</v>
      </c>
      <c r="J14" s="46">
        <f>I14</f>
        <v>0</v>
      </c>
      <c r="K14" s="128">
        <f t="shared" si="0"/>
        <v>0</v>
      </c>
      <c r="L14" s="221"/>
      <c r="M14" s="221"/>
      <c r="N14" s="221"/>
      <c r="O14" s="221"/>
      <c r="P14" s="221"/>
      <c r="Q14" s="221"/>
      <c r="R14" s="221"/>
      <c r="S14" s="221"/>
      <c r="T14" s="221"/>
      <c r="U14" s="221"/>
      <c r="V14" s="221"/>
      <c r="Z14" s="36" t="str">
        <f t="shared" si="1"/>
        <v>Education &amp; Guidance</v>
      </c>
      <c r="AA14" s="129">
        <f t="shared" si="2"/>
        <v>0</v>
      </c>
      <c r="AB14" s="129">
        <f t="shared" si="3"/>
        <v>0</v>
      </c>
      <c r="AC14" s="129">
        <f t="shared" si="4"/>
        <v>0</v>
      </c>
      <c r="AD14" s="129">
        <f t="shared" si="5"/>
        <v>0</v>
      </c>
      <c r="AE14" s="129">
        <f t="shared" si="6"/>
        <v>0</v>
      </c>
    </row>
    <row r="15" spans="1:31" ht="15" customHeight="1" x14ac:dyDescent="0.15">
      <c r="A15" s="94" t="s">
        <v>39</v>
      </c>
      <c r="B15" s="106">
        <f>IF(ISNUMBER(Interview!$J$61),Interview!$J$61,SUM(LEFT(Interview!$J$61),".5"))</f>
        <v>0</v>
      </c>
      <c r="C15" s="214">
        <f>Roadmap!M50</f>
        <v>0</v>
      </c>
      <c r="D15" s="47">
        <f>C15</f>
        <v>0</v>
      </c>
      <c r="E15" s="214">
        <f>Roadmap!Q50</f>
        <v>0</v>
      </c>
      <c r="F15" s="47">
        <f>E15</f>
        <v>0</v>
      </c>
      <c r="G15" s="214">
        <f>Roadmap!U50</f>
        <v>0</v>
      </c>
      <c r="H15" s="47">
        <f>G15</f>
        <v>0</v>
      </c>
      <c r="I15" s="214">
        <f>Roadmap!Y50</f>
        <v>0</v>
      </c>
      <c r="J15" s="47">
        <f>I15</f>
        <v>0</v>
      </c>
      <c r="K15" s="128">
        <f t="shared" si="0"/>
        <v>0</v>
      </c>
      <c r="L15" s="221"/>
      <c r="M15" s="221"/>
      <c r="N15" s="221"/>
      <c r="O15" s="221"/>
      <c r="P15" s="221"/>
      <c r="Q15" s="221"/>
      <c r="R15" s="221"/>
      <c r="S15" s="221"/>
      <c r="T15" s="221"/>
      <c r="U15" s="221"/>
      <c r="V15" s="221"/>
      <c r="Z15" s="36" t="str">
        <f t="shared" si="1"/>
        <v>Threat Assessment</v>
      </c>
      <c r="AA15" s="129">
        <f t="shared" si="2"/>
        <v>0</v>
      </c>
      <c r="AB15" s="129">
        <f t="shared" si="3"/>
        <v>0</v>
      </c>
      <c r="AC15" s="129">
        <f t="shared" si="4"/>
        <v>0</v>
      </c>
      <c r="AD15" s="129">
        <f t="shared" si="5"/>
        <v>0</v>
      </c>
      <c r="AE15" s="129">
        <f t="shared" si="6"/>
        <v>0</v>
      </c>
    </row>
    <row r="16" spans="1:31" ht="15" customHeight="1" x14ac:dyDescent="0.15">
      <c r="A16" s="95" t="s">
        <v>43</v>
      </c>
      <c r="B16" s="106">
        <f>IF(ISNUMBER(Interview!$J75),Interview!$J$75,SUM(LEFT(Interview!$J$75),".5"))</f>
        <v>0</v>
      </c>
      <c r="C16" s="212">
        <f>Roadmap!M60</f>
        <v>0</v>
      </c>
      <c r="D16" s="44">
        <f t="shared" ref="D16:D23" si="7">C16</f>
        <v>0</v>
      </c>
      <c r="E16" s="212">
        <f>Roadmap!Q60</f>
        <v>0</v>
      </c>
      <c r="F16" s="44">
        <f t="shared" ref="F16:F23" si="8">E16</f>
        <v>0</v>
      </c>
      <c r="G16" s="212">
        <f>Roadmap!U60</f>
        <v>0</v>
      </c>
      <c r="H16" s="44">
        <f t="shared" ref="H16:H23" si="9">G16</f>
        <v>0</v>
      </c>
      <c r="I16" s="212">
        <f>Roadmap!Y60</f>
        <v>0</v>
      </c>
      <c r="J16" s="44">
        <f t="shared" ref="J16:J23" si="10">I16</f>
        <v>0</v>
      </c>
      <c r="K16" s="128">
        <f t="shared" si="0"/>
        <v>0</v>
      </c>
      <c r="L16" s="221"/>
      <c r="M16" s="221"/>
      <c r="N16" s="221"/>
      <c r="O16" s="221"/>
      <c r="P16" s="221"/>
      <c r="Q16" s="221"/>
      <c r="R16" s="221"/>
      <c r="S16" s="221"/>
      <c r="T16" s="221"/>
      <c r="U16" s="221"/>
      <c r="V16" s="221"/>
      <c r="Z16" s="36" t="str">
        <f t="shared" si="1"/>
        <v>Security Requirements</v>
      </c>
      <c r="AA16" s="129">
        <f t="shared" si="2"/>
        <v>0</v>
      </c>
      <c r="AB16" s="129">
        <f t="shared" si="3"/>
        <v>0</v>
      </c>
      <c r="AC16" s="129">
        <f t="shared" si="4"/>
        <v>0</v>
      </c>
      <c r="AD16" s="129">
        <f t="shared" si="5"/>
        <v>0</v>
      </c>
      <c r="AE16" s="129">
        <f t="shared" si="6"/>
        <v>0</v>
      </c>
    </row>
    <row r="17" spans="1:31" x14ac:dyDescent="0.15">
      <c r="A17" s="96" t="s">
        <v>47</v>
      </c>
      <c r="B17" s="107">
        <f>IF(ISNUMBER(Interview!$J$89),Interview!$J$89,SUM(LEFT(Interview!$J$89),".5"))</f>
        <v>0</v>
      </c>
      <c r="C17" s="213">
        <f>Roadmap!M69</f>
        <v>0</v>
      </c>
      <c r="D17" s="46">
        <f t="shared" si="7"/>
        <v>0</v>
      </c>
      <c r="E17" s="213">
        <f>Roadmap!Q69</f>
        <v>0</v>
      </c>
      <c r="F17" s="46">
        <f t="shared" si="8"/>
        <v>0</v>
      </c>
      <c r="G17" s="213">
        <f>Roadmap!U69</f>
        <v>0</v>
      </c>
      <c r="H17" s="46">
        <f t="shared" si="9"/>
        <v>0</v>
      </c>
      <c r="I17" s="213">
        <f>Roadmap!Y69</f>
        <v>0</v>
      </c>
      <c r="J17" s="46">
        <f t="shared" si="10"/>
        <v>0</v>
      </c>
      <c r="K17" s="128">
        <f t="shared" si="0"/>
        <v>0</v>
      </c>
      <c r="L17" s="221" t="str">
        <f>A12</f>
        <v>Strategy &amp; metrics</v>
      </c>
      <c r="M17" s="221"/>
      <c r="N17" s="221"/>
      <c r="O17" s="221"/>
      <c r="P17" s="221"/>
      <c r="Q17" s="221"/>
      <c r="R17" s="221"/>
      <c r="S17" s="221"/>
      <c r="T17" s="221"/>
      <c r="U17" s="221"/>
      <c r="V17" s="221"/>
      <c r="Z17" s="36" t="str">
        <f t="shared" si="1"/>
        <v>Secure Architecture</v>
      </c>
      <c r="AA17" s="129">
        <f t="shared" si="2"/>
        <v>0</v>
      </c>
      <c r="AB17" s="129">
        <f t="shared" si="3"/>
        <v>0</v>
      </c>
      <c r="AC17" s="129">
        <f t="shared" si="4"/>
        <v>0</v>
      </c>
      <c r="AD17" s="129">
        <f t="shared" si="5"/>
        <v>0</v>
      </c>
      <c r="AE17" s="129">
        <f t="shared" si="6"/>
        <v>0</v>
      </c>
    </row>
    <row r="18" spans="1:31" x14ac:dyDescent="0.15">
      <c r="A18" s="91" t="s">
        <v>52</v>
      </c>
      <c r="B18" s="106">
        <f>IF(ISNUMBER(Interview!$J$147),Interview!$J$147,SUM(LEFT(Interview!$J$147),".5"))</f>
        <v>0</v>
      </c>
      <c r="C18" s="214">
        <f>Roadmap!M79</f>
        <v>0</v>
      </c>
      <c r="D18" s="47">
        <f t="shared" si="7"/>
        <v>0</v>
      </c>
      <c r="E18" s="214">
        <f>Roadmap!Q79</f>
        <v>0</v>
      </c>
      <c r="F18" s="47">
        <f t="shared" si="8"/>
        <v>0</v>
      </c>
      <c r="G18" s="214">
        <f>Roadmap!U79</f>
        <v>0</v>
      </c>
      <c r="H18" s="47">
        <f t="shared" si="9"/>
        <v>0</v>
      </c>
      <c r="I18" s="214">
        <f>Roadmap!Y79</f>
        <v>0</v>
      </c>
      <c r="J18" s="47">
        <f t="shared" si="10"/>
        <v>0</v>
      </c>
      <c r="K18" s="128">
        <f t="shared" si="0"/>
        <v>0</v>
      </c>
      <c r="L18" s="221"/>
      <c r="M18" s="221"/>
      <c r="N18" s="221"/>
      <c r="O18" s="221"/>
      <c r="P18" s="221"/>
      <c r="Q18" s="221"/>
      <c r="R18" s="221"/>
      <c r="S18" s="221"/>
      <c r="T18" s="221"/>
      <c r="U18" s="221"/>
      <c r="V18" s="221"/>
      <c r="Z18" s="36" t="str">
        <f t="shared" si="1"/>
        <v>Design Review</v>
      </c>
      <c r="AA18" s="129">
        <f t="shared" si="2"/>
        <v>0</v>
      </c>
      <c r="AB18" s="129">
        <f t="shared" si="3"/>
        <v>0</v>
      </c>
      <c r="AC18" s="129">
        <f t="shared" si="4"/>
        <v>0</v>
      </c>
      <c r="AD18" s="129">
        <f t="shared" si="5"/>
        <v>0</v>
      </c>
      <c r="AE18" s="129">
        <f t="shared" si="6"/>
        <v>0</v>
      </c>
    </row>
    <row r="19" spans="1:31" x14ac:dyDescent="0.15">
      <c r="A19" s="92" t="s">
        <v>80</v>
      </c>
      <c r="B19" s="106">
        <f>IF(ISNUMBER(Interview!$J$161),Interview!$J$161,SUM(LEFT(Interview!$J$161),".5"))</f>
        <v>0</v>
      </c>
      <c r="C19" s="212">
        <f>Roadmap!M88</f>
        <v>0</v>
      </c>
      <c r="D19" s="44">
        <f t="shared" si="7"/>
        <v>0</v>
      </c>
      <c r="E19" s="212">
        <f>Roadmap!Q88</f>
        <v>0</v>
      </c>
      <c r="F19" s="44">
        <f t="shared" si="8"/>
        <v>0</v>
      </c>
      <c r="G19" s="212">
        <f>Roadmap!U88</f>
        <v>0</v>
      </c>
      <c r="H19" s="44">
        <f t="shared" si="9"/>
        <v>0</v>
      </c>
      <c r="I19" s="212">
        <f>Roadmap!Y88</f>
        <v>0</v>
      </c>
      <c r="J19" s="44">
        <f t="shared" si="10"/>
        <v>0</v>
      </c>
      <c r="K19" s="128">
        <f t="shared" si="0"/>
        <v>0</v>
      </c>
      <c r="L19" s="221"/>
      <c r="M19" s="221"/>
      <c r="N19" s="221"/>
      <c r="O19" s="221"/>
      <c r="P19" s="221"/>
      <c r="Q19" s="221"/>
      <c r="R19" s="221"/>
      <c r="S19" s="221"/>
      <c r="T19" s="221"/>
      <c r="U19" s="221"/>
      <c r="V19" s="221"/>
      <c r="Z19" s="36" t="str">
        <f t="shared" si="1"/>
        <v>Implementation Review</v>
      </c>
      <c r="AA19" s="129">
        <f t="shared" si="2"/>
        <v>0</v>
      </c>
      <c r="AB19" s="129">
        <f t="shared" si="3"/>
        <v>0</v>
      </c>
      <c r="AC19" s="129">
        <f t="shared" si="4"/>
        <v>0</v>
      </c>
      <c r="AD19" s="129">
        <f t="shared" si="5"/>
        <v>0</v>
      </c>
      <c r="AE19" s="129">
        <f t="shared" si="6"/>
        <v>0</v>
      </c>
    </row>
    <row r="20" spans="1:31" x14ac:dyDescent="0.15">
      <c r="A20" s="93" t="s">
        <v>56</v>
      </c>
      <c r="B20" s="107">
        <f>IF(ISNUMBER(Interview!$J$175),Interview!$J$175,SUM(LEFT(Interview!$J$175),".5"))</f>
        <v>0</v>
      </c>
      <c r="C20" s="213">
        <f>Roadmap!M97</f>
        <v>0</v>
      </c>
      <c r="D20" s="46">
        <f t="shared" si="7"/>
        <v>0</v>
      </c>
      <c r="E20" s="213">
        <f>Roadmap!Q97</f>
        <v>0</v>
      </c>
      <c r="F20" s="46">
        <f t="shared" si="8"/>
        <v>0</v>
      </c>
      <c r="G20" s="213">
        <f>Roadmap!U97</f>
        <v>0</v>
      </c>
      <c r="H20" s="46">
        <f t="shared" si="9"/>
        <v>0</v>
      </c>
      <c r="I20" s="213">
        <f>Roadmap!Y97</f>
        <v>0</v>
      </c>
      <c r="J20" s="46">
        <f t="shared" si="10"/>
        <v>0</v>
      </c>
      <c r="K20" s="128">
        <f t="shared" si="0"/>
        <v>0</v>
      </c>
      <c r="L20" s="221"/>
      <c r="M20" s="221"/>
      <c r="N20" s="221"/>
      <c r="O20" s="221"/>
      <c r="P20" s="221"/>
      <c r="Q20" s="221"/>
      <c r="R20" s="221"/>
      <c r="S20" s="221"/>
      <c r="T20" s="221"/>
      <c r="U20" s="221"/>
      <c r="V20" s="221"/>
      <c r="Z20" s="36" t="str">
        <f t="shared" si="1"/>
        <v>Security Testing</v>
      </c>
      <c r="AA20" s="129">
        <f t="shared" si="2"/>
        <v>0</v>
      </c>
      <c r="AB20" s="129">
        <f t="shared" si="3"/>
        <v>0</v>
      </c>
      <c r="AC20" s="129">
        <f t="shared" si="4"/>
        <v>0</v>
      </c>
      <c r="AD20" s="129">
        <f t="shared" si="5"/>
        <v>0</v>
      </c>
      <c r="AE20" s="129">
        <f t="shared" si="6"/>
        <v>0</v>
      </c>
    </row>
    <row r="21" spans="1:31" x14ac:dyDescent="0.15">
      <c r="A21" s="88" t="s">
        <v>73</v>
      </c>
      <c r="B21" s="106">
        <f>IF(ISNUMBER(Interview!$J$190),Interview!$J$190,SUM(LEFT(Interview!$J$190),".5"))</f>
        <v>0</v>
      </c>
      <c r="C21" s="214">
        <f>Roadmap!M108</f>
        <v>0</v>
      </c>
      <c r="D21" s="47">
        <f t="shared" si="7"/>
        <v>0</v>
      </c>
      <c r="E21" s="214">
        <f>Roadmap!Q108</f>
        <v>0</v>
      </c>
      <c r="F21" s="47">
        <f t="shared" si="8"/>
        <v>0</v>
      </c>
      <c r="G21" s="214">
        <f>Roadmap!U108</f>
        <v>0</v>
      </c>
      <c r="H21" s="47">
        <f t="shared" si="9"/>
        <v>0</v>
      </c>
      <c r="I21" s="214">
        <f>Roadmap!Y108</f>
        <v>0</v>
      </c>
      <c r="J21" s="47">
        <f t="shared" si="10"/>
        <v>0</v>
      </c>
      <c r="K21" s="128">
        <f t="shared" si="0"/>
        <v>0</v>
      </c>
      <c r="L21" s="221"/>
      <c r="M21" s="221"/>
      <c r="N21" s="221"/>
      <c r="O21" s="221"/>
      <c r="P21" s="221"/>
      <c r="Q21" s="221"/>
      <c r="R21" s="221"/>
      <c r="S21" s="221"/>
      <c r="T21" s="221"/>
      <c r="U21" s="221"/>
      <c r="V21" s="221"/>
      <c r="Z21" s="36" t="str">
        <f t="shared" si="1"/>
        <v>Issue Management</v>
      </c>
      <c r="AA21" s="129">
        <f t="shared" si="2"/>
        <v>0</v>
      </c>
      <c r="AB21" s="129">
        <f t="shared" si="3"/>
        <v>0</v>
      </c>
      <c r="AC21" s="129">
        <f t="shared" si="4"/>
        <v>0</v>
      </c>
      <c r="AD21" s="129">
        <f t="shared" si="5"/>
        <v>0</v>
      </c>
      <c r="AE21" s="129">
        <f t="shared" si="6"/>
        <v>0</v>
      </c>
    </row>
    <row r="22" spans="1:31" x14ac:dyDescent="0.15">
      <c r="A22" s="89" t="s">
        <v>60</v>
      </c>
      <c r="B22" s="106">
        <f>IF(ISNUMBER(Interview!$J$204),Interview!$J$204,SUM(LEFT(Interview!$J$204),".5"))</f>
        <v>0</v>
      </c>
      <c r="C22" s="212">
        <f>Roadmap!M118</f>
        <v>0</v>
      </c>
      <c r="D22" s="44">
        <f t="shared" si="7"/>
        <v>0</v>
      </c>
      <c r="E22" s="212">
        <f>Roadmap!Q118</f>
        <v>0</v>
      </c>
      <c r="F22" s="44">
        <f t="shared" si="8"/>
        <v>0</v>
      </c>
      <c r="G22" s="212">
        <f>Roadmap!U118</f>
        <v>0</v>
      </c>
      <c r="H22" s="44">
        <f t="shared" si="9"/>
        <v>0</v>
      </c>
      <c r="I22" s="212">
        <f>Roadmap!Y118</f>
        <v>0</v>
      </c>
      <c r="J22" s="44">
        <f t="shared" si="10"/>
        <v>0</v>
      </c>
      <c r="K22" s="128">
        <f t="shared" si="0"/>
        <v>0</v>
      </c>
      <c r="L22" s="221"/>
      <c r="M22" s="221"/>
      <c r="N22" s="221"/>
      <c r="O22" s="221"/>
      <c r="P22" s="221"/>
      <c r="Q22" s="221"/>
      <c r="R22" s="221"/>
      <c r="S22" s="221"/>
      <c r="T22" s="221"/>
      <c r="U22" s="221"/>
      <c r="V22" s="221"/>
      <c r="Z22" s="36" t="str">
        <f t="shared" si="1"/>
        <v>Environment Hardening</v>
      </c>
      <c r="AA22" s="129">
        <f t="shared" si="2"/>
        <v>0</v>
      </c>
      <c r="AB22" s="129">
        <f t="shared" si="3"/>
        <v>0</v>
      </c>
      <c r="AC22" s="129">
        <f t="shared" si="4"/>
        <v>0</v>
      </c>
      <c r="AD22" s="129">
        <f t="shared" si="5"/>
        <v>0</v>
      </c>
      <c r="AE22" s="129">
        <f t="shared" si="6"/>
        <v>0</v>
      </c>
    </row>
    <row r="23" spans="1:31" ht="14" thickBot="1" x14ac:dyDescent="0.2">
      <c r="A23" s="90" t="s">
        <v>0</v>
      </c>
      <c r="B23" s="108">
        <f>IF(ISNUMBER(Interview!$J$218),Interview!$J$218,SUM(LEFT(Interview!$J$218),".5"))</f>
        <v>0</v>
      </c>
      <c r="C23" s="215">
        <f>Roadmap!M127</f>
        <v>0</v>
      </c>
      <c r="D23" s="48">
        <f t="shared" si="7"/>
        <v>0</v>
      </c>
      <c r="E23" s="215">
        <f>Roadmap!Q127</f>
        <v>0</v>
      </c>
      <c r="F23" s="48">
        <f t="shared" si="8"/>
        <v>0</v>
      </c>
      <c r="G23" s="215">
        <f>Roadmap!U127</f>
        <v>0</v>
      </c>
      <c r="H23" s="48">
        <f t="shared" si="9"/>
        <v>0</v>
      </c>
      <c r="I23" s="215">
        <f>Roadmap!Y127</f>
        <v>0</v>
      </c>
      <c r="J23" s="48">
        <f t="shared" si="10"/>
        <v>0</v>
      </c>
      <c r="K23" s="128">
        <f t="shared" si="0"/>
        <v>0</v>
      </c>
      <c r="L23" s="221"/>
      <c r="M23" s="221"/>
      <c r="N23" s="221"/>
      <c r="O23" s="221"/>
      <c r="P23" s="221"/>
      <c r="Q23" s="221"/>
      <c r="R23" s="221"/>
      <c r="S23" s="221"/>
      <c r="T23" s="221"/>
      <c r="U23" s="221"/>
      <c r="V23" s="221"/>
      <c r="Z23" s="36" t="str">
        <f t="shared" si="1"/>
        <v>Operational Enablement</v>
      </c>
      <c r="AA23" s="129">
        <f t="shared" si="2"/>
        <v>0</v>
      </c>
      <c r="AB23" s="129">
        <f t="shared" si="3"/>
        <v>0</v>
      </c>
      <c r="AC23" s="129">
        <f t="shared" si="4"/>
        <v>0</v>
      </c>
      <c r="AD23" s="129">
        <f t="shared" si="5"/>
        <v>0</v>
      </c>
      <c r="AE23" s="129">
        <f t="shared" si="6"/>
        <v>0</v>
      </c>
    </row>
    <row r="24" spans="1:31" x14ac:dyDescent="0.15">
      <c r="L24" s="221" t="str">
        <f>A13</f>
        <v>Policy &amp; Compliance</v>
      </c>
      <c r="M24" s="221"/>
      <c r="N24" s="221"/>
      <c r="O24" s="221"/>
      <c r="P24" s="221"/>
      <c r="Q24" s="221"/>
      <c r="R24" s="221"/>
      <c r="S24" s="221"/>
      <c r="T24" s="221"/>
      <c r="U24" s="221"/>
      <c r="V24" s="221"/>
    </row>
    <row r="25" spans="1:31" x14ac:dyDescent="0.15">
      <c r="B25" s="49" t="s">
        <v>97</v>
      </c>
      <c r="C25" s="129">
        <f>SUM(C12:C23)-SUM(B12:B23)</f>
        <v>0</v>
      </c>
      <c r="D25" s="129"/>
      <c r="E25" s="129">
        <f>SUM(E12:E23)-SUM(C12:C23)</f>
        <v>0</v>
      </c>
      <c r="F25" s="129"/>
      <c r="G25" s="129">
        <f>SUM(G12:G23)-SUM(E12:E23)</f>
        <v>0</v>
      </c>
      <c r="H25" s="129"/>
      <c r="I25" s="129">
        <f>SUM(I12:I23)-SUM(G12:G23)</f>
        <v>0</v>
      </c>
      <c r="J25" s="129"/>
      <c r="K25" s="128">
        <f>SUM(K12:K23)</f>
        <v>0</v>
      </c>
      <c r="L25" s="221"/>
      <c r="M25" s="221"/>
      <c r="N25" s="221"/>
      <c r="O25" s="221"/>
      <c r="P25" s="221"/>
      <c r="Q25" s="221"/>
      <c r="R25" s="221"/>
      <c r="S25" s="221"/>
      <c r="T25" s="221"/>
      <c r="U25" s="221"/>
      <c r="V25" s="221"/>
    </row>
    <row r="26" spans="1:31" x14ac:dyDescent="0.15">
      <c r="B26" s="49"/>
      <c r="C26" s="50" t="e">
        <f>C25/$K$25</f>
        <v>#DIV/0!</v>
      </c>
      <c r="E26" s="50" t="e">
        <f>E25/$K$25</f>
        <v>#DIV/0!</v>
      </c>
      <c r="G26" s="50" t="e">
        <f>G25/$K$25</f>
        <v>#DIV/0!</v>
      </c>
      <c r="I26" s="50" t="e">
        <f>I25/$K$25</f>
        <v>#DIV/0!</v>
      </c>
      <c r="K26" s="51">
        <f>1-K25/24</f>
        <v>1</v>
      </c>
      <c r="L26" s="221"/>
      <c r="M26" s="221"/>
      <c r="N26" s="221"/>
      <c r="O26" s="221"/>
      <c r="P26" s="221"/>
      <c r="Q26" s="221"/>
      <c r="R26" s="221"/>
      <c r="S26" s="221"/>
      <c r="T26" s="221"/>
      <c r="U26" s="221"/>
      <c r="V26" s="221"/>
    </row>
    <row r="27" spans="1:31" x14ac:dyDescent="0.15">
      <c r="B27" s="49"/>
      <c r="L27" s="221"/>
      <c r="M27" s="221"/>
      <c r="N27" s="221"/>
      <c r="O27" s="221"/>
      <c r="P27" s="221"/>
      <c r="Q27" s="221"/>
      <c r="R27" s="221"/>
      <c r="S27" s="221"/>
      <c r="T27" s="221"/>
      <c r="U27" s="221"/>
      <c r="V27" s="221"/>
    </row>
    <row r="28" spans="1:31" ht="14" thickBot="1" x14ac:dyDescent="0.2">
      <c r="L28" s="221"/>
      <c r="M28" s="221"/>
      <c r="N28" s="221"/>
      <c r="O28" s="221"/>
      <c r="P28" s="221"/>
      <c r="Q28" s="221"/>
      <c r="R28" s="221"/>
      <c r="S28" s="221"/>
      <c r="T28" s="221"/>
      <c r="U28" s="221"/>
      <c r="V28" s="221"/>
    </row>
    <row r="29" spans="1:31" x14ac:dyDescent="0.15">
      <c r="A29" s="52" t="s">
        <v>98</v>
      </c>
      <c r="B29" s="53">
        <v>0</v>
      </c>
      <c r="L29" s="221"/>
      <c r="M29" s="221"/>
      <c r="N29" s="221"/>
      <c r="O29" s="221"/>
      <c r="P29" s="221"/>
      <c r="Q29" s="221"/>
      <c r="R29" s="221"/>
      <c r="S29" s="221"/>
      <c r="T29" s="221"/>
      <c r="U29" s="221"/>
      <c r="V29" s="221"/>
    </row>
    <row r="30" spans="1:31" x14ac:dyDescent="0.15">
      <c r="A30" s="54"/>
      <c r="B30" s="55">
        <v>0.5</v>
      </c>
      <c r="L30" s="221"/>
      <c r="M30" s="221"/>
      <c r="N30" s="221"/>
      <c r="O30" s="221"/>
      <c r="P30" s="221"/>
      <c r="Q30" s="221"/>
      <c r="R30" s="221"/>
      <c r="S30" s="221"/>
      <c r="T30" s="221"/>
      <c r="U30" s="221"/>
      <c r="V30" s="221"/>
    </row>
    <row r="31" spans="1:31" x14ac:dyDescent="0.15">
      <c r="A31" s="54"/>
      <c r="B31" s="55">
        <v>1</v>
      </c>
      <c r="L31" s="221" t="str">
        <f>A14</f>
        <v>Education &amp; Guidance</v>
      </c>
      <c r="M31" s="221"/>
      <c r="N31" s="221"/>
      <c r="O31" s="221"/>
      <c r="P31" s="221"/>
      <c r="Q31" s="221"/>
      <c r="R31" s="221"/>
      <c r="S31" s="221"/>
      <c r="T31" s="221"/>
      <c r="U31" s="221"/>
      <c r="V31" s="221"/>
    </row>
    <row r="32" spans="1:31" x14ac:dyDescent="0.15">
      <c r="A32" s="54"/>
      <c r="B32" s="55">
        <v>1.5</v>
      </c>
      <c r="L32" s="221"/>
      <c r="M32" s="221"/>
      <c r="N32" s="221"/>
      <c r="O32" s="221"/>
      <c r="P32" s="221"/>
      <c r="Q32" s="221"/>
      <c r="R32" s="221"/>
      <c r="S32" s="221"/>
      <c r="T32" s="221"/>
      <c r="U32" s="221"/>
      <c r="V32" s="221"/>
    </row>
    <row r="33" spans="1:22" x14ac:dyDescent="0.15">
      <c r="A33" s="54"/>
      <c r="B33" s="55">
        <v>2</v>
      </c>
      <c r="L33" s="221"/>
      <c r="M33" s="221"/>
      <c r="N33" s="221"/>
      <c r="O33" s="221"/>
      <c r="P33" s="221"/>
      <c r="Q33" s="221"/>
      <c r="R33" s="221"/>
      <c r="S33" s="221"/>
      <c r="T33" s="221"/>
      <c r="U33" s="221"/>
      <c r="V33" s="221"/>
    </row>
    <row r="34" spans="1:22" x14ac:dyDescent="0.15">
      <c r="A34" s="54"/>
      <c r="B34" s="55">
        <v>2.5</v>
      </c>
      <c r="L34" s="221"/>
      <c r="M34" s="221"/>
      <c r="N34" s="221"/>
      <c r="O34" s="221"/>
      <c r="P34" s="221"/>
      <c r="Q34" s="221"/>
      <c r="R34" s="221"/>
      <c r="S34" s="221"/>
      <c r="T34" s="221"/>
      <c r="U34" s="221"/>
      <c r="V34" s="221"/>
    </row>
    <row r="35" spans="1:22" ht="14" thickBot="1" x14ac:dyDescent="0.2">
      <c r="A35" s="56"/>
      <c r="B35" s="57">
        <v>3</v>
      </c>
      <c r="L35" s="221"/>
      <c r="M35" s="221"/>
      <c r="N35" s="221"/>
      <c r="O35" s="221"/>
      <c r="P35" s="221"/>
      <c r="Q35" s="221"/>
      <c r="R35" s="221"/>
      <c r="S35" s="221"/>
      <c r="T35" s="221"/>
      <c r="U35" s="221"/>
      <c r="V35" s="221"/>
    </row>
    <row r="36" spans="1:22" x14ac:dyDescent="0.15">
      <c r="L36" s="221"/>
      <c r="M36" s="221"/>
      <c r="N36" s="221"/>
      <c r="O36" s="221"/>
      <c r="P36" s="221"/>
      <c r="Q36" s="221"/>
      <c r="R36" s="221"/>
      <c r="S36" s="221"/>
      <c r="T36" s="221"/>
      <c r="U36" s="221"/>
      <c r="V36" s="221"/>
    </row>
    <row r="37" spans="1:22" x14ac:dyDescent="0.15">
      <c r="L37" s="221"/>
      <c r="M37" s="221"/>
      <c r="N37" s="221"/>
      <c r="O37" s="221"/>
      <c r="P37" s="221"/>
      <c r="Q37" s="221"/>
      <c r="R37" s="221"/>
      <c r="S37" s="221"/>
      <c r="T37" s="221"/>
      <c r="U37" s="221"/>
      <c r="V37" s="221"/>
    </row>
    <row r="38" spans="1:22" x14ac:dyDescent="0.15">
      <c r="L38" s="221" t="str">
        <f>A15</f>
        <v>Threat Assessment</v>
      </c>
      <c r="M38" s="221"/>
      <c r="N38" s="221"/>
      <c r="O38" s="221"/>
      <c r="P38" s="221"/>
      <c r="Q38" s="221"/>
      <c r="R38" s="221"/>
      <c r="S38" s="221"/>
      <c r="T38" s="221"/>
      <c r="U38" s="221"/>
      <c r="V38" s="221"/>
    </row>
    <row r="39" spans="1:22" x14ac:dyDescent="0.15">
      <c r="L39" s="221"/>
      <c r="M39" s="221"/>
      <c r="N39" s="221"/>
      <c r="O39" s="221"/>
      <c r="P39" s="221"/>
      <c r="Q39" s="221"/>
      <c r="R39" s="221"/>
      <c r="S39" s="221"/>
      <c r="T39" s="221"/>
      <c r="U39" s="221"/>
      <c r="V39" s="221"/>
    </row>
    <row r="40" spans="1:22" x14ac:dyDescent="0.15">
      <c r="L40" s="221"/>
      <c r="M40" s="221"/>
      <c r="N40" s="221"/>
      <c r="O40" s="221"/>
      <c r="P40" s="221"/>
      <c r="Q40" s="221"/>
      <c r="R40" s="221"/>
      <c r="S40" s="221"/>
      <c r="T40" s="221"/>
      <c r="U40" s="221"/>
      <c r="V40" s="221"/>
    </row>
    <row r="41" spans="1:22" x14ac:dyDescent="0.15">
      <c r="L41" s="221"/>
      <c r="M41" s="221"/>
      <c r="N41" s="221"/>
      <c r="O41" s="221"/>
      <c r="P41" s="221"/>
      <c r="Q41" s="221"/>
      <c r="R41" s="221"/>
      <c r="S41" s="221"/>
      <c r="T41" s="221"/>
      <c r="U41" s="221"/>
      <c r="V41" s="221"/>
    </row>
    <row r="42" spans="1:22" x14ac:dyDescent="0.15">
      <c r="L42" s="221"/>
      <c r="M42" s="221"/>
      <c r="N42" s="221"/>
      <c r="O42" s="221"/>
      <c r="P42" s="221"/>
      <c r="Q42" s="221"/>
      <c r="R42" s="221"/>
      <c r="S42" s="221"/>
      <c r="T42" s="221"/>
      <c r="U42" s="221"/>
      <c r="V42" s="221"/>
    </row>
    <row r="43" spans="1:22" x14ac:dyDescent="0.15">
      <c r="L43" s="221"/>
      <c r="M43" s="221"/>
      <c r="N43" s="221"/>
      <c r="O43" s="221"/>
      <c r="P43" s="221"/>
      <c r="Q43" s="221"/>
      <c r="R43" s="221"/>
      <c r="S43" s="221"/>
      <c r="T43" s="221"/>
      <c r="U43" s="221"/>
      <c r="V43" s="221"/>
    </row>
    <row r="44" spans="1:22" x14ac:dyDescent="0.15">
      <c r="L44" s="221"/>
      <c r="M44" s="221"/>
      <c r="N44" s="221"/>
      <c r="O44" s="221"/>
      <c r="P44" s="221"/>
      <c r="Q44" s="221"/>
      <c r="R44" s="221"/>
      <c r="S44" s="221"/>
      <c r="T44" s="221"/>
      <c r="U44" s="221"/>
      <c r="V44" s="221"/>
    </row>
    <row r="45" spans="1:22" x14ac:dyDescent="0.15">
      <c r="L45" s="221" t="str">
        <f>A16</f>
        <v>Security Requirements</v>
      </c>
      <c r="M45" s="221"/>
      <c r="N45" s="221"/>
      <c r="O45" s="221"/>
      <c r="P45" s="221"/>
      <c r="Q45" s="221"/>
      <c r="R45" s="221"/>
      <c r="S45" s="221"/>
      <c r="T45" s="221"/>
      <c r="U45" s="221"/>
      <c r="V45" s="221"/>
    </row>
    <row r="46" spans="1:22" x14ac:dyDescent="0.15">
      <c r="L46" s="221"/>
      <c r="M46" s="221"/>
      <c r="N46" s="221"/>
      <c r="O46" s="221"/>
      <c r="P46" s="221"/>
      <c r="Q46" s="221"/>
      <c r="R46" s="221"/>
      <c r="S46" s="221"/>
      <c r="T46" s="221"/>
      <c r="U46" s="221"/>
      <c r="V46" s="221"/>
    </row>
    <row r="47" spans="1:22" x14ac:dyDescent="0.15">
      <c r="L47" s="221"/>
      <c r="M47" s="221"/>
      <c r="N47" s="221"/>
      <c r="O47" s="221"/>
      <c r="P47" s="221"/>
      <c r="Q47" s="221"/>
      <c r="R47" s="221"/>
      <c r="S47" s="221"/>
      <c r="T47" s="221"/>
      <c r="U47" s="221"/>
      <c r="V47" s="221"/>
    </row>
    <row r="48" spans="1:22" x14ac:dyDescent="0.15">
      <c r="L48" s="221"/>
      <c r="M48" s="221"/>
      <c r="N48" s="221"/>
      <c r="O48" s="221"/>
      <c r="P48" s="221"/>
      <c r="Q48" s="221"/>
      <c r="R48" s="221"/>
      <c r="S48" s="221"/>
      <c r="T48" s="221"/>
      <c r="U48" s="221"/>
      <c r="V48" s="221"/>
    </row>
    <row r="49" spans="12:22" x14ac:dyDescent="0.15">
      <c r="L49" s="221"/>
      <c r="M49" s="221"/>
      <c r="N49" s="221"/>
      <c r="O49" s="221"/>
      <c r="P49" s="221"/>
      <c r="Q49" s="221"/>
      <c r="R49" s="221"/>
      <c r="S49" s="221"/>
      <c r="T49" s="221"/>
      <c r="U49" s="221"/>
      <c r="V49" s="221"/>
    </row>
    <row r="50" spans="12:22" x14ac:dyDescent="0.15">
      <c r="L50" s="221"/>
      <c r="M50" s="221"/>
      <c r="N50" s="221"/>
      <c r="O50" s="221"/>
      <c r="P50" s="221"/>
      <c r="Q50" s="221"/>
      <c r="R50" s="221"/>
      <c r="S50" s="221"/>
      <c r="T50" s="221"/>
      <c r="U50" s="221"/>
      <c r="V50" s="221"/>
    </row>
    <row r="51" spans="12:22" x14ac:dyDescent="0.15">
      <c r="L51" s="221"/>
      <c r="M51" s="221"/>
      <c r="N51" s="221"/>
      <c r="O51" s="221"/>
      <c r="P51" s="221"/>
      <c r="Q51" s="221"/>
      <c r="R51" s="221"/>
      <c r="S51" s="221"/>
      <c r="T51" s="221"/>
      <c r="U51" s="221"/>
      <c r="V51" s="221"/>
    </row>
    <row r="52" spans="12:22" x14ac:dyDescent="0.15">
      <c r="L52" s="221"/>
      <c r="M52" s="221"/>
      <c r="N52" s="221"/>
      <c r="O52" s="221"/>
      <c r="P52" s="221"/>
      <c r="Q52" s="221"/>
      <c r="R52" s="221"/>
      <c r="S52" s="221"/>
      <c r="T52" s="221"/>
      <c r="U52" s="221"/>
      <c r="V52" s="221"/>
    </row>
    <row r="53" spans="12:22" x14ac:dyDescent="0.15">
      <c r="L53" s="221" t="str">
        <f>A17</f>
        <v>Secure Architecture</v>
      </c>
      <c r="M53" s="221"/>
      <c r="N53" s="221"/>
      <c r="O53" s="221"/>
      <c r="P53" s="221"/>
      <c r="Q53" s="221"/>
      <c r="R53" s="221"/>
      <c r="S53" s="221"/>
      <c r="T53" s="221"/>
      <c r="U53" s="221"/>
      <c r="V53" s="221"/>
    </row>
    <row r="54" spans="12:22" x14ac:dyDescent="0.15">
      <c r="L54" s="221"/>
      <c r="M54" s="221"/>
      <c r="N54" s="221"/>
      <c r="O54" s="221"/>
      <c r="P54" s="221"/>
      <c r="Q54" s="221"/>
      <c r="R54" s="221"/>
      <c r="S54" s="221"/>
      <c r="T54" s="221"/>
      <c r="U54" s="221"/>
      <c r="V54" s="221"/>
    </row>
    <row r="55" spans="12:22" x14ac:dyDescent="0.15">
      <c r="L55" s="221"/>
      <c r="M55" s="221"/>
      <c r="N55" s="221"/>
      <c r="O55" s="221"/>
      <c r="P55" s="221"/>
      <c r="Q55" s="221"/>
      <c r="R55" s="221"/>
      <c r="S55" s="221"/>
      <c r="T55" s="221"/>
      <c r="U55" s="221"/>
      <c r="V55" s="221"/>
    </row>
    <row r="56" spans="12:22" x14ac:dyDescent="0.15">
      <c r="L56" s="221"/>
      <c r="M56" s="221"/>
      <c r="N56" s="221"/>
      <c r="O56" s="221"/>
      <c r="P56" s="221"/>
      <c r="Q56" s="221"/>
      <c r="R56" s="221"/>
      <c r="S56" s="221"/>
      <c r="T56" s="221"/>
      <c r="U56" s="221"/>
      <c r="V56" s="221"/>
    </row>
    <row r="57" spans="12:22" x14ac:dyDescent="0.15">
      <c r="L57" s="221"/>
      <c r="M57" s="221"/>
      <c r="N57" s="221"/>
      <c r="O57" s="221"/>
      <c r="P57" s="221"/>
      <c r="Q57" s="221"/>
      <c r="R57" s="221"/>
      <c r="S57" s="221"/>
      <c r="T57" s="221"/>
      <c r="U57" s="221"/>
      <c r="V57" s="221"/>
    </row>
    <row r="58" spans="12:22" x14ac:dyDescent="0.15">
      <c r="L58" s="221"/>
      <c r="M58" s="221"/>
      <c r="N58" s="221"/>
      <c r="O58" s="221"/>
      <c r="P58" s="221"/>
      <c r="Q58" s="221"/>
      <c r="R58" s="221"/>
      <c r="S58" s="221"/>
      <c r="T58" s="221"/>
      <c r="U58" s="221"/>
      <c r="V58" s="221"/>
    </row>
    <row r="59" spans="12:22" x14ac:dyDescent="0.15">
      <c r="L59" s="221"/>
      <c r="M59" s="221"/>
      <c r="N59" s="221"/>
      <c r="O59" s="221"/>
      <c r="P59" s="221"/>
      <c r="Q59" s="221"/>
      <c r="R59" s="221"/>
      <c r="S59" s="221"/>
      <c r="T59" s="221"/>
      <c r="U59" s="221"/>
      <c r="V59" s="221"/>
    </row>
    <row r="60" spans="12:22" x14ac:dyDescent="0.15">
      <c r="L60" s="221"/>
      <c r="M60" s="221"/>
      <c r="N60" s="221"/>
      <c r="O60" s="221"/>
      <c r="P60" s="221"/>
      <c r="Q60" s="221"/>
      <c r="R60" s="221"/>
      <c r="S60" s="221"/>
      <c r="T60" s="221"/>
      <c r="U60" s="221"/>
      <c r="V60" s="221"/>
    </row>
    <row r="61" spans="12:22" x14ac:dyDescent="0.15">
      <c r="L61" s="221" t="str">
        <f>A18</f>
        <v>Design Review</v>
      </c>
      <c r="M61" s="221"/>
      <c r="N61" s="221"/>
      <c r="O61" s="221"/>
      <c r="P61" s="221"/>
      <c r="Q61" s="221"/>
      <c r="R61" s="221"/>
      <c r="S61" s="221"/>
      <c r="T61" s="221"/>
      <c r="U61" s="221"/>
      <c r="V61" s="221"/>
    </row>
    <row r="62" spans="12:22" x14ac:dyDescent="0.15">
      <c r="L62" s="221"/>
      <c r="M62" s="221"/>
      <c r="N62" s="221"/>
      <c r="O62" s="221"/>
      <c r="P62" s="221"/>
      <c r="Q62" s="221"/>
      <c r="R62" s="221"/>
      <c r="S62" s="221"/>
      <c r="T62" s="221"/>
      <c r="U62" s="221"/>
      <c r="V62" s="221"/>
    </row>
    <row r="63" spans="12:22" x14ac:dyDescent="0.15">
      <c r="L63" s="221"/>
      <c r="M63" s="221"/>
      <c r="N63" s="221"/>
      <c r="O63" s="221"/>
      <c r="P63" s="221"/>
      <c r="Q63" s="221"/>
      <c r="R63" s="221"/>
      <c r="S63" s="221"/>
      <c r="T63" s="221"/>
      <c r="U63" s="221"/>
      <c r="V63" s="221"/>
    </row>
    <row r="64" spans="12:22" x14ac:dyDescent="0.15">
      <c r="L64" s="221"/>
      <c r="M64" s="221"/>
      <c r="N64" s="221"/>
      <c r="O64" s="221"/>
      <c r="P64" s="221"/>
      <c r="Q64" s="221"/>
      <c r="R64" s="221"/>
      <c r="S64" s="221"/>
      <c r="T64" s="221"/>
      <c r="U64" s="221"/>
      <c r="V64" s="221"/>
    </row>
    <row r="65" spans="12:22" x14ac:dyDescent="0.15">
      <c r="L65" s="221"/>
      <c r="M65" s="221"/>
      <c r="N65" s="221"/>
      <c r="O65" s="221"/>
      <c r="P65" s="221"/>
      <c r="Q65" s="221"/>
      <c r="R65" s="221"/>
      <c r="S65" s="221"/>
      <c r="T65" s="221"/>
      <c r="U65" s="221"/>
      <c r="V65" s="221"/>
    </row>
    <row r="66" spans="12:22" x14ac:dyDescent="0.15">
      <c r="L66" s="221"/>
      <c r="M66" s="221"/>
      <c r="N66" s="221"/>
      <c r="O66" s="221"/>
      <c r="P66" s="221"/>
      <c r="Q66" s="221"/>
      <c r="R66" s="221"/>
      <c r="S66" s="221"/>
      <c r="T66" s="221"/>
      <c r="U66" s="221"/>
      <c r="V66" s="221"/>
    </row>
    <row r="67" spans="12:22" x14ac:dyDescent="0.15">
      <c r="L67" s="221"/>
      <c r="M67" s="221"/>
      <c r="N67" s="221"/>
      <c r="O67" s="221"/>
      <c r="P67" s="221"/>
      <c r="Q67" s="221"/>
      <c r="R67" s="221"/>
      <c r="S67" s="221"/>
      <c r="T67" s="221"/>
      <c r="U67" s="221"/>
      <c r="V67" s="221"/>
    </row>
    <row r="68" spans="12:22" x14ac:dyDescent="0.15">
      <c r="L68" s="221"/>
      <c r="M68" s="221"/>
      <c r="N68" s="221"/>
      <c r="O68" s="221"/>
      <c r="P68" s="221"/>
      <c r="Q68" s="221"/>
      <c r="R68" s="221"/>
      <c r="S68" s="221"/>
      <c r="T68" s="221"/>
      <c r="U68" s="221"/>
      <c r="V68" s="221"/>
    </row>
    <row r="69" spans="12:22" x14ac:dyDescent="0.15">
      <c r="L69" s="221" t="str">
        <f>A19</f>
        <v>Implementation Review</v>
      </c>
      <c r="M69" s="221"/>
      <c r="N69" s="221"/>
      <c r="O69" s="221"/>
      <c r="P69" s="221"/>
      <c r="Q69" s="221"/>
      <c r="R69" s="221"/>
      <c r="S69" s="221"/>
      <c r="T69" s="221"/>
      <c r="U69" s="221"/>
      <c r="V69" s="221"/>
    </row>
    <row r="70" spans="12:22" x14ac:dyDescent="0.15">
      <c r="L70" s="221"/>
      <c r="M70" s="221"/>
      <c r="N70" s="221"/>
      <c r="O70" s="221"/>
      <c r="P70" s="221"/>
      <c r="Q70" s="221"/>
      <c r="R70" s="221"/>
      <c r="S70" s="221"/>
      <c r="T70" s="221"/>
      <c r="U70" s="221"/>
      <c r="V70" s="221"/>
    </row>
    <row r="71" spans="12:22" x14ac:dyDescent="0.15">
      <c r="L71" s="221"/>
      <c r="M71" s="221"/>
      <c r="N71" s="221"/>
      <c r="O71" s="221"/>
      <c r="P71" s="221"/>
      <c r="Q71" s="221"/>
      <c r="R71" s="221"/>
      <c r="S71" s="221"/>
      <c r="T71" s="221"/>
      <c r="U71" s="221"/>
      <c r="V71" s="221"/>
    </row>
    <row r="72" spans="12:22" x14ac:dyDescent="0.15">
      <c r="L72" s="221"/>
      <c r="M72" s="221"/>
      <c r="N72" s="221"/>
      <c r="O72" s="221"/>
      <c r="P72" s="221"/>
      <c r="Q72" s="221"/>
      <c r="R72" s="221"/>
      <c r="S72" s="221"/>
      <c r="T72" s="221"/>
      <c r="U72" s="221"/>
      <c r="V72" s="221"/>
    </row>
    <row r="73" spans="12:22" x14ac:dyDescent="0.15">
      <c r="L73" s="221"/>
      <c r="M73" s="221"/>
      <c r="N73" s="221"/>
      <c r="O73" s="221"/>
      <c r="P73" s="221"/>
      <c r="Q73" s="221"/>
      <c r="R73" s="221"/>
      <c r="S73" s="221"/>
      <c r="T73" s="221"/>
      <c r="U73" s="221"/>
      <c r="V73" s="221"/>
    </row>
    <row r="74" spans="12:22" x14ac:dyDescent="0.15">
      <c r="L74" s="221"/>
      <c r="M74" s="221"/>
      <c r="N74" s="221"/>
      <c r="O74" s="221"/>
      <c r="P74" s="221"/>
      <c r="Q74" s="221"/>
      <c r="R74" s="221"/>
      <c r="S74" s="221"/>
      <c r="T74" s="221"/>
      <c r="U74" s="221"/>
      <c r="V74" s="221"/>
    </row>
    <row r="75" spans="12:22" x14ac:dyDescent="0.15">
      <c r="L75" s="221"/>
      <c r="M75" s="221"/>
      <c r="N75" s="221"/>
      <c r="O75" s="221"/>
      <c r="P75" s="221"/>
      <c r="Q75" s="221"/>
      <c r="R75" s="221"/>
      <c r="S75" s="221"/>
      <c r="T75" s="221"/>
      <c r="U75" s="221"/>
      <c r="V75" s="221"/>
    </row>
    <row r="76" spans="12:22" x14ac:dyDescent="0.15">
      <c r="L76" s="221"/>
      <c r="M76" s="221"/>
      <c r="N76" s="221"/>
      <c r="O76" s="221"/>
      <c r="P76" s="221"/>
      <c r="Q76" s="221"/>
      <c r="R76" s="221"/>
      <c r="S76" s="221"/>
      <c r="T76" s="221"/>
      <c r="U76" s="221"/>
      <c r="V76" s="221"/>
    </row>
    <row r="77" spans="12:22" x14ac:dyDescent="0.15">
      <c r="L77" s="221" t="str">
        <f>A20</f>
        <v>Security Testing</v>
      </c>
      <c r="M77" s="221"/>
      <c r="N77" s="221"/>
      <c r="O77" s="221"/>
      <c r="P77" s="221"/>
      <c r="Q77" s="221"/>
      <c r="R77" s="221"/>
      <c r="S77" s="221"/>
      <c r="T77" s="221"/>
      <c r="U77" s="221"/>
      <c r="V77" s="221"/>
    </row>
    <row r="78" spans="12:22" x14ac:dyDescent="0.15">
      <c r="L78" s="221"/>
      <c r="M78" s="221"/>
      <c r="N78" s="221"/>
      <c r="O78" s="221"/>
      <c r="P78" s="221"/>
      <c r="Q78" s="221"/>
      <c r="R78" s="221"/>
      <c r="S78" s="221"/>
      <c r="T78" s="221"/>
      <c r="U78" s="221"/>
      <c r="V78" s="221"/>
    </row>
    <row r="79" spans="12:22" x14ac:dyDescent="0.15">
      <c r="L79" s="221"/>
      <c r="M79" s="221"/>
      <c r="N79" s="221"/>
      <c r="O79" s="221"/>
      <c r="P79" s="221"/>
      <c r="Q79" s="221"/>
      <c r="R79" s="221"/>
      <c r="S79" s="221"/>
      <c r="T79" s="221"/>
      <c r="U79" s="221"/>
      <c r="V79" s="221"/>
    </row>
    <row r="80" spans="12:22" x14ac:dyDescent="0.15">
      <c r="L80" s="221"/>
      <c r="M80" s="221"/>
      <c r="N80" s="221"/>
      <c r="O80" s="221"/>
      <c r="P80" s="221"/>
      <c r="Q80" s="221"/>
      <c r="R80" s="221"/>
      <c r="S80" s="221"/>
      <c r="T80" s="221"/>
      <c r="U80" s="221"/>
      <c r="V80" s="221"/>
    </row>
    <row r="81" spans="12:22" x14ac:dyDescent="0.15">
      <c r="L81" s="221"/>
      <c r="M81" s="221"/>
      <c r="N81" s="221"/>
      <c r="O81" s="221"/>
      <c r="P81" s="221"/>
      <c r="Q81" s="221"/>
      <c r="R81" s="221"/>
      <c r="S81" s="221"/>
      <c r="T81" s="221"/>
      <c r="U81" s="221"/>
      <c r="V81" s="221"/>
    </row>
    <row r="82" spans="12:22" x14ac:dyDescent="0.15">
      <c r="L82" s="221"/>
      <c r="M82" s="221"/>
      <c r="N82" s="221"/>
      <c r="O82" s="221"/>
      <c r="P82" s="221"/>
      <c r="Q82" s="221"/>
      <c r="R82" s="221"/>
      <c r="S82" s="221"/>
      <c r="T82" s="221"/>
      <c r="U82" s="221"/>
      <c r="V82" s="221"/>
    </row>
    <row r="83" spans="12:22" x14ac:dyDescent="0.15">
      <c r="L83" s="221"/>
      <c r="M83" s="221"/>
      <c r="N83" s="221"/>
      <c r="O83" s="221"/>
      <c r="P83" s="221"/>
      <c r="Q83" s="221"/>
      <c r="R83" s="221"/>
      <c r="S83" s="221"/>
      <c r="T83" s="221"/>
      <c r="U83" s="221"/>
      <c r="V83" s="221"/>
    </row>
    <row r="84" spans="12:22" x14ac:dyDescent="0.15">
      <c r="L84" s="221"/>
      <c r="M84" s="221"/>
      <c r="N84" s="221"/>
      <c r="O84" s="221"/>
      <c r="P84" s="221"/>
      <c r="Q84" s="221"/>
      <c r="R84" s="221"/>
      <c r="S84" s="221"/>
      <c r="T84" s="221"/>
      <c r="U84" s="221"/>
      <c r="V84" s="221"/>
    </row>
    <row r="85" spans="12:22" x14ac:dyDescent="0.15">
      <c r="L85" s="221" t="str">
        <f>A21</f>
        <v>Issue Management</v>
      </c>
      <c r="M85" s="221"/>
      <c r="N85" s="221"/>
      <c r="O85" s="221"/>
      <c r="P85" s="221"/>
      <c r="Q85" s="221"/>
      <c r="R85" s="221"/>
      <c r="S85" s="221"/>
      <c r="T85" s="221"/>
      <c r="U85" s="221"/>
      <c r="V85" s="221"/>
    </row>
    <row r="86" spans="12:22" x14ac:dyDescent="0.15">
      <c r="L86" s="221"/>
      <c r="M86" s="221"/>
      <c r="N86" s="221"/>
      <c r="O86" s="221"/>
      <c r="P86" s="221"/>
      <c r="Q86" s="221"/>
      <c r="R86" s="221"/>
      <c r="S86" s="221"/>
      <c r="T86" s="221"/>
      <c r="U86" s="221"/>
      <c r="V86" s="221"/>
    </row>
    <row r="87" spans="12:22" x14ac:dyDescent="0.15">
      <c r="L87" s="221"/>
      <c r="M87" s="221"/>
      <c r="N87" s="221"/>
      <c r="O87" s="221"/>
      <c r="P87" s="221"/>
      <c r="Q87" s="221"/>
      <c r="R87" s="221"/>
      <c r="S87" s="221"/>
      <c r="T87" s="221"/>
      <c r="U87" s="221"/>
      <c r="V87" s="221"/>
    </row>
    <row r="88" spans="12:22" x14ac:dyDescent="0.15">
      <c r="L88" s="221"/>
      <c r="M88" s="221"/>
      <c r="N88" s="221"/>
      <c r="O88" s="221"/>
      <c r="P88" s="221"/>
      <c r="Q88" s="221"/>
      <c r="R88" s="221"/>
      <c r="S88" s="221"/>
      <c r="T88" s="221"/>
      <c r="U88" s="221"/>
      <c r="V88" s="221"/>
    </row>
    <row r="89" spans="12:22" x14ac:dyDescent="0.15">
      <c r="L89" s="221"/>
      <c r="M89" s="221"/>
      <c r="N89" s="221"/>
      <c r="O89" s="221"/>
      <c r="P89" s="221"/>
      <c r="Q89" s="221"/>
      <c r="R89" s="221"/>
      <c r="S89" s="221"/>
      <c r="T89" s="221"/>
      <c r="U89" s="221"/>
      <c r="V89" s="221"/>
    </row>
    <row r="90" spans="12:22" x14ac:dyDescent="0.15">
      <c r="L90" s="221"/>
      <c r="M90" s="221"/>
      <c r="N90" s="221"/>
      <c r="O90" s="221"/>
      <c r="P90" s="221"/>
      <c r="Q90" s="221"/>
      <c r="R90" s="221"/>
      <c r="S90" s="221"/>
      <c r="T90" s="221"/>
      <c r="U90" s="221"/>
      <c r="V90" s="221"/>
    </row>
    <row r="91" spans="12:22" x14ac:dyDescent="0.15">
      <c r="L91" s="221"/>
      <c r="M91" s="221"/>
      <c r="N91" s="221"/>
      <c r="O91" s="221"/>
      <c r="P91" s="221"/>
      <c r="Q91" s="221"/>
      <c r="R91" s="221"/>
      <c r="S91" s="221"/>
      <c r="T91" s="221"/>
      <c r="U91" s="221"/>
      <c r="V91" s="221"/>
    </row>
    <row r="92" spans="12:22" x14ac:dyDescent="0.15">
      <c r="L92" s="221"/>
      <c r="M92" s="221"/>
      <c r="N92" s="221"/>
      <c r="O92" s="221"/>
      <c r="P92" s="221"/>
      <c r="Q92" s="221"/>
      <c r="R92" s="221"/>
      <c r="S92" s="221"/>
      <c r="T92" s="221"/>
      <c r="U92" s="221"/>
      <c r="V92" s="221"/>
    </row>
    <row r="93" spans="12:22" x14ac:dyDescent="0.15">
      <c r="L93" s="221" t="str">
        <f>A22</f>
        <v>Environment Hardening</v>
      </c>
      <c r="M93" s="221"/>
      <c r="N93" s="221"/>
      <c r="O93" s="221"/>
      <c r="P93" s="221"/>
      <c r="Q93" s="221"/>
      <c r="R93" s="221"/>
      <c r="S93" s="221"/>
      <c r="T93" s="221"/>
      <c r="U93" s="221"/>
      <c r="V93" s="221"/>
    </row>
    <row r="94" spans="12:22" x14ac:dyDescent="0.15">
      <c r="L94" s="221"/>
      <c r="M94" s="221"/>
      <c r="N94" s="221"/>
      <c r="O94" s="221"/>
      <c r="P94" s="221"/>
      <c r="Q94" s="221"/>
      <c r="R94" s="221"/>
      <c r="S94" s="221"/>
      <c r="T94" s="221"/>
      <c r="U94" s="221"/>
      <c r="V94" s="221"/>
    </row>
    <row r="95" spans="12:22" x14ac:dyDescent="0.15">
      <c r="L95" s="221"/>
      <c r="M95" s="221"/>
      <c r="N95" s="221"/>
      <c r="O95" s="221"/>
      <c r="P95" s="221"/>
      <c r="Q95" s="221"/>
      <c r="R95" s="221"/>
      <c r="S95" s="221"/>
      <c r="T95" s="221"/>
      <c r="U95" s="221"/>
      <c r="V95" s="221"/>
    </row>
    <row r="96" spans="12:22" x14ac:dyDescent="0.15">
      <c r="L96" s="221"/>
      <c r="M96" s="221"/>
      <c r="N96" s="221"/>
      <c r="O96" s="221"/>
      <c r="P96" s="221"/>
      <c r="Q96" s="221"/>
      <c r="R96" s="221"/>
      <c r="S96" s="221"/>
      <c r="T96" s="221"/>
      <c r="U96" s="221"/>
      <c r="V96" s="221"/>
    </row>
    <row r="97" spans="12:22" x14ac:dyDescent="0.15">
      <c r="L97" s="221"/>
      <c r="M97" s="221"/>
      <c r="N97" s="221"/>
      <c r="O97" s="221"/>
      <c r="P97" s="221"/>
      <c r="Q97" s="221"/>
      <c r="R97" s="221"/>
      <c r="S97" s="221"/>
      <c r="T97" s="221"/>
      <c r="U97" s="221"/>
      <c r="V97" s="221"/>
    </row>
    <row r="98" spans="12:22" x14ac:dyDescent="0.15">
      <c r="L98" s="221"/>
      <c r="M98" s="221"/>
      <c r="N98" s="221"/>
      <c r="O98" s="221"/>
      <c r="P98" s="221"/>
      <c r="Q98" s="221"/>
      <c r="R98" s="221"/>
      <c r="S98" s="221"/>
      <c r="T98" s="221"/>
      <c r="U98" s="221"/>
      <c r="V98" s="221"/>
    </row>
    <row r="99" spans="12:22" x14ac:dyDescent="0.15">
      <c r="L99" s="221"/>
      <c r="M99" s="221"/>
      <c r="N99" s="221"/>
      <c r="O99" s="221"/>
      <c r="P99" s="221"/>
      <c r="Q99" s="221"/>
      <c r="R99" s="221"/>
      <c r="S99" s="221"/>
      <c r="T99" s="221"/>
      <c r="U99" s="221"/>
      <c r="V99" s="221"/>
    </row>
    <row r="100" spans="12:22" x14ac:dyDescent="0.15">
      <c r="L100" s="221"/>
      <c r="M100" s="221"/>
      <c r="N100" s="221"/>
      <c r="O100" s="221"/>
      <c r="P100" s="221"/>
      <c r="Q100" s="221"/>
      <c r="R100" s="221"/>
      <c r="S100" s="221"/>
      <c r="T100" s="221"/>
      <c r="U100" s="221"/>
      <c r="V100" s="221"/>
    </row>
    <row r="101" spans="12:22" x14ac:dyDescent="0.15">
      <c r="L101" s="221" t="str">
        <f>A23</f>
        <v>Operational Enablement</v>
      </c>
      <c r="M101" s="221"/>
      <c r="N101" s="221"/>
      <c r="O101" s="221"/>
      <c r="P101" s="221"/>
      <c r="Q101" s="221"/>
      <c r="R101" s="221"/>
      <c r="S101" s="221"/>
      <c r="T101" s="221"/>
      <c r="U101" s="221"/>
      <c r="V101" s="221"/>
    </row>
    <row r="102" spans="12:22" x14ac:dyDescent="0.15">
      <c r="L102" s="221"/>
      <c r="M102" s="221"/>
      <c r="N102" s="221"/>
      <c r="O102" s="221"/>
      <c r="P102" s="221"/>
      <c r="Q102" s="221"/>
      <c r="R102" s="221"/>
      <c r="S102" s="221"/>
      <c r="T102" s="221"/>
      <c r="U102" s="221"/>
      <c r="V102" s="221"/>
    </row>
    <row r="103" spans="12:22" x14ac:dyDescent="0.15">
      <c r="L103" s="221"/>
      <c r="M103" s="221"/>
      <c r="N103" s="221"/>
      <c r="O103" s="221"/>
      <c r="P103" s="221"/>
      <c r="Q103" s="221"/>
      <c r="R103" s="221"/>
      <c r="S103" s="221"/>
      <c r="T103" s="221"/>
      <c r="U103" s="221"/>
      <c r="V103" s="221"/>
    </row>
    <row r="104" spans="12:22" x14ac:dyDescent="0.15">
      <c r="L104" s="221"/>
      <c r="M104" s="221"/>
      <c r="N104" s="221"/>
      <c r="O104" s="221"/>
      <c r="P104" s="221"/>
      <c r="Q104" s="221"/>
      <c r="R104" s="221"/>
      <c r="S104" s="221"/>
      <c r="T104" s="221"/>
      <c r="U104" s="221"/>
      <c r="V104" s="221"/>
    </row>
    <row r="105" spans="12:22" ht="14" thickBot="1" x14ac:dyDescent="0.2">
      <c r="L105" s="222"/>
      <c r="M105" s="222"/>
      <c r="N105" s="222"/>
      <c r="O105" s="222"/>
      <c r="P105" s="222"/>
      <c r="Q105" s="222"/>
      <c r="R105" s="222"/>
      <c r="S105" s="222"/>
      <c r="T105" s="222"/>
      <c r="U105" s="222"/>
      <c r="V105" s="222"/>
    </row>
  </sheetData>
  <customSheetViews>
    <customSheetView guid="{9846C184-355C-EA4B-8C35-9561D1AEE31C}" fitToPage="1">
      <selection activeCell="B10" sqref="B10"/>
      <pageMargins left="0.55118110236220474" right="0.55118110236220474" top="0.39370078740157483" bottom="0.39370078740157483" header="0.51181102362204722" footer="0.51181102362204722"/>
      <pageSetup paperSize="9" scale="50" orientation="portrait" r:id="rId1"/>
      <headerFooter alignWithMargins="0"/>
    </customSheetView>
  </customSheetViews>
  <mergeCells count="17">
    <mergeCell ref="O11:P11"/>
    <mergeCell ref="Q11:R11"/>
    <mergeCell ref="S11:T11"/>
    <mergeCell ref="U11:V11"/>
    <mergeCell ref="O8:R8"/>
    <mergeCell ref="S8:V8"/>
    <mergeCell ref="O9:P9"/>
    <mergeCell ref="Q9:R9"/>
    <mergeCell ref="S9:T9"/>
    <mergeCell ref="U9:V9"/>
    <mergeCell ref="A1:K1"/>
    <mergeCell ref="O10:P10"/>
    <mergeCell ref="Q10:R10"/>
    <mergeCell ref="S10:T10"/>
    <mergeCell ref="U10:V10"/>
    <mergeCell ref="B4:C4"/>
    <mergeCell ref="B5:C5"/>
  </mergeCells>
  <dataValidations count="1">
    <dataValidation showInputMessage="1" showErrorMessage="1" sqref="B12:B23" xr:uid="{00000000-0002-0000-0400-000000000000}"/>
  </dataValidations>
  <pageMargins left="0.55118110236220474" right="0.55118110236220474" top="0.39370078740157483" bottom="0.39370078740157483" header="0.51181102362204722" footer="0.51181102362204722"/>
  <pageSetup paperSize="9" scale="50" orientation="portrait" r:id="rId2"/>
  <headerFooter alignWithMargins="0"/>
  <ignoredErrors>
    <ignoredError sqref="B4:B5" unlockedFormula="1"/>
  </ignoredErrors>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Q116"/>
  <sheetViews>
    <sheetView topLeftCell="D4" workbookViewId="0">
      <selection activeCell="M1" sqref="M1:M3"/>
    </sheetView>
  </sheetViews>
  <sheetFormatPr baseColWidth="10" defaultColWidth="8.83203125" defaultRowHeight="13" x14ac:dyDescent="0.15"/>
  <cols>
    <col min="3" max="3" width="8.83203125" customWidth="1"/>
    <col min="9" max="9" width="22.6640625" style="23" customWidth="1"/>
    <col min="10" max="10" width="35.1640625" customWidth="1"/>
    <col min="15" max="15" width="21.83203125" customWidth="1"/>
    <col min="16" max="16" width="29.1640625" customWidth="1"/>
  </cols>
  <sheetData>
    <row r="1" spans="1:17" ht="66" customHeight="1" thickBot="1" x14ac:dyDescent="0.3">
      <c r="A1" s="421" t="s">
        <v>161</v>
      </c>
      <c r="B1" s="422"/>
      <c r="C1" s="422"/>
      <c r="D1" s="422"/>
      <c r="E1" s="422"/>
      <c r="F1" s="422"/>
      <c r="G1" s="422"/>
      <c r="H1" s="422"/>
      <c r="I1" s="422"/>
      <c r="J1" s="422"/>
      <c r="K1" s="423"/>
      <c r="M1" s="278" t="str">
        <f>IF(M2=M3,"OK","Problem")</f>
        <v>OK</v>
      </c>
    </row>
    <row r="2" spans="1:17" x14ac:dyDescent="0.15">
      <c r="M2">
        <f>COUNTA(M4:M200)</f>
        <v>19</v>
      </c>
    </row>
    <row r="3" spans="1:17" x14ac:dyDescent="0.15">
      <c r="A3" s="30" t="s">
        <v>70</v>
      </c>
      <c r="B3" s="29"/>
      <c r="C3" s="527" t="s">
        <v>71</v>
      </c>
      <c r="D3" s="527"/>
      <c r="E3" s="527"/>
      <c r="F3" s="29"/>
      <c r="G3" s="29"/>
      <c r="H3" s="29"/>
      <c r="I3" s="28"/>
      <c r="M3">
        <f>COUNTA('imp-answers'!A2:A200)</f>
        <v>19</v>
      </c>
    </row>
    <row r="4" spans="1:17" x14ac:dyDescent="0.15">
      <c r="A4" s="31" t="s">
        <v>69</v>
      </c>
      <c r="C4" s="32">
        <v>3</v>
      </c>
      <c r="D4" s="32">
        <v>3</v>
      </c>
      <c r="E4" s="32">
        <v>3</v>
      </c>
      <c r="F4" s="32">
        <v>6</v>
      </c>
      <c r="G4" s="113"/>
      <c r="H4" s="526" t="s">
        <v>118</v>
      </c>
      <c r="I4" s="114">
        <v>1</v>
      </c>
      <c r="J4" t="s">
        <v>66</v>
      </c>
      <c r="K4">
        <v>0</v>
      </c>
      <c r="M4" s="526" t="str">
        <f>CHAR(65+N4)</f>
        <v>A</v>
      </c>
      <c r="N4" s="526">
        <v>0</v>
      </c>
      <c r="O4" s="114"/>
      <c r="P4" s="246" t="str">
        <f>VLOOKUP(N4,'imp-answers'!$A$2:$I$50,2,FALSE)</f>
        <v>No</v>
      </c>
      <c r="Q4" s="246">
        <f>VLOOKUP(N4,'imp-answers'!$A$2:$I$50,6,FALSE)</f>
        <v>0</v>
      </c>
    </row>
    <row r="5" spans="1:17" x14ac:dyDescent="0.15">
      <c r="A5" s="31" t="s">
        <v>66</v>
      </c>
      <c r="B5" s="13"/>
      <c r="C5" s="32">
        <v>2.0099999999999998</v>
      </c>
      <c r="D5" s="32">
        <v>2.99</v>
      </c>
      <c r="E5" s="33" t="s">
        <v>8</v>
      </c>
      <c r="F5" s="34">
        <v>5</v>
      </c>
      <c r="G5" s="23"/>
      <c r="H5" s="526"/>
      <c r="I5" s="109"/>
      <c r="J5" t="s">
        <v>107</v>
      </c>
      <c r="K5">
        <v>0.2</v>
      </c>
      <c r="M5" s="528"/>
      <c r="N5" s="528"/>
      <c r="O5" s="109"/>
      <c r="P5" s="246" t="str">
        <f>VLOOKUP(N4,'imp-answers'!$A$2:$I$50,3,FALSE)</f>
        <v>Yes, for some applications</v>
      </c>
      <c r="Q5" s="246">
        <f>VLOOKUP(N4,'imp-answers'!$A$2:$I$50,7,FALSE)</f>
        <v>0.25</v>
      </c>
    </row>
    <row r="6" spans="1:17" x14ac:dyDescent="0.15">
      <c r="C6" s="32">
        <v>2</v>
      </c>
      <c r="D6" s="32">
        <v>2</v>
      </c>
      <c r="E6" s="32">
        <v>2</v>
      </c>
      <c r="F6" s="32">
        <v>4</v>
      </c>
      <c r="G6" s="113"/>
      <c r="H6" s="526"/>
      <c r="I6" s="111"/>
      <c r="J6" t="s">
        <v>138</v>
      </c>
      <c r="K6">
        <v>0.5</v>
      </c>
      <c r="M6" s="528"/>
      <c r="N6" s="528"/>
      <c r="O6" s="244"/>
      <c r="P6" s="246" t="str">
        <f>VLOOKUP(N4,'imp-answers'!$A$2:$I$50,4,FALSE)</f>
        <v>Yes, for at least half of the applications</v>
      </c>
      <c r="Q6" s="246">
        <f>VLOOKUP(N4,'imp-answers'!$A$2:$I$50,8,FALSE)</f>
        <v>0.5</v>
      </c>
    </row>
    <row r="7" spans="1:17" x14ac:dyDescent="0.15">
      <c r="C7" s="32">
        <v>1.01</v>
      </c>
      <c r="D7" s="32">
        <v>1.99</v>
      </c>
      <c r="E7" s="33" t="s">
        <v>7</v>
      </c>
      <c r="F7" s="34">
        <v>3</v>
      </c>
      <c r="G7" s="23"/>
      <c r="H7" s="526"/>
      <c r="I7" s="112">
        <v>2</v>
      </c>
      <c r="J7" t="s">
        <v>139</v>
      </c>
      <c r="K7">
        <v>1</v>
      </c>
      <c r="M7" s="528"/>
      <c r="N7" s="528"/>
      <c r="O7" s="111"/>
      <c r="P7" s="246" t="str">
        <f>VLOOKUP(N4,'imp-answers'!$A$2:$I$50,5,FALSE)</f>
        <v>Yes, for most of the applications</v>
      </c>
      <c r="Q7" s="246">
        <f>VLOOKUP(N4,'imp-answers'!$A$2:$I$50,9,FALSE)</f>
        <v>1</v>
      </c>
    </row>
    <row r="8" spans="1:17" x14ac:dyDescent="0.15">
      <c r="C8" s="32">
        <v>1</v>
      </c>
      <c r="D8" s="32">
        <v>1</v>
      </c>
      <c r="E8" s="32">
        <v>1</v>
      </c>
      <c r="F8" s="32">
        <v>2</v>
      </c>
      <c r="G8" s="113"/>
      <c r="M8" s="528"/>
      <c r="N8" s="528"/>
      <c r="O8" s="243"/>
    </row>
    <row r="9" spans="1:17" x14ac:dyDescent="0.15">
      <c r="C9" s="32">
        <v>0.01</v>
      </c>
      <c r="D9" s="32">
        <v>0.99</v>
      </c>
      <c r="E9" s="33" t="s">
        <v>6</v>
      </c>
      <c r="F9" s="34">
        <v>1</v>
      </c>
      <c r="G9" s="23"/>
      <c r="H9" s="526" t="s">
        <v>119</v>
      </c>
      <c r="I9" s="110" t="s">
        <v>113</v>
      </c>
      <c r="J9" t="s">
        <v>66</v>
      </c>
      <c r="K9">
        <v>0</v>
      </c>
    </row>
    <row r="10" spans="1:17" x14ac:dyDescent="0.15">
      <c r="C10" s="32">
        <v>0</v>
      </c>
      <c r="D10" s="32">
        <v>0</v>
      </c>
      <c r="E10" s="32">
        <v>0</v>
      </c>
      <c r="F10" s="32">
        <v>0</v>
      </c>
      <c r="G10" s="113"/>
      <c r="H10" s="526"/>
      <c r="I10" s="109">
        <v>5</v>
      </c>
      <c r="J10" t="s">
        <v>108</v>
      </c>
      <c r="K10">
        <v>0.2</v>
      </c>
      <c r="M10" s="526" t="str">
        <f>CHAR(65+N10)</f>
        <v>B</v>
      </c>
      <c r="N10" s="526">
        <v>1</v>
      </c>
      <c r="O10" s="114"/>
      <c r="P10" s="246" t="str">
        <f>VLOOKUP(N10,'imp-answers'!$A$2:$I$50,2,FALSE)</f>
        <v>No</v>
      </c>
      <c r="Q10" s="246">
        <f>VLOOKUP(N10,'imp-answers'!$A$2:$I$50,6,FALSE)</f>
        <v>0</v>
      </c>
    </row>
    <row r="11" spans="1:17" x14ac:dyDescent="0.15">
      <c r="H11" s="526"/>
      <c r="I11" s="111" t="s">
        <v>132</v>
      </c>
      <c r="J11" t="s">
        <v>130</v>
      </c>
      <c r="K11">
        <v>0.5</v>
      </c>
      <c r="M11" s="528"/>
      <c r="N11" s="528"/>
      <c r="O11" s="109"/>
      <c r="P11" s="246" t="str">
        <f>VLOOKUP(N10,'imp-answers'!$A$2:$I$50,3,FALSE)</f>
        <v>Yes, some of them</v>
      </c>
      <c r="Q11" s="246">
        <f>VLOOKUP(N10,'imp-answers'!$A$2:$I$50,7,FALSE)</f>
        <v>0.25</v>
      </c>
    </row>
    <row r="12" spans="1:17" x14ac:dyDescent="0.15">
      <c r="H12" s="526"/>
      <c r="I12" s="112" t="s">
        <v>135</v>
      </c>
      <c r="J12" t="s">
        <v>109</v>
      </c>
      <c r="K12">
        <v>1</v>
      </c>
      <c r="M12" s="528"/>
      <c r="N12" s="528"/>
      <c r="O12" s="244"/>
      <c r="P12" s="246" t="str">
        <f>VLOOKUP(N10,'imp-answers'!$A$2:$I$50,4,FALSE)</f>
        <v>Yes, at least half of them</v>
      </c>
      <c r="Q12" s="246">
        <f>VLOOKUP(N10,'imp-answers'!$A$2:$I$50,8,FALSE)</f>
        <v>0.5</v>
      </c>
    </row>
    <row r="13" spans="1:17" x14ac:dyDescent="0.15">
      <c r="M13" s="528"/>
      <c r="N13" s="528"/>
      <c r="O13" s="111"/>
      <c r="P13" s="246" t="str">
        <f>VLOOKUP(N10,'imp-answers'!$A$2:$I$50,5,FALSE)</f>
        <v>Yes, the most of them</v>
      </c>
      <c r="Q13" s="246">
        <f>VLOOKUP(N10,'imp-answers'!$A$2:$I$50,9,FALSE)</f>
        <v>1</v>
      </c>
    </row>
    <row r="14" spans="1:17" x14ac:dyDescent="0.15">
      <c r="H14" s="526" t="s">
        <v>120</v>
      </c>
      <c r="I14" s="110" t="s">
        <v>182</v>
      </c>
      <c r="J14" t="s">
        <v>66</v>
      </c>
      <c r="K14">
        <v>0</v>
      </c>
      <c r="M14" s="528"/>
      <c r="N14" s="528"/>
      <c r="O14" s="243"/>
    </row>
    <row r="15" spans="1:17" x14ac:dyDescent="0.15">
      <c r="H15" s="526"/>
      <c r="I15" s="109" t="s">
        <v>174</v>
      </c>
      <c r="J15" t="s">
        <v>175</v>
      </c>
      <c r="K15">
        <v>0.2</v>
      </c>
    </row>
    <row r="16" spans="1:17" x14ac:dyDescent="0.15">
      <c r="H16" s="526"/>
      <c r="I16" s="111" t="s">
        <v>133</v>
      </c>
      <c r="J16" t="s">
        <v>176</v>
      </c>
      <c r="K16">
        <v>0.5</v>
      </c>
      <c r="M16" s="526" t="str">
        <f>CHAR(65+N16)</f>
        <v>C</v>
      </c>
      <c r="N16" s="526">
        <v>2</v>
      </c>
      <c r="O16" s="114"/>
      <c r="P16" s="246" t="str">
        <f>VLOOKUP(N16,'imp-answers'!$A$2:$I$50,2,FALSE)</f>
        <v>No</v>
      </c>
      <c r="Q16" s="246">
        <f>VLOOKUP(N16,'imp-answers'!$A$2:$I$50,6,FALSE)</f>
        <v>0</v>
      </c>
    </row>
    <row r="17" spans="8:17" x14ac:dyDescent="0.15">
      <c r="H17" s="526"/>
      <c r="I17" s="112" t="s">
        <v>178</v>
      </c>
      <c r="J17" t="s">
        <v>177</v>
      </c>
      <c r="K17">
        <v>1</v>
      </c>
      <c r="M17" s="528"/>
      <c r="N17" s="528"/>
      <c r="O17" s="109"/>
      <c r="P17" s="246" t="str">
        <f>VLOOKUP(N16,'imp-answers'!$A$2:$I$50,3,FALSE)</f>
        <v>Yes, some content has been updated</v>
      </c>
      <c r="Q17" s="246">
        <f>VLOOKUP(N16,'imp-answers'!$A$2:$I$50,7,FALSE)</f>
        <v>0.25</v>
      </c>
    </row>
    <row r="18" spans="8:17" x14ac:dyDescent="0.15">
      <c r="M18" s="528"/>
      <c r="N18" s="528"/>
      <c r="O18" s="244"/>
      <c r="P18" s="246" t="str">
        <f>VLOOKUP(N16,'imp-answers'!$A$2:$I$50,4,FALSE)</f>
        <v>Yes, at least half of the content</v>
      </c>
      <c r="Q18" s="246">
        <f>VLOOKUP(N16,'imp-answers'!$A$2:$I$50,8,FALSE)</f>
        <v>0.5</v>
      </c>
    </row>
    <row r="19" spans="8:17" x14ac:dyDescent="0.15">
      <c r="H19" s="526" t="s">
        <v>121</v>
      </c>
      <c r="I19" s="110" t="s">
        <v>117</v>
      </c>
      <c r="J19" t="s">
        <v>66</v>
      </c>
      <c r="K19">
        <v>0</v>
      </c>
      <c r="M19" s="528"/>
      <c r="N19" s="528"/>
      <c r="O19" s="111"/>
      <c r="P19" s="246" t="str">
        <f>VLOOKUP(N16,'imp-answers'!$A$2:$I$50,5,FALSE)</f>
        <v>Yes, the majority of the content</v>
      </c>
      <c r="Q19" s="246">
        <f>VLOOKUP(N16,'imp-answers'!$A$2:$I$50,9,FALSE)</f>
        <v>1</v>
      </c>
    </row>
    <row r="20" spans="8:17" x14ac:dyDescent="0.15">
      <c r="H20" s="526"/>
      <c r="I20" s="109">
        <v>13</v>
      </c>
      <c r="J20" t="s">
        <v>110</v>
      </c>
      <c r="K20">
        <v>0.2</v>
      </c>
      <c r="M20" s="528"/>
      <c r="N20" s="528"/>
      <c r="O20" s="243"/>
    </row>
    <row r="21" spans="8:17" x14ac:dyDescent="0.15">
      <c r="H21" s="526"/>
      <c r="I21" s="111"/>
      <c r="J21" t="s">
        <v>111</v>
      </c>
      <c r="K21">
        <v>0.5</v>
      </c>
    </row>
    <row r="22" spans="8:17" x14ac:dyDescent="0.15">
      <c r="H22" s="526"/>
      <c r="I22" s="112">
        <v>18</v>
      </c>
      <c r="J22" t="s">
        <v>112</v>
      </c>
      <c r="K22">
        <v>1</v>
      </c>
      <c r="M22" s="526" t="str">
        <f>CHAR(65+N22)</f>
        <v>D</v>
      </c>
      <c r="N22" s="526">
        <v>3</v>
      </c>
      <c r="O22" s="114"/>
      <c r="P22" s="246" t="str">
        <f>VLOOKUP(N22,'imp-answers'!$A$2:$I$50,2,FALSE)</f>
        <v>No</v>
      </c>
      <c r="Q22" s="246">
        <f>VLOOKUP(N22,'imp-answers'!$A$2:$I$50,6,FALSE)</f>
        <v>0</v>
      </c>
    </row>
    <row r="23" spans="8:17" x14ac:dyDescent="0.15">
      <c r="M23" s="528"/>
      <c r="N23" s="528"/>
      <c r="O23" s="109"/>
      <c r="P23" s="246" t="str">
        <f>VLOOKUP(N22,'imp-answers'!$A$2:$I$50,3,FALSE)</f>
        <v>Yes, for some of the trianing</v>
      </c>
      <c r="Q23" s="246">
        <f>VLOOKUP(N22,'imp-answers'!$A$2:$I$50,7,FALSE)</f>
        <v>0.25</v>
      </c>
    </row>
    <row r="24" spans="8:17" x14ac:dyDescent="0.15">
      <c r="H24" s="526" t="s">
        <v>122</v>
      </c>
      <c r="I24" s="110">
        <v>10</v>
      </c>
      <c r="J24" t="s">
        <v>66</v>
      </c>
      <c r="K24">
        <v>0</v>
      </c>
      <c r="M24" s="528"/>
      <c r="N24" s="528"/>
      <c r="O24" s="244"/>
      <c r="P24" s="246" t="str">
        <f>VLOOKUP(N22,'imp-answers'!$A$2:$I$50,4,FALSE)</f>
        <v>Yes, at least half of the training</v>
      </c>
      <c r="Q24" s="246">
        <f>VLOOKUP(N22,'imp-answers'!$A$2:$I$50,8,FALSE)</f>
        <v>0.5</v>
      </c>
    </row>
    <row r="25" spans="8:17" x14ac:dyDescent="0.15">
      <c r="H25" s="526"/>
      <c r="I25" s="109"/>
      <c r="J25" t="s">
        <v>131</v>
      </c>
      <c r="K25">
        <v>1</v>
      </c>
      <c r="M25" s="528"/>
      <c r="N25" s="528"/>
      <c r="O25" s="111"/>
      <c r="P25" s="246" t="str">
        <f>VLOOKUP(N22,'imp-answers'!$A$2:$I$50,5,FALSE)</f>
        <v>Yes, the majority of training</v>
      </c>
      <c r="Q25" s="246">
        <f>VLOOKUP(N22,'imp-answers'!$A$2:$I$50,9,FALSE)</f>
        <v>1</v>
      </c>
    </row>
    <row r="26" spans="8:17" x14ac:dyDescent="0.15">
      <c r="H26" s="526"/>
      <c r="I26" s="111"/>
      <c r="J26" t="s">
        <v>114</v>
      </c>
      <c r="K26">
        <v>0.5</v>
      </c>
      <c r="M26" s="528"/>
      <c r="N26" s="528"/>
      <c r="O26" s="243"/>
    </row>
    <row r="27" spans="8:17" x14ac:dyDescent="0.15">
      <c r="H27" s="526"/>
      <c r="I27" s="112">
        <v>19</v>
      </c>
      <c r="J27" t="s">
        <v>69</v>
      </c>
      <c r="K27">
        <v>1</v>
      </c>
    </row>
    <row r="28" spans="8:17" x14ac:dyDescent="0.15">
      <c r="M28" s="526" t="str">
        <f>CHAR(65+N28)</f>
        <v>E</v>
      </c>
      <c r="N28" s="526">
        <v>4</v>
      </c>
      <c r="O28" s="114"/>
      <c r="P28" s="246" t="str">
        <f>VLOOKUP(N28,'imp-answers'!$A$2:$I$50,2,FALSE)</f>
        <v>No</v>
      </c>
      <c r="Q28" s="246">
        <f>VLOOKUP(N28,'imp-answers'!$A$2:$I$50,6,FALSE)</f>
        <v>0</v>
      </c>
    </row>
    <row r="29" spans="8:17" x14ac:dyDescent="0.15">
      <c r="H29" s="526" t="s">
        <v>123</v>
      </c>
      <c r="I29" s="110" t="s">
        <v>172</v>
      </c>
      <c r="J29" t="s">
        <v>66</v>
      </c>
      <c r="K29">
        <v>0</v>
      </c>
      <c r="M29" s="528"/>
      <c r="N29" s="528"/>
      <c r="O29" s="109"/>
      <c r="P29" s="246" t="str">
        <f>VLOOKUP(N28,'imp-answers'!$A$2:$I$50,3,FALSE)</f>
        <v>Yes, some of the time</v>
      </c>
      <c r="Q29" s="246">
        <f>VLOOKUP(N28,'imp-answers'!$A$2:$I$50,7,FALSE)</f>
        <v>0.25</v>
      </c>
    </row>
    <row r="30" spans="8:17" x14ac:dyDescent="0.15">
      <c r="H30" s="526"/>
      <c r="I30" s="109" t="s">
        <v>173</v>
      </c>
      <c r="J30" t="s">
        <v>179</v>
      </c>
      <c r="K30">
        <v>0.2</v>
      </c>
      <c r="M30" s="528"/>
      <c r="N30" s="528"/>
      <c r="O30" s="244"/>
      <c r="P30" s="246" t="str">
        <f>VLOOKUP(N28,'imp-answers'!$A$2:$I$50,4,FALSE)</f>
        <v>Yes, at least half of the time</v>
      </c>
      <c r="Q30" s="246">
        <f>VLOOKUP(N28,'imp-answers'!$A$2:$I$50,8,FALSE)</f>
        <v>0.5</v>
      </c>
    </row>
    <row r="31" spans="8:17" x14ac:dyDescent="0.15">
      <c r="H31" s="526"/>
      <c r="I31" s="111"/>
      <c r="J31" t="s">
        <v>115</v>
      </c>
      <c r="K31">
        <v>0.5</v>
      </c>
      <c r="M31" s="528"/>
      <c r="N31" s="528"/>
      <c r="O31" s="111"/>
      <c r="P31" s="246" t="str">
        <f>VLOOKUP(N28,'imp-answers'!$A$2:$I$50,5,FALSE)</f>
        <v>Yes, most of the time</v>
      </c>
      <c r="Q31" s="246">
        <f>VLOOKUP(N28,'imp-answers'!$A$2:$I$50,9,FALSE)</f>
        <v>1</v>
      </c>
    </row>
    <row r="32" spans="8:17" x14ac:dyDescent="0.15">
      <c r="H32" s="526"/>
      <c r="I32" s="112"/>
      <c r="J32" t="s">
        <v>116</v>
      </c>
      <c r="K32">
        <v>1</v>
      </c>
      <c r="M32" s="528"/>
      <c r="N32" s="528"/>
      <c r="O32" s="243"/>
    </row>
    <row r="34" spans="8:17" x14ac:dyDescent="0.15">
      <c r="H34" s="526" t="s">
        <v>124</v>
      </c>
      <c r="I34" s="110"/>
      <c r="J34" t="s">
        <v>66</v>
      </c>
      <c r="K34">
        <v>0</v>
      </c>
      <c r="M34" s="526" t="str">
        <f>CHAR(65+N34)</f>
        <v>F</v>
      </c>
      <c r="N34" s="526">
        <v>5</v>
      </c>
      <c r="O34" s="114"/>
      <c r="P34" s="246" t="str">
        <f>VLOOKUP(N34,'imp-answers'!$A$2:$I$50,2,FALSE)</f>
        <v>No</v>
      </c>
      <c r="Q34" s="246">
        <f>VLOOKUP(N34,'imp-answers'!$A$2:$I$50,6,FALSE)</f>
        <v>0</v>
      </c>
    </row>
    <row r="35" spans="8:17" x14ac:dyDescent="0.15">
      <c r="H35" s="526"/>
      <c r="I35" s="109" t="s">
        <v>129</v>
      </c>
      <c r="J35" t="s">
        <v>126</v>
      </c>
      <c r="K35">
        <v>0.2</v>
      </c>
      <c r="M35" s="528"/>
      <c r="N35" s="528"/>
      <c r="O35" s="109"/>
      <c r="P35" s="246" t="str">
        <f>VLOOKUP(N34,'imp-answers'!$A$2:$I$50,3,FALSE)</f>
        <v>Yes, started to implement</v>
      </c>
      <c r="Q35" s="246">
        <f>VLOOKUP(N34,'imp-answers'!$A$2:$I$50,7,FALSE)</f>
        <v>0.25</v>
      </c>
    </row>
    <row r="36" spans="8:17" x14ac:dyDescent="0.15">
      <c r="H36" s="526"/>
      <c r="I36" s="111" t="s">
        <v>134</v>
      </c>
      <c r="J36" t="s">
        <v>128</v>
      </c>
      <c r="K36">
        <v>0.5</v>
      </c>
      <c r="M36" s="528"/>
      <c r="N36" s="528"/>
      <c r="O36" s="244"/>
      <c r="P36" s="246" t="str">
        <f>VLOOKUP(N34,'imp-answers'!$A$2:$I$50,4,FALSE)</f>
        <v>Yes, effective for some of the organization</v>
      </c>
      <c r="Q36" s="246">
        <f>VLOOKUP(N34,'imp-answers'!$A$2:$I$50,8,FALSE)</f>
        <v>0.5</v>
      </c>
    </row>
    <row r="37" spans="8:17" x14ac:dyDescent="0.15">
      <c r="H37" s="526"/>
      <c r="I37" s="112" t="s">
        <v>136</v>
      </c>
      <c r="J37" t="s">
        <v>127</v>
      </c>
      <c r="K37">
        <v>1</v>
      </c>
      <c r="M37" s="528"/>
      <c r="N37" s="528"/>
      <c r="O37" s="111"/>
      <c r="P37" s="246" t="str">
        <f>VLOOKUP(N34,'imp-answers'!$A$2:$I$50,5,FALSE)</f>
        <v>Yes, effective for most of the organization</v>
      </c>
      <c r="Q37" s="246">
        <f>VLOOKUP(N34,'imp-answers'!$A$2:$I$50,9,FALSE)</f>
        <v>1</v>
      </c>
    </row>
    <row r="38" spans="8:17" x14ac:dyDescent="0.15">
      <c r="M38" s="528"/>
      <c r="N38" s="528"/>
      <c r="O38" s="243"/>
    </row>
    <row r="39" spans="8:17" x14ac:dyDescent="0.15">
      <c r="H39" s="526" t="s">
        <v>125</v>
      </c>
      <c r="I39" s="110"/>
    </row>
    <row r="40" spans="8:17" x14ac:dyDescent="0.15">
      <c r="H40" s="526"/>
      <c r="I40" s="109"/>
      <c r="M40" s="526" t="str">
        <f>CHAR(65+N40)</f>
        <v>G</v>
      </c>
      <c r="N40" s="526">
        <v>6</v>
      </c>
      <c r="O40" s="114"/>
      <c r="P40" s="246" t="str">
        <f>VLOOKUP(N40,'imp-answers'!$A$2:$I$50,2,FALSE)</f>
        <v>No</v>
      </c>
      <c r="Q40" s="246">
        <f>VLOOKUP(N40,'imp-answers'!$A$2:$I$50,6,FALSE)</f>
        <v>0</v>
      </c>
    </row>
    <row r="41" spans="8:17" x14ac:dyDescent="0.15">
      <c r="H41" s="526"/>
      <c r="I41" s="111"/>
      <c r="M41" s="528"/>
      <c r="N41" s="528"/>
      <c r="O41" s="109"/>
      <c r="P41" s="246" t="str">
        <f>VLOOKUP(N40,'imp-answers'!$A$2:$I$50,3,FALSE)</f>
        <v>Yes, for some components</v>
      </c>
      <c r="Q41" s="246">
        <f>VLOOKUP(N40,'imp-answers'!$A$2:$I$50,7,FALSE)</f>
        <v>0.25</v>
      </c>
    </row>
    <row r="42" spans="8:17" x14ac:dyDescent="0.15">
      <c r="H42" s="526"/>
      <c r="I42" s="112"/>
      <c r="M42" s="528"/>
      <c r="N42" s="528"/>
      <c r="O42" s="244"/>
      <c r="P42" s="246" t="str">
        <f>VLOOKUP(N40,'imp-answers'!$A$2:$I$50,4,FALSE)</f>
        <v>Yes, for at least half of the components</v>
      </c>
      <c r="Q42" s="246">
        <f>VLOOKUP(N40,'imp-answers'!$A$2:$I$50,8,FALSE)</f>
        <v>0.5</v>
      </c>
    </row>
    <row r="43" spans="8:17" x14ac:dyDescent="0.15">
      <c r="M43" s="528"/>
      <c r="N43" s="528"/>
      <c r="O43" s="111"/>
      <c r="P43" s="246" t="str">
        <f>VLOOKUP(N40,'imp-answers'!$A$2:$I$50,5,FALSE)</f>
        <v>Yes, for most of the components</v>
      </c>
      <c r="Q43" s="246">
        <f>VLOOKUP(N40,'imp-answers'!$A$2:$I$50,9,FALSE)</f>
        <v>1</v>
      </c>
    </row>
    <row r="44" spans="8:17" x14ac:dyDescent="0.15">
      <c r="M44" s="528"/>
      <c r="N44" s="528"/>
      <c r="O44" s="243"/>
    </row>
    <row r="46" spans="8:17" x14ac:dyDescent="0.15">
      <c r="M46" s="526" t="str">
        <f>CHAR(65+N46)</f>
        <v>H</v>
      </c>
      <c r="N46" s="526">
        <v>7</v>
      </c>
      <c r="O46" s="114"/>
      <c r="P46" s="246" t="str">
        <f>VLOOKUP(N46,'imp-answers'!$A$2:$I$50,2,FALSE)</f>
        <v>No</v>
      </c>
      <c r="Q46" s="246">
        <f>VLOOKUP(N46,'imp-answers'!$A$2:$I$50,6,FALSE)</f>
        <v>0</v>
      </c>
    </row>
    <row r="47" spans="8:17" x14ac:dyDescent="0.15">
      <c r="M47" s="528"/>
      <c r="N47" s="528"/>
      <c r="O47" s="109"/>
      <c r="P47" s="246" t="str">
        <f>VLOOKUP(N46,'imp-answers'!$A$2:$I$50,3,FALSE)</f>
        <v>Yes, for some of the incidents</v>
      </c>
      <c r="Q47" s="246">
        <f>VLOOKUP(N46,'imp-answers'!$A$2:$I$50,7,FALSE)</f>
        <v>0.25</v>
      </c>
    </row>
    <row r="48" spans="8:17" x14ac:dyDescent="0.15">
      <c r="M48" s="528"/>
      <c r="N48" s="528"/>
      <c r="O48" s="244"/>
      <c r="P48" s="246" t="str">
        <f>VLOOKUP(N46,'imp-answers'!$A$2:$I$50,4,FALSE)</f>
        <v>Yes, for at least half of the incidents</v>
      </c>
      <c r="Q48" s="246">
        <f>VLOOKUP(N46,'imp-answers'!$A$2:$I$50,8,FALSE)</f>
        <v>0.5</v>
      </c>
    </row>
    <row r="49" spans="13:17" x14ac:dyDescent="0.15">
      <c r="M49" s="528"/>
      <c r="N49" s="528"/>
      <c r="O49" s="111"/>
      <c r="P49" s="246" t="str">
        <f>VLOOKUP(N46,'imp-answers'!$A$2:$I$50,5,FALSE)</f>
        <v>Yes, for most of the incidents</v>
      </c>
      <c r="Q49" s="246">
        <f>VLOOKUP(N46,'imp-answers'!$A$2:$I$50,9,FALSE)</f>
        <v>1</v>
      </c>
    </row>
    <row r="50" spans="13:17" x14ac:dyDescent="0.15">
      <c r="M50" s="528"/>
      <c r="N50" s="528"/>
      <c r="O50" s="243"/>
    </row>
    <row r="52" spans="13:17" x14ac:dyDescent="0.15">
      <c r="M52" s="526" t="str">
        <f>CHAR(65+N52)</f>
        <v>I</v>
      </c>
      <c r="N52" s="526">
        <v>8</v>
      </c>
      <c r="O52" s="114"/>
      <c r="P52" s="246" t="str">
        <f>VLOOKUP(N52,'imp-answers'!$A$2:$I$50,2,FALSE)</f>
        <v>No</v>
      </c>
      <c r="Q52" s="246">
        <f>VLOOKUP(N52,'imp-answers'!$A$2:$I$50,6,FALSE)</f>
        <v>0</v>
      </c>
    </row>
    <row r="53" spans="13:17" x14ac:dyDescent="0.15">
      <c r="M53" s="528"/>
      <c r="N53" s="528"/>
      <c r="O53" s="109"/>
      <c r="P53" s="246" t="str">
        <f>VLOOKUP(N52,'imp-answers'!$A$2:$I$50,3,FALSE)</f>
        <v>Yes, for some types of incidents</v>
      </c>
      <c r="Q53" s="246">
        <f>VLOOKUP(N52,'imp-answers'!$A$2:$I$50,7,FALSE)</f>
        <v>0.25</v>
      </c>
    </row>
    <row r="54" spans="13:17" x14ac:dyDescent="0.15">
      <c r="M54" s="528"/>
      <c r="N54" s="528"/>
      <c r="O54" s="244"/>
      <c r="P54" s="246" t="str">
        <f>VLOOKUP(N52,'imp-answers'!$A$2:$I$50,4,FALSE)</f>
        <v>Yes, for at least half of the types of incidents</v>
      </c>
      <c r="Q54" s="246">
        <f>VLOOKUP(N52,'imp-answers'!$A$2:$I$50,8,FALSE)</f>
        <v>0.5</v>
      </c>
    </row>
    <row r="55" spans="13:17" x14ac:dyDescent="0.15">
      <c r="M55" s="528"/>
      <c r="N55" s="528"/>
      <c r="O55" s="111"/>
      <c r="P55" s="246" t="str">
        <f>VLOOKUP(N52,'imp-answers'!$A$2:$I$50,5,FALSE)</f>
        <v>Yes, for most of the types of incidents</v>
      </c>
      <c r="Q55" s="246">
        <f>VLOOKUP(N52,'imp-answers'!$A$2:$I$50,9,FALSE)</f>
        <v>1</v>
      </c>
    </row>
    <row r="56" spans="13:17" x14ac:dyDescent="0.15">
      <c r="M56" s="528"/>
      <c r="N56" s="528"/>
      <c r="O56" s="243"/>
    </row>
    <row r="58" spans="13:17" x14ac:dyDescent="0.15">
      <c r="M58" s="526" t="str">
        <f>CHAR(65+N58)</f>
        <v>J</v>
      </c>
      <c r="N58" s="526">
        <v>9</v>
      </c>
      <c r="O58" s="114"/>
      <c r="P58" s="246" t="str">
        <f>VLOOKUP(N58,'imp-answers'!$A$2:$I$50,2,FALSE)</f>
        <v>No</v>
      </c>
      <c r="Q58" s="246">
        <f>VLOOKUP(N58,'imp-answers'!$A$2:$I$50,6,FALSE)</f>
        <v>0</v>
      </c>
    </row>
    <row r="59" spans="13:17" x14ac:dyDescent="0.15">
      <c r="M59" s="528"/>
      <c r="N59" s="528"/>
      <c r="O59" s="109"/>
      <c r="P59" s="246" t="str">
        <f>VLOOKUP(N58,'imp-answers'!$A$2:$I$50,3,FALSE)</f>
        <v>Yes, for some of our data</v>
      </c>
      <c r="Q59" s="246">
        <f>VLOOKUP(N58,'imp-answers'!$A$2:$I$50,7,FALSE)</f>
        <v>0.25</v>
      </c>
    </row>
    <row r="60" spans="13:17" x14ac:dyDescent="0.15">
      <c r="M60" s="528"/>
      <c r="N60" s="528"/>
      <c r="O60" s="244"/>
      <c r="P60" s="246" t="str">
        <f>VLOOKUP(N58,'imp-answers'!$A$2:$I$50,4,FALSE)</f>
        <v>Yes, for at least half of our data</v>
      </c>
      <c r="Q60" s="246">
        <f>VLOOKUP(N58,'imp-answers'!$A$2:$I$50,8,FALSE)</f>
        <v>0.5</v>
      </c>
    </row>
    <row r="61" spans="13:17" x14ac:dyDescent="0.15">
      <c r="M61" s="528"/>
      <c r="N61" s="528"/>
      <c r="O61" s="111"/>
      <c r="P61" s="246" t="str">
        <f>VLOOKUP(N58,'imp-answers'!$A$2:$I$50,5,FALSE)</f>
        <v>Yes, for most of our data</v>
      </c>
      <c r="Q61" s="246">
        <f>VLOOKUP(N58,'imp-answers'!$A$2:$I$50,9,FALSE)</f>
        <v>1</v>
      </c>
    </row>
    <row r="62" spans="13:17" x14ac:dyDescent="0.15">
      <c r="M62" s="528"/>
      <c r="N62" s="528"/>
      <c r="O62" s="243"/>
    </row>
    <row r="64" spans="13:17" x14ac:dyDescent="0.15">
      <c r="M64" s="526" t="str">
        <f>CHAR(65+N64)</f>
        <v>K</v>
      </c>
      <c r="N64" s="526">
        <v>10</v>
      </c>
      <c r="O64" s="114"/>
      <c r="P64" s="246" t="str">
        <f>VLOOKUP(N64,'imp-answers'!$A$2:$I$50,2,FALSE)</f>
        <v>No</v>
      </c>
      <c r="Q64" s="246">
        <f>VLOOKUP(N64,'imp-answers'!$A$2:$I$50,6,FALSE)</f>
        <v>0</v>
      </c>
    </row>
    <row r="65" spans="13:17" x14ac:dyDescent="0.15">
      <c r="M65" s="528"/>
      <c r="N65" s="528"/>
      <c r="O65" s="109"/>
      <c r="P65" s="246" t="str">
        <f>VLOOKUP(N64,'imp-answers'!$A$2:$I$50,3,FALSE)</f>
        <v>Yes, we do it when requested</v>
      </c>
      <c r="Q65" s="246">
        <f>VLOOKUP(N64,'imp-answers'!$A$2:$I$50,7,FALSE)</f>
        <v>0.25</v>
      </c>
    </row>
    <row r="66" spans="13:17" x14ac:dyDescent="0.15">
      <c r="M66" s="528"/>
      <c r="N66" s="528"/>
      <c r="O66" s="244"/>
      <c r="P66" s="246" t="str">
        <f>VLOOKUP(N64,'imp-answers'!$A$2:$I$50,4,FALSE)</f>
        <v>Yes, we do it every few years</v>
      </c>
      <c r="Q66" s="246">
        <f>VLOOKUP(N64,'imp-answers'!$A$2:$I$50,8,FALSE)</f>
        <v>0.5</v>
      </c>
    </row>
    <row r="67" spans="13:17" x14ac:dyDescent="0.15">
      <c r="M67" s="528"/>
      <c r="N67" s="528"/>
      <c r="O67" s="111"/>
      <c r="P67" s="246" t="str">
        <f>VLOOKUP(N64,'imp-answers'!$A$2:$I$50,5,FALSE)</f>
        <v>Yes, we do it at least annually</v>
      </c>
      <c r="Q67" s="246">
        <f>VLOOKUP(N64,'imp-answers'!$A$2:$I$50,9,FALSE)</f>
        <v>1</v>
      </c>
    </row>
    <row r="68" spans="13:17" x14ac:dyDescent="0.15">
      <c r="M68" s="528"/>
      <c r="N68" s="528"/>
      <c r="O68" s="243"/>
    </row>
    <row r="70" spans="13:17" x14ac:dyDescent="0.15">
      <c r="M70" s="526" t="str">
        <f>CHAR(65+N70)</f>
        <v>L</v>
      </c>
      <c r="N70" s="526">
        <v>11</v>
      </c>
      <c r="O70" s="114"/>
      <c r="P70" s="246" t="str">
        <f>VLOOKUP(N70,'imp-answers'!$A$2:$I$50,2,FALSE)</f>
        <v>No</v>
      </c>
      <c r="Q70" s="246">
        <f>VLOOKUP(N70,'imp-answers'!$A$2:$I$50,6,FALSE)</f>
        <v>0</v>
      </c>
    </row>
    <row r="71" spans="13:17" x14ac:dyDescent="0.15">
      <c r="M71" s="528"/>
      <c r="N71" s="528"/>
      <c r="O71" s="109"/>
      <c r="P71" s="246" t="str">
        <f>VLOOKUP(N70,'imp-answers'!$A$2:$I$50,3,FALSE)</f>
        <v>Yes, for some of the assets</v>
      </c>
      <c r="Q71" s="246">
        <f>VLOOKUP(N70,'imp-answers'!$A$2:$I$50,7,FALSE)</f>
        <v>0.25</v>
      </c>
    </row>
    <row r="72" spans="13:17" x14ac:dyDescent="0.15">
      <c r="M72" s="528"/>
      <c r="N72" s="528"/>
      <c r="O72" s="244"/>
      <c r="P72" s="246" t="str">
        <f>VLOOKUP(N70,'imp-answers'!$A$2:$I$50,4,FALSE)</f>
        <v>Yes, for at least half of the assets</v>
      </c>
      <c r="Q72" s="246">
        <f>VLOOKUP(N70,'imp-answers'!$A$2:$I$50,8,FALSE)</f>
        <v>0.5</v>
      </c>
    </row>
    <row r="73" spans="13:17" x14ac:dyDescent="0.15">
      <c r="M73" s="528"/>
      <c r="N73" s="528"/>
      <c r="O73" s="111"/>
      <c r="P73" s="246" t="str">
        <f>VLOOKUP(N70,'imp-answers'!$A$2:$I$50,5,FALSE)</f>
        <v>Yes, for most of the assets</v>
      </c>
      <c r="Q73" s="246">
        <f>VLOOKUP(N70,'imp-answers'!$A$2:$I$50,9,FALSE)</f>
        <v>1</v>
      </c>
    </row>
    <row r="74" spans="13:17" x14ac:dyDescent="0.15">
      <c r="M74" s="528"/>
      <c r="N74" s="528"/>
      <c r="O74" s="243"/>
    </row>
    <row r="76" spans="13:17" x14ac:dyDescent="0.15">
      <c r="M76" s="526" t="str">
        <f>CHAR(65+N76)</f>
        <v>M</v>
      </c>
      <c r="N76" s="526">
        <v>12</v>
      </c>
      <c r="O76" s="114"/>
      <c r="P76" s="246" t="str">
        <f>VLOOKUP(N76,'imp-answers'!$A$2:$I$50,2,FALSE)</f>
        <v>No</v>
      </c>
      <c r="Q76" s="246">
        <f>VLOOKUP(N76,'imp-answers'!$A$2:$I$50,6,FALSE)</f>
        <v>0</v>
      </c>
    </row>
    <row r="77" spans="13:17" x14ac:dyDescent="0.15">
      <c r="M77" s="528"/>
      <c r="N77" s="528"/>
      <c r="O77" s="109"/>
      <c r="P77" s="246" t="str">
        <f>VLOOKUP(N76,'imp-answers'!$A$2:$I$50,3,FALSE)</f>
        <v>Yes, for some of the technology domains</v>
      </c>
      <c r="Q77" s="246">
        <f>VLOOKUP(N76,'imp-answers'!$A$2:$I$50,7,FALSE)</f>
        <v>0.25</v>
      </c>
    </row>
    <row r="78" spans="13:17" x14ac:dyDescent="0.15">
      <c r="M78" s="528"/>
      <c r="N78" s="528"/>
      <c r="O78" s="244"/>
      <c r="P78" s="246" t="str">
        <f>VLOOKUP(N76,'imp-answers'!$A$2:$I$50,4,FALSE)</f>
        <v>Yes, for at least half of the technology domains</v>
      </c>
      <c r="Q78" s="246">
        <f>VLOOKUP(N76,'imp-answers'!$A$2:$I$50,8,FALSE)</f>
        <v>0.5</v>
      </c>
    </row>
    <row r="79" spans="13:17" x14ac:dyDescent="0.15">
      <c r="M79" s="528"/>
      <c r="N79" s="528"/>
      <c r="O79" s="111"/>
      <c r="P79" s="246" t="str">
        <f>VLOOKUP(N76,'imp-answers'!$A$2:$I$50,5,FALSE)</f>
        <v>Yes, for the majority of the technology domains</v>
      </c>
      <c r="Q79" s="246">
        <f>VLOOKUP(N76,'imp-answers'!$A$2:$I$50,9,FALSE)</f>
        <v>1</v>
      </c>
    </row>
    <row r="80" spans="13:17" x14ac:dyDescent="0.15">
      <c r="M80" s="528"/>
      <c r="N80" s="528"/>
      <c r="O80" s="243"/>
    </row>
    <row r="82" spans="13:17" x14ac:dyDescent="0.15">
      <c r="M82" s="526" t="str">
        <f>CHAR(65+N82)</f>
        <v>N</v>
      </c>
      <c r="N82" s="526">
        <v>13</v>
      </c>
      <c r="O82" s="114"/>
      <c r="P82" s="246" t="str">
        <f>VLOOKUP(N82,'imp-answers'!$A$2:$I$50,2,FALSE)</f>
        <v>No</v>
      </c>
      <c r="Q82" s="246">
        <f>VLOOKUP(N82,'imp-answers'!$A$2:$I$50,6,FALSE)</f>
        <v>0</v>
      </c>
    </row>
    <row r="83" spans="13:17" x14ac:dyDescent="0.15">
      <c r="M83" s="528"/>
      <c r="N83" s="528"/>
      <c r="O83" s="109"/>
      <c r="P83" s="246" t="str">
        <f>VLOOKUP(N82,'imp-answers'!$A$2:$I$50,3,FALSE)</f>
        <v>Yes, basic risks</v>
      </c>
      <c r="Q83" s="246">
        <f>VLOOKUP(N82,'imp-answers'!$A$2:$I$50,7,FALSE)</f>
        <v>0.25</v>
      </c>
    </row>
    <row r="84" spans="13:17" x14ac:dyDescent="0.15">
      <c r="M84" s="528"/>
      <c r="N84" s="528"/>
      <c r="O84" s="244"/>
      <c r="P84" s="246" t="str">
        <f>VLOOKUP(N82,'imp-answers'!$A$2:$I$50,4,FALSE)</f>
        <v>Yes, covers most significant risks</v>
      </c>
      <c r="Q84" s="246">
        <f>VLOOKUP(N82,'imp-answers'!$A$2:$I$50,8,FALSE)</f>
        <v>0.5</v>
      </c>
    </row>
    <row r="85" spans="13:17" x14ac:dyDescent="0.15">
      <c r="M85" s="528"/>
      <c r="N85" s="528"/>
      <c r="O85" s="111"/>
      <c r="P85" s="246" t="str">
        <f>VLOOKUP(N82,'imp-answers'!$A$2:$I$50,5,FALSE)</f>
        <v>Yes, covers risks and opportunities</v>
      </c>
      <c r="Q85" s="246">
        <f>VLOOKUP(N82,'imp-answers'!$A$2:$I$50,9,FALSE)</f>
        <v>1</v>
      </c>
    </row>
    <row r="86" spans="13:17" x14ac:dyDescent="0.15">
      <c r="M86" s="528"/>
      <c r="N86" s="528"/>
      <c r="O86" s="243"/>
    </row>
    <row r="88" spans="13:17" x14ac:dyDescent="0.15">
      <c r="M88" s="526" t="str">
        <f>CHAR(65+N88)</f>
        <v>O</v>
      </c>
      <c r="N88" s="526">
        <v>14</v>
      </c>
      <c r="O88" s="114"/>
      <c r="P88" s="246" t="str">
        <f>VLOOKUP(N88,'imp-answers'!$A$2:$I$50,2,FALSE)</f>
        <v>No</v>
      </c>
      <c r="Q88" s="246">
        <f>VLOOKUP(N88,'imp-answers'!$A$2:$I$50,6,FALSE)</f>
        <v>0</v>
      </c>
    </row>
    <row r="89" spans="13:17" x14ac:dyDescent="0.15">
      <c r="M89" s="528"/>
      <c r="N89" s="528"/>
      <c r="O89" s="109"/>
      <c r="P89" s="246" t="str">
        <f>VLOOKUP(N88,'imp-answers'!$A$2:$I$50,3,FALSE)</f>
        <v>Yes, we review it annually</v>
      </c>
      <c r="Q89" s="246">
        <f>VLOOKUP(N88,'imp-answers'!$A$2:$I$50,7,FALSE)</f>
        <v>0.25</v>
      </c>
    </row>
    <row r="90" spans="13:17" x14ac:dyDescent="0.15">
      <c r="M90" s="528"/>
      <c r="N90" s="528"/>
      <c r="O90" s="244"/>
      <c r="P90" s="246" t="str">
        <f>VLOOKUP(N88,'imp-answers'!$A$2:$I$50,4,FALSE)</f>
        <v>Yes, we consult the plan before making significant decisions</v>
      </c>
      <c r="Q90" s="246">
        <f>VLOOKUP(N88,'imp-answers'!$A$2:$I$50,8,FALSE)</f>
        <v>0.5</v>
      </c>
    </row>
    <row r="91" spans="13:17" x14ac:dyDescent="0.15">
      <c r="M91" s="528"/>
      <c r="N91" s="528"/>
      <c r="O91" s="111"/>
      <c r="P91" s="246" t="str">
        <f>VLOOKUP(N88,'imp-answers'!$A$2:$I$50,5,FALSE)</f>
        <v>Yes, we consult the plan often, and it's aligned with our application security strategy</v>
      </c>
      <c r="Q91" s="246">
        <f>VLOOKUP(N88,'imp-answers'!$A$2:$I$50,9,FALSE)</f>
        <v>1</v>
      </c>
    </row>
    <row r="92" spans="13:17" x14ac:dyDescent="0.15">
      <c r="M92" s="528"/>
      <c r="N92" s="528"/>
      <c r="O92" s="243"/>
    </row>
    <row r="94" spans="13:17" x14ac:dyDescent="0.15">
      <c r="M94" s="526" t="str">
        <f>CHAR(65+N94)</f>
        <v>P</v>
      </c>
      <c r="N94" s="526">
        <v>15</v>
      </c>
      <c r="O94" s="114"/>
      <c r="P94" s="246" t="str">
        <f>VLOOKUP(N94,'imp-answers'!$A$2:$I$50,2,FALSE)</f>
        <v>No</v>
      </c>
      <c r="Q94" s="246">
        <f>VLOOKUP(N94,'imp-answers'!$A$2:$I$50,6,FALSE)</f>
        <v>0</v>
      </c>
    </row>
    <row r="95" spans="13:17" x14ac:dyDescent="0.15">
      <c r="M95" s="528"/>
      <c r="N95" s="528"/>
      <c r="O95" s="109"/>
      <c r="P95" s="246" t="str">
        <f>VLOOKUP(N94,'imp-answers'!$A$2:$I$50,3,FALSE)</f>
        <v>Yes, but review is ad-hoc</v>
      </c>
      <c r="Q95" s="246">
        <f>VLOOKUP(N94,'imp-answers'!$A$2:$I$50,7,FALSE)</f>
        <v>0.25</v>
      </c>
    </row>
    <row r="96" spans="13:17" x14ac:dyDescent="0.15">
      <c r="M96" s="528"/>
      <c r="N96" s="528"/>
      <c r="O96" s="244"/>
      <c r="P96" s="246" t="str">
        <f>VLOOKUP(N94,'imp-answers'!$A$2:$I$50,4,FALSE)</f>
        <v>Yes, we review it every two years or so</v>
      </c>
      <c r="Q96" s="246">
        <f>VLOOKUP(N94,'imp-answers'!$A$2:$I$50,8,FALSE)</f>
        <v>0.5</v>
      </c>
    </row>
    <row r="97" spans="13:17" x14ac:dyDescent="0.15">
      <c r="M97" s="528"/>
      <c r="N97" s="528"/>
      <c r="O97" s="111"/>
      <c r="P97" s="246" t="str">
        <f>VLOOKUP(N94,'imp-answers'!$A$2:$I$50,5,FALSE)</f>
        <v>Yes, we review it at least annually</v>
      </c>
      <c r="Q97" s="246">
        <f>VLOOKUP(N94,'imp-answers'!$A$2:$I$50,9,FALSE)</f>
        <v>1</v>
      </c>
    </row>
    <row r="98" spans="13:17" x14ac:dyDescent="0.15">
      <c r="M98" s="528"/>
      <c r="N98" s="528"/>
      <c r="O98" s="243"/>
    </row>
    <row r="100" spans="13:17" x14ac:dyDescent="0.15">
      <c r="M100" s="526" t="str">
        <f>CHAR(65+N100)</f>
        <v>Q</v>
      </c>
      <c r="N100" s="526">
        <v>16</v>
      </c>
      <c r="O100" s="114"/>
      <c r="P100" s="246" t="str">
        <f>VLOOKUP(N100,'imp-answers'!$A$2:$I$50,2,FALSE)</f>
        <v>No</v>
      </c>
      <c r="Q100" s="246">
        <f>VLOOKUP(N100,'imp-answers'!$A$2:$I$50,6,FALSE)</f>
        <v>0</v>
      </c>
    </row>
    <row r="101" spans="13:17" x14ac:dyDescent="0.15">
      <c r="M101" s="528"/>
      <c r="N101" s="528"/>
      <c r="O101" s="109"/>
      <c r="P101" s="246" t="str">
        <f>VLOOKUP(N100,'imp-answers'!$A$2:$I$50,3,FALSE)</f>
        <v>Yes, for one metrics category</v>
      </c>
      <c r="Q101" s="246">
        <f>VLOOKUP(N100,'imp-answers'!$A$2:$I$50,7,FALSE)</f>
        <v>0.25</v>
      </c>
    </row>
    <row r="102" spans="13:17" x14ac:dyDescent="0.15">
      <c r="M102" s="528"/>
      <c r="N102" s="528"/>
      <c r="O102" s="244"/>
      <c r="P102" s="246" t="str">
        <f>VLOOKUP(N100,'imp-answers'!$A$2:$I$50,4,FALSE)</f>
        <v>Yes, for two metrics categories</v>
      </c>
      <c r="Q102" s="246">
        <f>VLOOKUP(N100,'imp-answers'!$A$2:$I$50,8,FALSE)</f>
        <v>0.5</v>
      </c>
    </row>
    <row r="103" spans="13:17" x14ac:dyDescent="0.15">
      <c r="M103" s="528"/>
      <c r="N103" s="528"/>
      <c r="O103" s="111"/>
      <c r="P103" s="246" t="str">
        <f>VLOOKUP(N100,'imp-answers'!$A$2:$I$50,5,FALSE)</f>
        <v>Yes, for all three metrics categories</v>
      </c>
      <c r="Q103" s="246">
        <f>VLOOKUP(N100,'imp-answers'!$A$2:$I$50,9,FALSE)</f>
        <v>1</v>
      </c>
    </row>
    <row r="104" spans="13:17" x14ac:dyDescent="0.15">
      <c r="M104" s="528"/>
      <c r="N104" s="528"/>
      <c r="O104" s="243"/>
    </row>
    <row r="106" spans="13:17" x14ac:dyDescent="0.15">
      <c r="M106" s="526" t="str">
        <f>CHAR(65+N106)</f>
        <v>R</v>
      </c>
      <c r="N106" s="526">
        <v>17</v>
      </c>
      <c r="O106" s="114"/>
      <c r="P106" s="246" t="str">
        <f>VLOOKUP(N106,'imp-answers'!$A$2:$I$50,2,FALSE)</f>
        <v>No</v>
      </c>
      <c r="Q106" s="246">
        <f>VLOOKUP(N106,'imp-answers'!$A$2:$I$50,6,FALSE)</f>
        <v>0</v>
      </c>
    </row>
    <row r="107" spans="13:17" x14ac:dyDescent="0.15">
      <c r="M107" s="528"/>
      <c r="N107" s="528"/>
      <c r="O107" s="109"/>
      <c r="P107" s="246" t="str">
        <f>VLOOKUP(N106,'imp-answers'!$A$2:$I$50,3,FALSE)</f>
        <v>Yes, sporadically</v>
      </c>
      <c r="Q107" s="246">
        <f>VLOOKUP(N106,'imp-answers'!$A$2:$I$50,7,FALSE)</f>
        <v>0.25</v>
      </c>
    </row>
    <row r="108" spans="13:17" x14ac:dyDescent="0.15">
      <c r="M108" s="528"/>
      <c r="N108" s="528"/>
      <c r="O108" s="244"/>
      <c r="P108" s="246" t="str">
        <f>VLOOKUP(N106,'imp-answers'!$A$2:$I$50,4,FALSE)</f>
        <v>Yes, upon change of the application</v>
      </c>
      <c r="Q108" s="246">
        <f>VLOOKUP(N106,'imp-answers'!$A$2:$I$50,8,FALSE)</f>
        <v>0.5</v>
      </c>
    </row>
    <row r="109" spans="13:17" x14ac:dyDescent="0.15">
      <c r="M109" s="528"/>
      <c r="N109" s="528"/>
      <c r="O109" s="111"/>
      <c r="P109" s="246" t="str">
        <f>VLOOKUP(N106,'imp-answers'!$A$2:$I$50,5,FALSE)</f>
        <v>Yes, at least yearly</v>
      </c>
      <c r="Q109" s="246">
        <f>VLOOKUP(N106,'imp-answers'!$A$2:$I$50,9,FALSE)</f>
        <v>1</v>
      </c>
    </row>
    <row r="110" spans="13:17" x14ac:dyDescent="0.15">
      <c r="M110" s="528"/>
      <c r="N110" s="528"/>
      <c r="O110" s="243"/>
    </row>
    <row r="112" spans="13:17" x14ac:dyDescent="0.15">
      <c r="M112" s="526" t="str">
        <f>CHAR(65+N112)</f>
        <v>S</v>
      </c>
      <c r="N112" s="526">
        <v>18</v>
      </c>
      <c r="O112" s="114"/>
      <c r="P112" s="246" t="str">
        <f>VLOOKUP(N112,'imp-answers'!$A$2:$I$50,2,FALSE)</f>
        <v>No</v>
      </c>
      <c r="Q112" s="246">
        <f>VLOOKUP(N112,'imp-answers'!$A$2:$I$50,6,FALSE)</f>
        <v>0</v>
      </c>
    </row>
    <row r="113" spans="13:17" x14ac:dyDescent="0.15">
      <c r="M113" s="528"/>
      <c r="N113" s="528"/>
      <c r="O113" s="109"/>
      <c r="P113" s="246" t="str">
        <f>VLOOKUP(N112,'imp-answers'!$A$2:$I$50,3,FALSE)</f>
        <v>Yes, for some of the policies and standards</v>
      </c>
      <c r="Q113" s="246">
        <f>VLOOKUP(N112,'imp-answers'!$A$2:$I$50,7,FALSE)</f>
        <v>0.25</v>
      </c>
    </row>
    <row r="114" spans="13:17" x14ac:dyDescent="0.15">
      <c r="M114" s="528"/>
      <c r="N114" s="528"/>
      <c r="O114" s="244"/>
      <c r="P114" s="246" t="str">
        <f>VLOOKUP(N112,'imp-answers'!$A$2:$I$50,4,FALSE)</f>
        <v>Yes, for at least half of the policies and standards</v>
      </c>
      <c r="Q114" s="246">
        <f>VLOOKUP(N112,'imp-answers'!$A$2:$I$50,8,FALSE)</f>
        <v>0.5</v>
      </c>
    </row>
    <row r="115" spans="13:17" x14ac:dyDescent="0.15">
      <c r="M115" s="528"/>
      <c r="N115" s="528"/>
      <c r="O115" s="111"/>
      <c r="P115" s="246" t="str">
        <f>VLOOKUP(N112,'imp-answers'!$A$2:$I$50,5,FALSE)</f>
        <v>Yes, for most of the policies and standards</v>
      </c>
      <c r="Q115" s="246">
        <f>VLOOKUP(N112,'imp-answers'!$A$2:$I$50,9,FALSE)</f>
        <v>1</v>
      </c>
    </row>
    <row r="116" spans="13:17" x14ac:dyDescent="0.15">
      <c r="M116" s="528"/>
      <c r="N116" s="528"/>
      <c r="O116" s="243"/>
    </row>
  </sheetData>
  <customSheetViews>
    <customSheetView guid="{9846C184-355C-EA4B-8C35-9561D1AEE31C}">
      <selection activeCell="J6" sqref="J6"/>
      <pageMargins left="0.7" right="0.7" top="0.75" bottom="0.75" header="0.3" footer="0.3"/>
    </customSheetView>
  </customSheetViews>
  <mergeCells count="48">
    <mergeCell ref="M112:M116"/>
    <mergeCell ref="N112:N116"/>
    <mergeCell ref="M82:M86"/>
    <mergeCell ref="M88:M92"/>
    <mergeCell ref="M94:M98"/>
    <mergeCell ref="M100:M104"/>
    <mergeCell ref="M106:M110"/>
    <mergeCell ref="N94:N98"/>
    <mergeCell ref="N100:N104"/>
    <mergeCell ref="N106:N110"/>
    <mergeCell ref="N82:N86"/>
    <mergeCell ref="N88:N92"/>
    <mergeCell ref="M4:M8"/>
    <mergeCell ref="M10:M14"/>
    <mergeCell ref="M16:M20"/>
    <mergeCell ref="M22:M26"/>
    <mergeCell ref="M28:M32"/>
    <mergeCell ref="M34:M38"/>
    <mergeCell ref="M40:M44"/>
    <mergeCell ref="M46:M50"/>
    <mergeCell ref="M52:M56"/>
    <mergeCell ref="M58:M62"/>
    <mergeCell ref="M64:M68"/>
    <mergeCell ref="M70:M74"/>
    <mergeCell ref="M76:M80"/>
    <mergeCell ref="N64:N68"/>
    <mergeCell ref="N70:N74"/>
    <mergeCell ref="N76:N80"/>
    <mergeCell ref="N34:N38"/>
    <mergeCell ref="N40:N44"/>
    <mergeCell ref="N46:N50"/>
    <mergeCell ref="N52:N56"/>
    <mergeCell ref="N58:N62"/>
    <mergeCell ref="N4:N8"/>
    <mergeCell ref="N10:N14"/>
    <mergeCell ref="N16:N20"/>
    <mergeCell ref="N22:N26"/>
    <mergeCell ref="N28:N32"/>
    <mergeCell ref="A1:K1"/>
    <mergeCell ref="H24:H27"/>
    <mergeCell ref="H29:H32"/>
    <mergeCell ref="H34:H37"/>
    <mergeCell ref="H39:H42"/>
    <mergeCell ref="C3:E3"/>
    <mergeCell ref="H4:H7"/>
    <mergeCell ref="H9:H12"/>
    <mergeCell ref="H14:H17"/>
    <mergeCell ref="H19:H22"/>
  </mergeCells>
  <pageMargins left="0.7" right="0.7" top="0.75" bottom="0.75" header="0.3" footer="0.3"/>
  <pageSetup paperSize="9"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BEAEB9-E0D9-F24C-B93D-16E16BAF9EFB}">
  <sheetPr codeName="Sheet8"/>
  <dimension ref="A1:H91"/>
  <sheetViews>
    <sheetView topLeftCell="A87" zoomScale="145" zoomScaleNormal="145" workbookViewId="0">
      <selection activeCell="F24" sqref="F24"/>
    </sheetView>
  </sheetViews>
  <sheetFormatPr baseColWidth="10" defaultRowHeight="13" x14ac:dyDescent="0.15"/>
  <cols>
    <col min="4" max="4" width="19.6640625" customWidth="1"/>
    <col min="6" max="6" width="90.6640625" customWidth="1"/>
    <col min="7" max="7" width="64.33203125" customWidth="1"/>
  </cols>
  <sheetData>
    <row r="1" spans="1:8" x14ac:dyDescent="0.15">
      <c r="A1" s="245" t="s">
        <v>243</v>
      </c>
      <c r="B1" s="245" t="s">
        <v>244</v>
      </c>
      <c r="C1" s="245" t="s">
        <v>88</v>
      </c>
      <c r="D1" s="245" t="s">
        <v>245</v>
      </c>
      <c r="E1" s="245" t="s">
        <v>137</v>
      </c>
      <c r="F1" s="245" t="s">
        <v>246</v>
      </c>
      <c r="G1" s="245" t="s">
        <v>247</v>
      </c>
      <c r="H1" s="245" t="s">
        <v>248</v>
      </c>
    </row>
    <row r="2" spans="1:8" ht="56" x14ac:dyDescent="0.15">
      <c r="A2" s="245" t="s">
        <v>324</v>
      </c>
      <c r="B2" s="245" t="s">
        <v>286</v>
      </c>
      <c r="C2" s="245" t="s">
        <v>325</v>
      </c>
      <c r="D2" s="245" t="s">
        <v>326</v>
      </c>
      <c r="E2" s="245">
        <v>1</v>
      </c>
      <c r="F2" s="245" t="s">
        <v>327</v>
      </c>
      <c r="G2" s="247" t="s">
        <v>328</v>
      </c>
      <c r="H2" s="245">
        <v>4</v>
      </c>
    </row>
    <row r="3" spans="1:8" ht="84" x14ac:dyDescent="0.15">
      <c r="A3" s="245" t="s">
        <v>329</v>
      </c>
      <c r="B3" s="245" t="s">
        <v>286</v>
      </c>
      <c r="C3" s="245" t="s">
        <v>325</v>
      </c>
      <c r="D3" s="245" t="s">
        <v>326</v>
      </c>
      <c r="E3" s="245">
        <v>2</v>
      </c>
      <c r="F3" s="245" t="s">
        <v>330</v>
      </c>
      <c r="G3" s="247" t="s">
        <v>331</v>
      </c>
      <c r="H3" s="245">
        <v>0</v>
      </c>
    </row>
    <row r="4" spans="1:8" ht="98" x14ac:dyDescent="0.15">
      <c r="A4" s="245" t="s">
        <v>332</v>
      </c>
      <c r="B4" s="245" t="s">
        <v>286</v>
      </c>
      <c r="C4" s="245" t="s">
        <v>325</v>
      </c>
      <c r="D4" s="245" t="s">
        <v>326</v>
      </c>
      <c r="E4" s="245">
        <v>3</v>
      </c>
      <c r="F4" s="245" t="s">
        <v>333</v>
      </c>
      <c r="G4" s="247" t="s">
        <v>334</v>
      </c>
      <c r="H4" s="245">
        <v>0</v>
      </c>
    </row>
    <row r="5" spans="1:8" ht="84" x14ac:dyDescent="0.15">
      <c r="A5" s="245" t="s">
        <v>335</v>
      </c>
      <c r="B5" s="245" t="s">
        <v>286</v>
      </c>
      <c r="C5" s="245" t="s">
        <v>325</v>
      </c>
      <c r="D5" s="245" t="s">
        <v>336</v>
      </c>
      <c r="E5" s="245">
        <v>1</v>
      </c>
      <c r="F5" s="245" t="s">
        <v>337</v>
      </c>
      <c r="G5" s="247" t="s">
        <v>338</v>
      </c>
      <c r="H5" s="245">
        <v>0</v>
      </c>
    </row>
    <row r="6" spans="1:8" ht="70" x14ac:dyDescent="0.15">
      <c r="A6" s="245" t="s">
        <v>339</v>
      </c>
      <c r="B6" s="245" t="s">
        <v>286</v>
      </c>
      <c r="C6" s="245" t="s">
        <v>325</v>
      </c>
      <c r="D6" s="245" t="s">
        <v>336</v>
      </c>
      <c r="E6" s="245">
        <v>2</v>
      </c>
      <c r="F6" s="245" t="s">
        <v>340</v>
      </c>
      <c r="G6" s="247" t="s">
        <v>341</v>
      </c>
      <c r="H6" s="245">
        <v>12</v>
      </c>
    </row>
    <row r="7" spans="1:8" ht="98" x14ac:dyDescent="0.15">
      <c r="A7" s="245" t="s">
        <v>342</v>
      </c>
      <c r="B7" s="245" t="s">
        <v>286</v>
      </c>
      <c r="C7" s="245" t="s">
        <v>325</v>
      </c>
      <c r="D7" s="245" t="s">
        <v>336</v>
      </c>
      <c r="E7" s="245">
        <v>3</v>
      </c>
      <c r="F7" s="245" t="s">
        <v>343</v>
      </c>
      <c r="G7" s="247" t="s">
        <v>344</v>
      </c>
      <c r="H7" s="245">
        <v>0</v>
      </c>
    </row>
    <row r="8" spans="1:8" ht="70" x14ac:dyDescent="0.15">
      <c r="A8" s="245" t="s">
        <v>305</v>
      </c>
      <c r="B8" s="245" t="s">
        <v>286</v>
      </c>
      <c r="C8" s="245" t="s">
        <v>43</v>
      </c>
      <c r="D8" s="245" t="s">
        <v>306</v>
      </c>
      <c r="E8" s="245">
        <v>1</v>
      </c>
      <c r="F8" s="245" t="s">
        <v>64</v>
      </c>
      <c r="G8" s="247" t="s">
        <v>307</v>
      </c>
      <c r="H8" s="245">
        <v>4</v>
      </c>
    </row>
    <row r="9" spans="1:8" ht="98" x14ac:dyDescent="0.15">
      <c r="A9" s="245" t="s">
        <v>308</v>
      </c>
      <c r="B9" s="245" t="s">
        <v>286</v>
      </c>
      <c r="C9" s="245" t="s">
        <v>43</v>
      </c>
      <c r="D9" s="245" t="s">
        <v>306</v>
      </c>
      <c r="E9" s="245">
        <v>2</v>
      </c>
      <c r="F9" s="245" t="s">
        <v>309</v>
      </c>
      <c r="G9" s="247" t="s">
        <v>310</v>
      </c>
      <c r="H9" s="245">
        <v>1</v>
      </c>
    </row>
    <row r="10" spans="1:8" ht="98" x14ac:dyDescent="0.15">
      <c r="A10" s="245" t="s">
        <v>311</v>
      </c>
      <c r="B10" s="245" t="s">
        <v>286</v>
      </c>
      <c r="C10" s="245" t="s">
        <v>43</v>
      </c>
      <c r="D10" s="245" t="s">
        <v>306</v>
      </c>
      <c r="E10" s="245">
        <v>3</v>
      </c>
      <c r="F10" s="245" t="s">
        <v>312</v>
      </c>
      <c r="G10" s="247" t="s">
        <v>313</v>
      </c>
      <c r="H10" s="245">
        <v>0</v>
      </c>
    </row>
    <row r="11" spans="1:8" ht="70" x14ac:dyDescent="0.15">
      <c r="A11" s="245" t="s">
        <v>314</v>
      </c>
      <c r="B11" s="245" t="s">
        <v>286</v>
      </c>
      <c r="C11" s="245" t="s">
        <v>43</v>
      </c>
      <c r="D11" s="245" t="s">
        <v>315</v>
      </c>
      <c r="E11" s="245">
        <v>1</v>
      </c>
      <c r="F11" s="245" t="s">
        <v>316</v>
      </c>
      <c r="G11" s="247" t="s">
        <v>317</v>
      </c>
      <c r="H11" s="245">
        <v>1</v>
      </c>
    </row>
    <row r="12" spans="1:8" ht="112" x14ac:dyDescent="0.15">
      <c r="A12" s="245" t="s">
        <v>318</v>
      </c>
      <c r="B12" s="245" t="s">
        <v>286</v>
      </c>
      <c r="C12" s="245" t="s">
        <v>43</v>
      </c>
      <c r="D12" s="245" t="s">
        <v>315</v>
      </c>
      <c r="E12" s="245">
        <v>2</v>
      </c>
      <c r="F12" s="245" t="s">
        <v>319</v>
      </c>
      <c r="G12" s="247" t="s">
        <v>320</v>
      </c>
      <c r="H12" s="245">
        <v>1</v>
      </c>
    </row>
    <row r="13" spans="1:8" ht="112" x14ac:dyDescent="0.15">
      <c r="A13" s="245" t="s">
        <v>321</v>
      </c>
      <c r="B13" s="245" t="s">
        <v>286</v>
      </c>
      <c r="C13" s="245" t="s">
        <v>43</v>
      </c>
      <c r="D13" s="245" t="s">
        <v>315</v>
      </c>
      <c r="E13" s="245">
        <v>3</v>
      </c>
      <c r="F13" s="245" t="s">
        <v>322</v>
      </c>
      <c r="G13" s="247" t="s">
        <v>323</v>
      </c>
      <c r="H13" s="245">
        <v>1</v>
      </c>
    </row>
    <row r="14" spans="1:8" ht="84" x14ac:dyDescent="0.15">
      <c r="A14" s="245" t="s">
        <v>285</v>
      </c>
      <c r="B14" s="245" t="s">
        <v>286</v>
      </c>
      <c r="C14" s="245" t="s">
        <v>39</v>
      </c>
      <c r="D14" s="245" t="s">
        <v>287</v>
      </c>
      <c r="E14" s="245">
        <v>1</v>
      </c>
      <c r="F14" s="245" t="s">
        <v>288</v>
      </c>
      <c r="G14" s="247" t="s">
        <v>289</v>
      </c>
      <c r="H14" s="245">
        <v>1</v>
      </c>
    </row>
    <row r="15" spans="1:8" ht="84" x14ac:dyDescent="0.15">
      <c r="A15" s="245" t="s">
        <v>290</v>
      </c>
      <c r="B15" s="245" t="s">
        <v>286</v>
      </c>
      <c r="C15" s="245" t="s">
        <v>39</v>
      </c>
      <c r="D15" s="245" t="s">
        <v>287</v>
      </c>
      <c r="E15" s="245">
        <v>2</v>
      </c>
      <c r="F15" s="245" t="s">
        <v>291</v>
      </c>
      <c r="G15" s="247" t="s">
        <v>292</v>
      </c>
      <c r="H15" s="245">
        <v>0</v>
      </c>
    </row>
    <row r="16" spans="1:8" ht="70" x14ac:dyDescent="0.15">
      <c r="A16" s="245" t="s">
        <v>293</v>
      </c>
      <c r="B16" s="245" t="s">
        <v>286</v>
      </c>
      <c r="C16" s="245" t="s">
        <v>39</v>
      </c>
      <c r="D16" s="245" t="s">
        <v>287</v>
      </c>
      <c r="E16" s="245">
        <v>3</v>
      </c>
      <c r="F16" s="245" t="s">
        <v>294</v>
      </c>
      <c r="G16" s="247" t="s">
        <v>295</v>
      </c>
      <c r="H16" s="245">
        <v>17</v>
      </c>
    </row>
    <row r="17" spans="1:8" ht="42" x14ac:dyDescent="0.15">
      <c r="A17" s="245" t="s">
        <v>296</v>
      </c>
      <c r="B17" s="245" t="s">
        <v>286</v>
      </c>
      <c r="C17" s="245" t="s">
        <v>39</v>
      </c>
      <c r="D17" s="245" t="s">
        <v>297</v>
      </c>
      <c r="E17" s="245">
        <v>1</v>
      </c>
      <c r="F17" s="245" t="s">
        <v>298</v>
      </c>
      <c r="G17" s="247" t="s">
        <v>299</v>
      </c>
      <c r="H17" s="245">
        <v>1</v>
      </c>
    </row>
    <row r="18" spans="1:8" ht="98" x14ac:dyDescent="0.15">
      <c r="A18" s="245" t="s">
        <v>300</v>
      </c>
      <c r="B18" s="245" t="s">
        <v>286</v>
      </c>
      <c r="C18" s="245" t="s">
        <v>39</v>
      </c>
      <c r="D18" s="245" t="s">
        <v>297</v>
      </c>
      <c r="E18" s="245">
        <v>2</v>
      </c>
      <c r="F18" s="245" t="s">
        <v>301</v>
      </c>
      <c r="G18" s="247" t="s">
        <v>302</v>
      </c>
      <c r="H18" s="245">
        <v>1</v>
      </c>
    </row>
    <row r="19" spans="1:8" ht="70" x14ac:dyDescent="0.15">
      <c r="A19" s="245" t="s">
        <v>303</v>
      </c>
      <c r="B19" s="245" t="s">
        <v>286</v>
      </c>
      <c r="C19" s="245" t="s">
        <v>39</v>
      </c>
      <c r="D19" s="245" t="s">
        <v>297</v>
      </c>
      <c r="E19" s="245">
        <v>3</v>
      </c>
      <c r="F19" s="245" t="s">
        <v>304</v>
      </c>
      <c r="G19" s="285" t="s">
        <v>557</v>
      </c>
      <c r="H19" s="245">
        <v>4</v>
      </c>
    </row>
    <row r="20" spans="1:8" ht="154" x14ac:dyDescent="0.15">
      <c r="A20" s="245" t="s">
        <v>268</v>
      </c>
      <c r="B20" s="245" t="s">
        <v>24</v>
      </c>
      <c r="C20" s="245" t="s">
        <v>34</v>
      </c>
      <c r="D20" s="245" t="s">
        <v>269</v>
      </c>
      <c r="E20" s="245">
        <v>1</v>
      </c>
      <c r="F20" s="245" t="s">
        <v>270</v>
      </c>
      <c r="G20" s="247" t="s">
        <v>271</v>
      </c>
      <c r="H20" s="245">
        <v>1</v>
      </c>
    </row>
    <row r="21" spans="1:8" ht="112" x14ac:dyDescent="0.15">
      <c r="A21" s="245" t="s">
        <v>272</v>
      </c>
      <c r="B21" s="245" t="s">
        <v>24</v>
      </c>
      <c r="C21" s="245" t="s">
        <v>34</v>
      </c>
      <c r="D21" s="245" t="s">
        <v>269</v>
      </c>
      <c r="E21" s="245">
        <v>2</v>
      </c>
      <c r="F21" s="245" t="s">
        <v>273</v>
      </c>
      <c r="G21" s="247" t="s">
        <v>274</v>
      </c>
      <c r="H21" s="245">
        <v>2</v>
      </c>
    </row>
    <row r="22" spans="1:8" ht="98" x14ac:dyDescent="0.15">
      <c r="A22" s="245" t="s">
        <v>275</v>
      </c>
      <c r="B22" s="245" t="s">
        <v>24</v>
      </c>
      <c r="C22" s="245" t="s">
        <v>34</v>
      </c>
      <c r="D22" s="245" t="s">
        <v>269</v>
      </c>
      <c r="E22" s="245">
        <v>3</v>
      </c>
      <c r="F22" s="245" t="s">
        <v>276</v>
      </c>
      <c r="G22" s="247" t="s">
        <v>558</v>
      </c>
      <c r="H22" s="245">
        <v>3</v>
      </c>
    </row>
    <row r="23" spans="1:8" ht="98" x14ac:dyDescent="0.15">
      <c r="A23" s="245" t="s">
        <v>277</v>
      </c>
      <c r="B23" s="245" t="s">
        <v>24</v>
      </c>
      <c r="C23" s="245" t="s">
        <v>34</v>
      </c>
      <c r="D23" s="245" t="s">
        <v>278</v>
      </c>
      <c r="E23" s="245">
        <v>1</v>
      </c>
      <c r="F23" s="245" t="s">
        <v>565</v>
      </c>
      <c r="G23" s="247" t="s">
        <v>279</v>
      </c>
      <c r="H23" s="245">
        <v>4</v>
      </c>
    </row>
    <row r="24" spans="1:8" ht="98" x14ac:dyDescent="0.15">
      <c r="A24" s="245" t="s">
        <v>280</v>
      </c>
      <c r="B24" s="245" t="s">
        <v>24</v>
      </c>
      <c r="C24" s="245" t="s">
        <v>34</v>
      </c>
      <c r="D24" s="245" t="s">
        <v>278</v>
      </c>
      <c r="E24" s="245">
        <v>2</v>
      </c>
      <c r="F24" s="245" t="s">
        <v>281</v>
      </c>
      <c r="G24" s="247" t="s">
        <v>559</v>
      </c>
      <c r="H24" s="245">
        <v>5</v>
      </c>
    </row>
    <row r="25" spans="1:8" ht="140" x14ac:dyDescent="0.15">
      <c r="A25" s="245" t="s">
        <v>282</v>
      </c>
      <c r="B25" s="245" t="s">
        <v>24</v>
      </c>
      <c r="C25" s="245" t="s">
        <v>34</v>
      </c>
      <c r="D25" s="245" t="s">
        <v>278</v>
      </c>
      <c r="E25" s="245">
        <v>3</v>
      </c>
      <c r="F25" s="245" t="s">
        <v>283</v>
      </c>
      <c r="G25" s="247" t="s">
        <v>284</v>
      </c>
      <c r="H25" s="245">
        <v>5</v>
      </c>
    </row>
    <row r="26" spans="1:8" ht="84" x14ac:dyDescent="0.15">
      <c r="A26" s="245" t="s">
        <v>249</v>
      </c>
      <c r="B26" s="245" t="s">
        <v>24</v>
      </c>
      <c r="C26" s="245" t="s">
        <v>25</v>
      </c>
      <c r="D26" s="245" t="s">
        <v>250</v>
      </c>
      <c r="E26" s="245">
        <v>1</v>
      </c>
      <c r="F26" s="245" t="s">
        <v>186</v>
      </c>
      <c r="G26" s="247" t="s">
        <v>251</v>
      </c>
      <c r="H26" s="245">
        <v>13</v>
      </c>
    </row>
    <row r="27" spans="1:8" ht="140" x14ac:dyDescent="0.15">
      <c r="A27" s="245" t="s">
        <v>258</v>
      </c>
      <c r="B27" s="245" t="s">
        <v>24</v>
      </c>
      <c r="C27" s="245" t="s">
        <v>25</v>
      </c>
      <c r="D27" s="245" t="s">
        <v>259</v>
      </c>
      <c r="E27" s="245">
        <v>1</v>
      </c>
      <c r="F27" s="245" t="s">
        <v>260</v>
      </c>
      <c r="G27" s="247" t="s">
        <v>261</v>
      </c>
      <c r="H27" s="245">
        <v>16</v>
      </c>
    </row>
    <row r="28" spans="1:8" ht="112" x14ac:dyDescent="0.15">
      <c r="A28" s="245" t="s">
        <v>252</v>
      </c>
      <c r="B28" s="245" t="s">
        <v>24</v>
      </c>
      <c r="C28" s="245" t="s">
        <v>25</v>
      </c>
      <c r="D28" s="245" t="s">
        <v>250</v>
      </c>
      <c r="E28" s="245">
        <v>2</v>
      </c>
      <c r="F28" s="245" t="s">
        <v>253</v>
      </c>
      <c r="G28" s="247" t="s">
        <v>254</v>
      </c>
      <c r="H28" s="245">
        <v>14</v>
      </c>
    </row>
    <row r="29" spans="1:8" ht="140" x14ac:dyDescent="0.15">
      <c r="A29" s="245" t="s">
        <v>262</v>
      </c>
      <c r="B29" s="245" t="s">
        <v>24</v>
      </c>
      <c r="C29" s="245" t="s">
        <v>25</v>
      </c>
      <c r="D29" s="245" t="s">
        <v>259</v>
      </c>
      <c r="E29" s="245">
        <v>2</v>
      </c>
      <c r="F29" s="245" t="s">
        <v>263</v>
      </c>
      <c r="G29" s="247" t="s">
        <v>264</v>
      </c>
      <c r="H29" s="245">
        <v>1</v>
      </c>
    </row>
    <row r="30" spans="1:8" ht="126" x14ac:dyDescent="0.15">
      <c r="A30" s="245" t="s">
        <v>255</v>
      </c>
      <c r="B30" s="245" t="s">
        <v>24</v>
      </c>
      <c r="C30" s="245" t="s">
        <v>25</v>
      </c>
      <c r="D30" s="245" t="s">
        <v>250</v>
      </c>
      <c r="E30" s="245">
        <v>3</v>
      </c>
      <c r="F30" s="245" t="s">
        <v>256</v>
      </c>
      <c r="G30" s="247" t="s">
        <v>257</v>
      </c>
      <c r="H30" s="245">
        <v>15</v>
      </c>
    </row>
    <row r="31" spans="1:8" ht="56" x14ac:dyDescent="0.15">
      <c r="A31" s="245" t="s">
        <v>265</v>
      </c>
      <c r="B31" s="245" t="s">
        <v>24</v>
      </c>
      <c r="C31" s="245" t="s">
        <v>25</v>
      </c>
      <c r="D31" s="245" t="s">
        <v>259</v>
      </c>
      <c r="E31" s="245">
        <v>3</v>
      </c>
      <c r="F31" s="245" t="s">
        <v>266</v>
      </c>
      <c r="G31" s="247" t="s">
        <v>267</v>
      </c>
      <c r="H31" s="245">
        <v>4</v>
      </c>
    </row>
    <row r="32" spans="1:8" ht="56" x14ac:dyDescent="0.15">
      <c r="A32" s="245" t="s">
        <v>388</v>
      </c>
      <c r="B32" s="245" t="s">
        <v>346</v>
      </c>
      <c r="C32" s="245" t="s">
        <v>389</v>
      </c>
      <c r="D32" s="245" t="s">
        <v>390</v>
      </c>
      <c r="E32" s="245">
        <v>1</v>
      </c>
      <c r="F32" s="245" t="s">
        <v>391</v>
      </c>
      <c r="G32" s="247" t="s">
        <v>392</v>
      </c>
      <c r="H32" s="245">
        <v>0</v>
      </c>
    </row>
    <row r="33" spans="1:8" ht="56" x14ac:dyDescent="0.15">
      <c r="A33" s="245" t="s">
        <v>393</v>
      </c>
      <c r="B33" s="245" t="s">
        <v>346</v>
      </c>
      <c r="C33" s="245" t="s">
        <v>389</v>
      </c>
      <c r="D33" s="245" t="s">
        <v>390</v>
      </c>
      <c r="E33" s="245">
        <v>2</v>
      </c>
      <c r="F33" s="245" t="s">
        <v>394</v>
      </c>
      <c r="G33" s="247" t="s">
        <v>395</v>
      </c>
      <c r="H33" s="245">
        <v>0</v>
      </c>
    </row>
    <row r="34" spans="1:8" ht="56" x14ac:dyDescent="0.15">
      <c r="A34" s="245" t="s">
        <v>396</v>
      </c>
      <c r="B34" s="245" t="s">
        <v>346</v>
      </c>
      <c r="C34" s="245" t="s">
        <v>389</v>
      </c>
      <c r="D34" s="245" t="s">
        <v>390</v>
      </c>
      <c r="E34" s="245">
        <v>3</v>
      </c>
      <c r="F34" s="245" t="s">
        <v>397</v>
      </c>
      <c r="G34" s="247" t="s">
        <v>398</v>
      </c>
      <c r="H34" s="245">
        <v>0</v>
      </c>
    </row>
    <row r="35" spans="1:8" ht="56" x14ac:dyDescent="0.15">
      <c r="A35" s="245" t="s">
        <v>399</v>
      </c>
      <c r="B35" s="245" t="s">
        <v>346</v>
      </c>
      <c r="C35" s="245" t="s">
        <v>389</v>
      </c>
      <c r="D35" s="245" t="s">
        <v>400</v>
      </c>
      <c r="E35" s="245">
        <v>1</v>
      </c>
      <c r="F35" s="245" t="s">
        <v>401</v>
      </c>
      <c r="G35" s="247" t="s">
        <v>402</v>
      </c>
      <c r="H35" s="245">
        <v>0</v>
      </c>
    </row>
    <row r="36" spans="1:8" ht="84" x14ac:dyDescent="0.15">
      <c r="A36" s="245" t="s">
        <v>403</v>
      </c>
      <c r="B36" s="245" t="s">
        <v>346</v>
      </c>
      <c r="C36" s="245" t="s">
        <v>389</v>
      </c>
      <c r="D36" s="245" t="s">
        <v>400</v>
      </c>
      <c r="E36" s="245">
        <v>2</v>
      </c>
      <c r="F36" s="245" t="s">
        <v>404</v>
      </c>
      <c r="G36" s="247" t="s">
        <v>405</v>
      </c>
      <c r="H36" s="245">
        <v>0</v>
      </c>
    </row>
    <row r="37" spans="1:8" ht="84" x14ac:dyDescent="0.15">
      <c r="A37" s="245" t="s">
        <v>406</v>
      </c>
      <c r="B37" s="245" t="s">
        <v>346</v>
      </c>
      <c r="C37" s="245" t="s">
        <v>389</v>
      </c>
      <c r="D37" s="245" t="s">
        <v>400</v>
      </c>
      <c r="E37" s="245">
        <v>3</v>
      </c>
      <c r="F37" s="245" t="s">
        <v>407</v>
      </c>
      <c r="G37" s="247" t="s">
        <v>408</v>
      </c>
      <c r="H37" s="245">
        <v>0</v>
      </c>
    </row>
    <row r="38" spans="1:8" ht="84" x14ac:dyDescent="0.15">
      <c r="A38" s="245" t="s">
        <v>345</v>
      </c>
      <c r="B38" s="245" t="s">
        <v>346</v>
      </c>
      <c r="C38" s="245" t="s">
        <v>347</v>
      </c>
      <c r="D38" s="245" t="s">
        <v>348</v>
      </c>
      <c r="E38" s="245">
        <v>1</v>
      </c>
      <c r="F38" s="245" t="s">
        <v>349</v>
      </c>
      <c r="G38" s="247" t="s">
        <v>350</v>
      </c>
      <c r="H38" s="245">
        <v>0</v>
      </c>
    </row>
    <row r="39" spans="1:8" ht="56" x14ac:dyDescent="0.15">
      <c r="A39" s="245" t="s">
        <v>351</v>
      </c>
      <c r="B39" s="245" t="s">
        <v>346</v>
      </c>
      <c r="C39" s="245" t="s">
        <v>347</v>
      </c>
      <c r="D39" s="245" t="s">
        <v>348</v>
      </c>
      <c r="E39" s="245">
        <v>2</v>
      </c>
      <c r="F39" s="245" t="s">
        <v>352</v>
      </c>
      <c r="G39" s="247" t="s">
        <v>353</v>
      </c>
      <c r="H39" s="245">
        <v>0</v>
      </c>
    </row>
    <row r="40" spans="1:8" ht="84" x14ac:dyDescent="0.15">
      <c r="A40" s="245" t="s">
        <v>354</v>
      </c>
      <c r="B40" s="245" t="s">
        <v>346</v>
      </c>
      <c r="C40" s="245" t="s">
        <v>347</v>
      </c>
      <c r="D40" s="245" t="s">
        <v>348</v>
      </c>
      <c r="E40" s="245">
        <v>3</v>
      </c>
      <c r="F40" s="245" t="s">
        <v>355</v>
      </c>
      <c r="G40" s="247" t="s">
        <v>356</v>
      </c>
      <c r="H40" s="245">
        <v>0</v>
      </c>
    </row>
    <row r="41" spans="1:8" ht="70" x14ac:dyDescent="0.15">
      <c r="A41" s="245" t="s">
        <v>357</v>
      </c>
      <c r="B41" s="245" t="s">
        <v>346</v>
      </c>
      <c r="C41" s="245" t="s">
        <v>347</v>
      </c>
      <c r="D41" s="245" t="s">
        <v>358</v>
      </c>
      <c r="E41" s="245">
        <v>1</v>
      </c>
      <c r="F41" s="245" t="s">
        <v>359</v>
      </c>
      <c r="G41" s="247" t="s">
        <v>360</v>
      </c>
      <c r="H41" s="245">
        <v>0</v>
      </c>
    </row>
    <row r="42" spans="1:8" ht="84" x14ac:dyDescent="0.15">
      <c r="A42" s="245" t="s">
        <v>361</v>
      </c>
      <c r="B42" s="245" t="s">
        <v>346</v>
      </c>
      <c r="C42" s="245" t="s">
        <v>347</v>
      </c>
      <c r="D42" s="245" t="s">
        <v>358</v>
      </c>
      <c r="E42" s="245">
        <v>2</v>
      </c>
      <c r="F42" s="245" t="s">
        <v>362</v>
      </c>
      <c r="G42" s="247" t="s">
        <v>363</v>
      </c>
      <c r="H42" s="245">
        <v>0</v>
      </c>
    </row>
    <row r="43" spans="1:8" ht="126" x14ac:dyDescent="0.15">
      <c r="A43" s="245" t="s">
        <v>364</v>
      </c>
      <c r="B43" s="245" t="s">
        <v>346</v>
      </c>
      <c r="C43" s="245" t="s">
        <v>347</v>
      </c>
      <c r="D43" s="245" t="s">
        <v>358</v>
      </c>
      <c r="E43" s="245">
        <v>3</v>
      </c>
      <c r="F43" s="245" t="s">
        <v>365</v>
      </c>
      <c r="G43" s="247" t="s">
        <v>366</v>
      </c>
      <c r="H43" s="245">
        <v>0</v>
      </c>
    </row>
    <row r="44" spans="1:8" ht="84" x14ac:dyDescent="0.15">
      <c r="A44" s="245" t="s">
        <v>367</v>
      </c>
      <c r="B44" s="245" t="s">
        <v>346</v>
      </c>
      <c r="C44" s="245" t="s">
        <v>368</v>
      </c>
      <c r="D44" s="245" t="s">
        <v>369</v>
      </c>
      <c r="E44" s="245">
        <v>1</v>
      </c>
      <c r="F44" s="245" t="s">
        <v>370</v>
      </c>
      <c r="G44" s="247" t="s">
        <v>371</v>
      </c>
      <c r="H44" s="245">
        <v>0</v>
      </c>
    </row>
    <row r="45" spans="1:8" ht="56" x14ac:dyDescent="0.15">
      <c r="A45" s="245" t="s">
        <v>372</v>
      </c>
      <c r="B45" s="245" t="s">
        <v>346</v>
      </c>
      <c r="C45" s="245" t="s">
        <v>368</v>
      </c>
      <c r="D45" s="245" t="s">
        <v>369</v>
      </c>
      <c r="E45" s="245">
        <v>2</v>
      </c>
      <c r="F45" s="245" t="s">
        <v>373</v>
      </c>
      <c r="G45" s="247" t="s">
        <v>374</v>
      </c>
      <c r="H45" s="245">
        <v>0</v>
      </c>
    </row>
    <row r="46" spans="1:8" ht="42" x14ac:dyDescent="0.15">
      <c r="A46" s="245" t="s">
        <v>375</v>
      </c>
      <c r="B46" s="245" t="s">
        <v>346</v>
      </c>
      <c r="C46" s="245" t="s">
        <v>368</v>
      </c>
      <c r="D46" s="245" t="s">
        <v>369</v>
      </c>
      <c r="E46" s="245">
        <v>3</v>
      </c>
      <c r="F46" s="245" t="s">
        <v>376</v>
      </c>
      <c r="G46" s="247" t="s">
        <v>377</v>
      </c>
      <c r="H46" s="245">
        <v>0</v>
      </c>
    </row>
    <row r="47" spans="1:8" ht="28" x14ac:dyDescent="0.15">
      <c r="A47" s="245" t="s">
        <v>378</v>
      </c>
      <c r="B47" s="245" t="s">
        <v>346</v>
      </c>
      <c r="C47" s="245" t="s">
        <v>368</v>
      </c>
      <c r="D47" s="245" t="s">
        <v>379</v>
      </c>
      <c r="E47" s="245">
        <v>1</v>
      </c>
      <c r="F47" s="245" t="s">
        <v>380</v>
      </c>
      <c r="G47" s="247" t="s">
        <v>381</v>
      </c>
      <c r="H47" s="245">
        <v>0</v>
      </c>
    </row>
    <row r="48" spans="1:8" ht="56" x14ac:dyDescent="0.15">
      <c r="A48" s="245" t="s">
        <v>382</v>
      </c>
      <c r="B48" s="245" t="s">
        <v>346</v>
      </c>
      <c r="C48" s="245" t="s">
        <v>368</v>
      </c>
      <c r="D48" s="245" t="s">
        <v>379</v>
      </c>
      <c r="E48" s="245">
        <v>2</v>
      </c>
      <c r="F48" s="245" t="s">
        <v>383</v>
      </c>
      <c r="G48" s="247" t="s">
        <v>384</v>
      </c>
      <c r="H48" s="245">
        <v>0</v>
      </c>
    </row>
    <row r="49" spans="1:8" ht="42" x14ac:dyDescent="0.15">
      <c r="A49" s="245" t="s">
        <v>385</v>
      </c>
      <c r="B49" s="245" t="s">
        <v>346</v>
      </c>
      <c r="C49" s="245" t="s">
        <v>368</v>
      </c>
      <c r="D49" s="245" t="s">
        <v>379</v>
      </c>
      <c r="E49" s="245">
        <v>3</v>
      </c>
      <c r="F49" s="245" t="s">
        <v>386</v>
      </c>
      <c r="G49" s="247" t="s">
        <v>387</v>
      </c>
      <c r="H49" s="245">
        <v>0</v>
      </c>
    </row>
    <row r="50" spans="1:8" ht="42" x14ac:dyDescent="0.15">
      <c r="A50" s="245" t="s">
        <v>491</v>
      </c>
      <c r="B50" s="245" t="s">
        <v>72</v>
      </c>
      <c r="C50" s="245" t="s">
        <v>492</v>
      </c>
      <c r="D50" s="245" t="s">
        <v>493</v>
      </c>
      <c r="E50" s="245">
        <v>1</v>
      </c>
      <c r="F50" s="245" t="s">
        <v>494</v>
      </c>
      <c r="G50" s="247" t="s">
        <v>495</v>
      </c>
      <c r="H50" s="245">
        <v>0</v>
      </c>
    </row>
    <row r="51" spans="1:8" ht="70" x14ac:dyDescent="0.15">
      <c r="A51" s="245" t="s">
        <v>496</v>
      </c>
      <c r="B51" s="245" t="s">
        <v>72</v>
      </c>
      <c r="C51" s="245" t="s">
        <v>492</v>
      </c>
      <c r="D51" s="245" t="s">
        <v>493</v>
      </c>
      <c r="E51" s="245">
        <v>2</v>
      </c>
      <c r="F51" s="245" t="s">
        <v>497</v>
      </c>
      <c r="G51" s="247" t="s">
        <v>498</v>
      </c>
      <c r="H51" s="245">
        <v>6</v>
      </c>
    </row>
    <row r="52" spans="1:8" ht="28" x14ac:dyDescent="0.15">
      <c r="A52" s="245" t="s">
        <v>499</v>
      </c>
      <c r="B52" s="245" t="s">
        <v>72</v>
      </c>
      <c r="C52" s="245" t="s">
        <v>492</v>
      </c>
      <c r="D52" s="245" t="s">
        <v>493</v>
      </c>
      <c r="E52" s="245">
        <v>3</v>
      </c>
      <c r="F52" s="245" t="s">
        <v>500</v>
      </c>
      <c r="G52" s="247" t="s">
        <v>501</v>
      </c>
      <c r="H52" s="245">
        <v>0</v>
      </c>
    </row>
    <row r="53" spans="1:8" ht="56" x14ac:dyDescent="0.15">
      <c r="A53" s="245" t="s">
        <v>502</v>
      </c>
      <c r="B53" s="245" t="s">
        <v>72</v>
      </c>
      <c r="C53" s="245" t="s">
        <v>492</v>
      </c>
      <c r="D53" s="245" t="s">
        <v>503</v>
      </c>
      <c r="E53" s="245">
        <v>1</v>
      </c>
      <c r="F53" s="245" t="s">
        <v>504</v>
      </c>
      <c r="G53" s="247" t="s">
        <v>505</v>
      </c>
      <c r="H53" s="245">
        <v>6</v>
      </c>
    </row>
    <row r="54" spans="1:8" ht="70" x14ac:dyDescent="0.15">
      <c r="A54" s="245" t="s">
        <v>506</v>
      </c>
      <c r="B54" s="245" t="s">
        <v>72</v>
      </c>
      <c r="C54" s="245" t="s">
        <v>492</v>
      </c>
      <c r="D54" s="245" t="s">
        <v>503</v>
      </c>
      <c r="E54" s="245">
        <v>2</v>
      </c>
      <c r="F54" s="245" t="s">
        <v>507</v>
      </c>
      <c r="G54" s="247" t="s">
        <v>508</v>
      </c>
      <c r="H54" s="245">
        <v>6</v>
      </c>
    </row>
    <row r="55" spans="1:8" ht="70" x14ac:dyDescent="0.15">
      <c r="A55" s="245" t="s">
        <v>509</v>
      </c>
      <c r="B55" s="245" t="s">
        <v>72</v>
      </c>
      <c r="C55" s="245" t="s">
        <v>492</v>
      </c>
      <c r="D55" s="245" t="s">
        <v>503</v>
      </c>
      <c r="E55" s="245">
        <v>3</v>
      </c>
      <c r="F55" s="245" t="s">
        <v>510</v>
      </c>
      <c r="G55" s="247" t="s">
        <v>511</v>
      </c>
      <c r="H55" s="245">
        <v>6</v>
      </c>
    </row>
    <row r="56" spans="1:8" ht="56" x14ac:dyDescent="0.15">
      <c r="A56" s="245" t="s">
        <v>470</v>
      </c>
      <c r="B56" s="245" t="s">
        <v>72</v>
      </c>
      <c r="C56" s="245" t="s">
        <v>471</v>
      </c>
      <c r="D56" s="245" t="s">
        <v>472</v>
      </c>
      <c r="E56" s="245">
        <v>1</v>
      </c>
      <c r="F56" s="245" t="s">
        <v>473</v>
      </c>
      <c r="G56" s="247" t="s">
        <v>474</v>
      </c>
      <c r="H56" s="245">
        <v>0</v>
      </c>
    </row>
    <row r="57" spans="1:8" ht="84" x14ac:dyDescent="0.15">
      <c r="A57" s="245" t="s">
        <v>475</v>
      </c>
      <c r="B57" s="245" t="s">
        <v>72</v>
      </c>
      <c r="C57" s="245" t="s">
        <v>471</v>
      </c>
      <c r="D57" s="245" t="s">
        <v>472</v>
      </c>
      <c r="E57" s="245">
        <v>2</v>
      </c>
      <c r="F57" s="245" t="s">
        <v>476</v>
      </c>
      <c r="G57" s="247" t="s">
        <v>477</v>
      </c>
      <c r="H57" s="245">
        <v>0</v>
      </c>
    </row>
    <row r="58" spans="1:8" ht="42" x14ac:dyDescent="0.15">
      <c r="A58" s="245" t="s">
        <v>478</v>
      </c>
      <c r="B58" s="245" t="s">
        <v>72</v>
      </c>
      <c r="C58" s="245" t="s">
        <v>471</v>
      </c>
      <c r="D58" s="245" t="s">
        <v>472</v>
      </c>
      <c r="E58" s="245">
        <v>3</v>
      </c>
      <c r="F58" s="245" t="s">
        <v>479</v>
      </c>
      <c r="G58" s="247" t="s">
        <v>480</v>
      </c>
      <c r="H58" s="245">
        <v>0</v>
      </c>
    </row>
    <row r="59" spans="1:8" ht="42" x14ac:dyDescent="0.15">
      <c r="A59" s="245" t="s">
        <v>481</v>
      </c>
      <c r="B59" s="245" t="s">
        <v>72</v>
      </c>
      <c r="C59" s="245" t="s">
        <v>471</v>
      </c>
      <c r="D59" s="245" t="s">
        <v>482</v>
      </c>
      <c r="E59" s="245">
        <v>1</v>
      </c>
      <c r="F59" s="245" t="s">
        <v>483</v>
      </c>
      <c r="G59" s="247" t="s">
        <v>484</v>
      </c>
      <c r="H59" s="245">
        <v>7</v>
      </c>
    </row>
    <row r="60" spans="1:8" ht="70" x14ac:dyDescent="0.15">
      <c r="A60" s="245" t="s">
        <v>485</v>
      </c>
      <c r="B60" s="245" t="s">
        <v>72</v>
      </c>
      <c r="C60" s="245" t="s">
        <v>471</v>
      </c>
      <c r="D60" s="245" t="s">
        <v>482</v>
      </c>
      <c r="E60" s="245">
        <v>2</v>
      </c>
      <c r="F60" s="245" t="s">
        <v>486</v>
      </c>
      <c r="G60" s="247" t="s">
        <v>487</v>
      </c>
      <c r="H60" s="245">
        <v>8</v>
      </c>
    </row>
    <row r="61" spans="1:8" ht="56" x14ac:dyDescent="0.15">
      <c r="A61" s="245" t="s">
        <v>488</v>
      </c>
      <c r="B61" s="245" t="s">
        <v>72</v>
      </c>
      <c r="C61" s="245" t="s">
        <v>471</v>
      </c>
      <c r="D61" s="245" t="s">
        <v>482</v>
      </c>
      <c r="E61" s="245">
        <v>3</v>
      </c>
      <c r="F61" s="245" t="s">
        <v>489</v>
      </c>
      <c r="G61" s="247" t="s">
        <v>490</v>
      </c>
      <c r="H61" s="245">
        <v>4</v>
      </c>
    </row>
    <row r="62" spans="1:8" ht="98" x14ac:dyDescent="0.15">
      <c r="A62" s="245" t="s">
        <v>512</v>
      </c>
      <c r="B62" s="245" t="s">
        <v>72</v>
      </c>
      <c r="C62" s="245" t="s">
        <v>513</v>
      </c>
      <c r="D62" s="245" t="s">
        <v>514</v>
      </c>
      <c r="E62" s="245">
        <v>1</v>
      </c>
      <c r="F62" s="245" t="s">
        <v>515</v>
      </c>
      <c r="G62" s="247" t="s">
        <v>516</v>
      </c>
      <c r="H62" s="245">
        <v>0</v>
      </c>
    </row>
    <row r="63" spans="1:8" ht="84" x14ac:dyDescent="0.15">
      <c r="A63" s="245" t="s">
        <v>517</v>
      </c>
      <c r="B63" s="245" t="s">
        <v>72</v>
      </c>
      <c r="C63" s="245" t="s">
        <v>513</v>
      </c>
      <c r="D63" s="245" t="s">
        <v>514</v>
      </c>
      <c r="E63" s="245">
        <v>2</v>
      </c>
      <c r="F63" s="245" t="s">
        <v>518</v>
      </c>
      <c r="G63" s="247" t="s">
        <v>519</v>
      </c>
      <c r="H63" s="245">
        <v>9</v>
      </c>
    </row>
    <row r="64" spans="1:8" ht="98" x14ac:dyDescent="0.15">
      <c r="A64" s="245" t="s">
        <v>520</v>
      </c>
      <c r="B64" s="245" t="s">
        <v>72</v>
      </c>
      <c r="C64" s="245" t="s">
        <v>513</v>
      </c>
      <c r="D64" s="245" t="s">
        <v>514</v>
      </c>
      <c r="E64" s="245">
        <v>3</v>
      </c>
      <c r="F64" s="245" t="s">
        <v>521</v>
      </c>
      <c r="G64" s="247" t="s">
        <v>522</v>
      </c>
      <c r="H64" s="245">
        <v>10</v>
      </c>
    </row>
    <row r="65" spans="1:8" ht="56" x14ac:dyDescent="0.15">
      <c r="A65" s="245" t="s">
        <v>523</v>
      </c>
      <c r="B65" s="245" t="s">
        <v>72</v>
      </c>
      <c r="C65" s="245" t="s">
        <v>513</v>
      </c>
      <c r="D65" s="245" t="s">
        <v>524</v>
      </c>
      <c r="E65" s="245">
        <v>1</v>
      </c>
      <c r="F65" s="245" t="s">
        <v>525</v>
      </c>
      <c r="G65" s="247" t="s">
        <v>526</v>
      </c>
      <c r="H65" s="245">
        <v>0</v>
      </c>
    </row>
    <row r="66" spans="1:8" ht="98" x14ac:dyDescent="0.15">
      <c r="A66" s="245" t="s">
        <v>527</v>
      </c>
      <c r="B66" s="245" t="s">
        <v>72</v>
      </c>
      <c r="C66" s="245" t="s">
        <v>513</v>
      </c>
      <c r="D66" s="245" t="s">
        <v>524</v>
      </c>
      <c r="E66" s="245">
        <v>2</v>
      </c>
      <c r="F66" s="245" t="s">
        <v>528</v>
      </c>
      <c r="G66" s="247" t="s">
        <v>529</v>
      </c>
      <c r="H66" s="245">
        <v>4</v>
      </c>
    </row>
    <row r="67" spans="1:8" ht="70" x14ac:dyDescent="0.15">
      <c r="A67" s="245" t="s">
        <v>530</v>
      </c>
      <c r="B67" s="245" t="s">
        <v>72</v>
      </c>
      <c r="C67" s="245" t="s">
        <v>513</v>
      </c>
      <c r="D67" s="245" t="s">
        <v>524</v>
      </c>
      <c r="E67" s="245">
        <v>3</v>
      </c>
      <c r="F67" s="245" t="s">
        <v>531</v>
      </c>
      <c r="G67" s="247" t="s">
        <v>532</v>
      </c>
      <c r="H67" s="245">
        <v>11</v>
      </c>
    </row>
    <row r="68" spans="1:8" ht="84" x14ac:dyDescent="0.15">
      <c r="A68" s="245" t="s">
        <v>409</v>
      </c>
      <c r="B68" s="245" t="s">
        <v>51</v>
      </c>
      <c r="C68" s="245" t="s">
        <v>410</v>
      </c>
      <c r="D68" s="245" t="s">
        <v>411</v>
      </c>
      <c r="E68" s="245">
        <v>1</v>
      </c>
      <c r="F68" s="245" t="s">
        <v>412</v>
      </c>
      <c r="G68" s="247" t="s">
        <v>413</v>
      </c>
      <c r="H68" s="245">
        <v>0</v>
      </c>
    </row>
    <row r="69" spans="1:8" ht="98" x14ac:dyDescent="0.15">
      <c r="A69" s="245" t="s">
        <v>414</v>
      </c>
      <c r="B69" s="245" t="s">
        <v>51</v>
      </c>
      <c r="C69" s="245" t="s">
        <v>410</v>
      </c>
      <c r="D69" s="245" t="s">
        <v>411</v>
      </c>
      <c r="E69" s="245">
        <v>2</v>
      </c>
      <c r="F69" s="245" t="s">
        <v>415</v>
      </c>
      <c r="G69" s="247" t="s">
        <v>560</v>
      </c>
      <c r="H69" s="245">
        <v>0</v>
      </c>
    </row>
    <row r="70" spans="1:8" ht="98" x14ac:dyDescent="0.15">
      <c r="A70" s="245" t="s">
        <v>416</v>
      </c>
      <c r="B70" s="245" t="s">
        <v>51</v>
      </c>
      <c r="C70" s="245" t="s">
        <v>410</v>
      </c>
      <c r="D70" s="245" t="s">
        <v>411</v>
      </c>
      <c r="E70" s="245">
        <v>3</v>
      </c>
      <c r="F70" s="245" t="s">
        <v>417</v>
      </c>
      <c r="G70" s="247" t="s">
        <v>418</v>
      </c>
      <c r="H70" s="245">
        <v>0</v>
      </c>
    </row>
    <row r="71" spans="1:8" ht="98" x14ac:dyDescent="0.15">
      <c r="A71" s="245" t="s">
        <v>419</v>
      </c>
      <c r="B71" s="245" t="s">
        <v>51</v>
      </c>
      <c r="C71" s="245" t="s">
        <v>410</v>
      </c>
      <c r="D71" s="245" t="s">
        <v>420</v>
      </c>
      <c r="E71" s="245">
        <v>1</v>
      </c>
      <c r="F71" s="245" t="s">
        <v>421</v>
      </c>
      <c r="G71" s="247" t="s">
        <v>422</v>
      </c>
      <c r="H71" s="245">
        <v>1</v>
      </c>
    </row>
    <row r="72" spans="1:8" ht="84" x14ac:dyDescent="0.15">
      <c r="A72" s="245" t="s">
        <v>423</v>
      </c>
      <c r="B72" s="245" t="s">
        <v>51</v>
      </c>
      <c r="C72" s="245" t="s">
        <v>410</v>
      </c>
      <c r="D72" s="245" t="s">
        <v>420</v>
      </c>
      <c r="E72" s="245">
        <v>2</v>
      </c>
      <c r="F72" s="245" t="s">
        <v>424</v>
      </c>
      <c r="G72" s="247" t="s">
        <v>425</v>
      </c>
      <c r="H72" s="245">
        <v>1</v>
      </c>
    </row>
    <row r="73" spans="1:8" ht="56" x14ac:dyDescent="0.15">
      <c r="A73" s="245" t="s">
        <v>426</v>
      </c>
      <c r="B73" s="245" t="s">
        <v>51</v>
      </c>
      <c r="C73" s="245" t="s">
        <v>410</v>
      </c>
      <c r="D73" s="245" t="s">
        <v>420</v>
      </c>
      <c r="E73" s="245">
        <v>3</v>
      </c>
      <c r="F73" s="245" t="s">
        <v>427</v>
      </c>
      <c r="G73" s="247" t="s">
        <v>428</v>
      </c>
      <c r="H73" s="245">
        <v>1</v>
      </c>
    </row>
    <row r="74" spans="1:8" ht="70" x14ac:dyDescent="0.15">
      <c r="A74" s="245" t="s">
        <v>429</v>
      </c>
      <c r="B74" s="245" t="s">
        <v>51</v>
      </c>
      <c r="C74" s="245" t="s">
        <v>430</v>
      </c>
      <c r="D74" s="245" t="s">
        <v>431</v>
      </c>
      <c r="E74" s="245">
        <v>1</v>
      </c>
      <c r="F74" s="245" t="s">
        <v>432</v>
      </c>
      <c r="G74" s="247" t="s">
        <v>433</v>
      </c>
      <c r="H74" s="245">
        <v>1</v>
      </c>
    </row>
    <row r="75" spans="1:8" ht="42" x14ac:dyDescent="0.15">
      <c r="A75" s="245" t="s">
        <v>434</v>
      </c>
      <c r="B75" s="245" t="s">
        <v>51</v>
      </c>
      <c r="C75" s="245" t="s">
        <v>430</v>
      </c>
      <c r="D75" s="245" t="s">
        <v>431</v>
      </c>
      <c r="E75" s="245">
        <v>2</v>
      </c>
      <c r="F75" s="245" t="s">
        <v>435</v>
      </c>
      <c r="G75" s="247" t="s">
        <v>436</v>
      </c>
      <c r="H75" s="245">
        <v>1</v>
      </c>
    </row>
    <row r="76" spans="1:8" ht="70" x14ac:dyDescent="0.15">
      <c r="A76" s="245" t="s">
        <v>437</v>
      </c>
      <c r="B76" s="245" t="s">
        <v>51</v>
      </c>
      <c r="C76" s="245" t="s">
        <v>430</v>
      </c>
      <c r="D76" s="245" t="s">
        <v>431</v>
      </c>
      <c r="E76" s="245">
        <v>3</v>
      </c>
      <c r="F76" s="245" t="s">
        <v>438</v>
      </c>
      <c r="G76" s="247" t="s">
        <v>439</v>
      </c>
      <c r="H76" s="245">
        <v>1</v>
      </c>
    </row>
    <row r="77" spans="1:8" ht="56" x14ac:dyDescent="0.15">
      <c r="A77" s="245" t="s">
        <v>440</v>
      </c>
      <c r="B77" s="245" t="s">
        <v>51</v>
      </c>
      <c r="C77" s="245" t="s">
        <v>430</v>
      </c>
      <c r="D77" s="245" t="s">
        <v>441</v>
      </c>
      <c r="E77" s="245">
        <v>1</v>
      </c>
      <c r="F77" s="245" t="s">
        <v>442</v>
      </c>
      <c r="G77" s="247" t="s">
        <v>443</v>
      </c>
      <c r="H77" s="245">
        <v>1</v>
      </c>
    </row>
    <row r="78" spans="1:8" ht="70" x14ac:dyDescent="0.15">
      <c r="A78" s="245" t="s">
        <v>444</v>
      </c>
      <c r="B78" s="245" t="s">
        <v>51</v>
      </c>
      <c r="C78" s="245" t="s">
        <v>430</v>
      </c>
      <c r="D78" s="245" t="s">
        <v>441</v>
      </c>
      <c r="E78" s="245">
        <v>2</v>
      </c>
      <c r="F78" s="245" t="s">
        <v>445</v>
      </c>
      <c r="G78" s="247" t="s">
        <v>446</v>
      </c>
      <c r="H78" s="245">
        <v>4</v>
      </c>
    </row>
    <row r="79" spans="1:8" ht="70" x14ac:dyDescent="0.15">
      <c r="A79" s="245" t="s">
        <v>447</v>
      </c>
      <c r="B79" s="245" t="s">
        <v>51</v>
      </c>
      <c r="C79" s="245" t="s">
        <v>430</v>
      </c>
      <c r="D79" s="245" t="s">
        <v>441</v>
      </c>
      <c r="E79" s="245">
        <v>3</v>
      </c>
      <c r="F79" s="245" t="s">
        <v>448</v>
      </c>
      <c r="G79" s="247" t="s">
        <v>449</v>
      </c>
      <c r="H79" s="245">
        <v>4</v>
      </c>
    </row>
    <row r="80" spans="1:8" ht="70" x14ac:dyDescent="0.15">
      <c r="A80" s="245" t="s">
        <v>450</v>
      </c>
      <c r="B80" s="245" t="s">
        <v>51</v>
      </c>
      <c r="C80" s="245" t="s">
        <v>56</v>
      </c>
      <c r="D80" s="245" t="s">
        <v>451</v>
      </c>
      <c r="E80" s="245">
        <v>1</v>
      </c>
      <c r="F80" s="245" t="s">
        <v>452</v>
      </c>
      <c r="G80" s="247" t="s">
        <v>453</v>
      </c>
      <c r="H80" s="245">
        <v>1</v>
      </c>
    </row>
    <row r="81" spans="1:8" ht="84" x14ac:dyDescent="0.15">
      <c r="A81" s="245" t="s">
        <v>454</v>
      </c>
      <c r="B81" s="245" t="s">
        <v>51</v>
      </c>
      <c r="C81" s="245" t="s">
        <v>56</v>
      </c>
      <c r="D81" s="245" t="s">
        <v>451</v>
      </c>
      <c r="E81" s="245">
        <v>2</v>
      </c>
      <c r="F81" s="245" t="s">
        <v>455</v>
      </c>
      <c r="G81" s="247" t="s">
        <v>456</v>
      </c>
      <c r="H81" s="245">
        <v>1</v>
      </c>
    </row>
    <row r="82" spans="1:8" ht="70" x14ac:dyDescent="0.15">
      <c r="A82" s="245" t="s">
        <v>457</v>
      </c>
      <c r="B82" s="245" t="s">
        <v>51</v>
      </c>
      <c r="C82" s="245" t="s">
        <v>56</v>
      </c>
      <c r="D82" s="245" t="s">
        <v>451</v>
      </c>
      <c r="E82" s="245">
        <v>3</v>
      </c>
      <c r="F82" s="245" t="s">
        <v>458</v>
      </c>
      <c r="G82" s="247" t="s">
        <v>459</v>
      </c>
      <c r="H82" s="245">
        <v>1</v>
      </c>
    </row>
    <row r="83" spans="1:8" ht="70" x14ac:dyDescent="0.15">
      <c r="A83" s="245" t="s">
        <v>460</v>
      </c>
      <c r="B83" s="245" t="s">
        <v>51</v>
      </c>
      <c r="C83" s="245" t="s">
        <v>56</v>
      </c>
      <c r="D83" s="245" t="s">
        <v>461</v>
      </c>
      <c r="E83" s="245">
        <v>1</v>
      </c>
      <c r="F83" s="245" t="s">
        <v>462</v>
      </c>
      <c r="G83" s="247" t="s">
        <v>463</v>
      </c>
      <c r="H83" s="245">
        <v>1</v>
      </c>
    </row>
    <row r="84" spans="1:8" ht="98" x14ac:dyDescent="0.15">
      <c r="A84" s="245" t="s">
        <v>464</v>
      </c>
      <c r="B84" s="245" t="s">
        <v>51</v>
      </c>
      <c r="C84" s="245" t="s">
        <v>56</v>
      </c>
      <c r="D84" s="245" t="s">
        <v>461</v>
      </c>
      <c r="E84" s="245">
        <v>2</v>
      </c>
      <c r="F84" s="245" t="s">
        <v>465</v>
      </c>
      <c r="G84" s="247" t="s">
        <v>466</v>
      </c>
      <c r="H84" s="245">
        <v>1</v>
      </c>
    </row>
    <row r="85" spans="1:8" ht="98" x14ac:dyDescent="0.15">
      <c r="A85" s="245" t="s">
        <v>467</v>
      </c>
      <c r="B85" s="245" t="s">
        <v>51</v>
      </c>
      <c r="C85" s="245" t="s">
        <v>56</v>
      </c>
      <c r="D85" s="245" t="s">
        <v>461</v>
      </c>
      <c r="E85" s="245">
        <v>3</v>
      </c>
      <c r="F85" s="245" t="s">
        <v>468</v>
      </c>
      <c r="G85" s="247" t="s">
        <v>469</v>
      </c>
      <c r="H85" s="245">
        <v>4</v>
      </c>
    </row>
    <row r="86" spans="1:8" ht="56" x14ac:dyDescent="0.15">
      <c r="A86" t="s">
        <v>551</v>
      </c>
      <c r="B86" t="s">
        <v>24</v>
      </c>
      <c r="C86" t="s">
        <v>30</v>
      </c>
      <c r="D86" t="s">
        <v>533</v>
      </c>
      <c r="E86">
        <v>1</v>
      </c>
      <c r="F86" t="s">
        <v>534</v>
      </c>
      <c r="G86" s="282" t="s">
        <v>535</v>
      </c>
      <c r="H86">
        <v>0</v>
      </c>
    </row>
    <row r="87" spans="1:8" ht="70" x14ac:dyDescent="0.15">
      <c r="A87" s="13" t="s">
        <v>552</v>
      </c>
      <c r="B87" s="13" t="s">
        <v>24</v>
      </c>
      <c r="C87" s="13" t="s">
        <v>30</v>
      </c>
      <c r="D87" s="13" t="s">
        <v>533</v>
      </c>
      <c r="E87">
        <v>2</v>
      </c>
      <c r="F87" s="13" t="s">
        <v>536</v>
      </c>
      <c r="G87" s="282" t="s">
        <v>537</v>
      </c>
      <c r="H87">
        <v>18</v>
      </c>
    </row>
    <row r="88" spans="1:8" ht="70" x14ac:dyDescent="0.15">
      <c r="A88" s="13" t="s">
        <v>553</v>
      </c>
      <c r="B88" s="13" t="s">
        <v>24</v>
      </c>
      <c r="C88" s="13" t="s">
        <v>30</v>
      </c>
      <c r="D88" s="13" t="s">
        <v>533</v>
      </c>
      <c r="E88">
        <v>3</v>
      </c>
      <c r="F88" s="13" t="s">
        <v>541</v>
      </c>
      <c r="G88" s="282" t="s">
        <v>542</v>
      </c>
      <c r="H88">
        <v>15</v>
      </c>
    </row>
    <row r="89" spans="1:8" ht="28" x14ac:dyDescent="0.15">
      <c r="A89" s="13" t="s">
        <v>554</v>
      </c>
      <c r="B89" s="13" t="s">
        <v>24</v>
      </c>
      <c r="C89" t="s">
        <v>30</v>
      </c>
      <c r="D89" s="13" t="s">
        <v>544</v>
      </c>
      <c r="E89">
        <v>1</v>
      </c>
      <c r="F89" s="13" t="s">
        <v>545</v>
      </c>
      <c r="G89" s="282" t="s">
        <v>546</v>
      </c>
      <c r="H89">
        <v>0</v>
      </c>
    </row>
    <row r="90" spans="1:8" ht="56" x14ac:dyDescent="0.15">
      <c r="A90" s="13" t="s">
        <v>555</v>
      </c>
      <c r="B90" s="13" t="s">
        <v>24</v>
      </c>
      <c r="C90" s="13" t="s">
        <v>30</v>
      </c>
      <c r="D90" s="13" t="s">
        <v>544</v>
      </c>
      <c r="E90">
        <v>2</v>
      </c>
      <c r="F90" s="13" t="s">
        <v>547</v>
      </c>
      <c r="G90" s="282" t="s">
        <v>548</v>
      </c>
      <c r="H90">
        <v>0</v>
      </c>
    </row>
    <row r="91" spans="1:8" ht="70" x14ac:dyDescent="0.15">
      <c r="A91" s="13" t="s">
        <v>556</v>
      </c>
      <c r="B91" s="13" t="s">
        <v>24</v>
      </c>
      <c r="C91" s="13" t="s">
        <v>30</v>
      </c>
      <c r="D91" s="13" t="s">
        <v>544</v>
      </c>
      <c r="E91">
        <v>3</v>
      </c>
      <c r="F91" s="13" t="s">
        <v>549</v>
      </c>
      <c r="G91" s="282" t="s">
        <v>550</v>
      </c>
      <c r="H91">
        <v>0</v>
      </c>
    </row>
  </sheetData>
  <autoFilter ref="A1:H91" xr:uid="{47196013-F9F5-874D-880E-ED734A34FFFE}"/>
  <pageMargins left="0.7" right="0.7" top="0.75" bottom="0.75" header="0.3" footer="0.3"/>
  <pageSetup paperSize="9"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8FD893-5055-0D42-8A2B-2FAD0BC88814}">
  <sheetPr codeName="Sheet9"/>
  <dimension ref="A1:I20"/>
  <sheetViews>
    <sheetView workbookViewId="0">
      <selection activeCell="A19" sqref="A19"/>
    </sheetView>
  </sheetViews>
  <sheetFormatPr baseColWidth="10" defaultRowHeight="13" x14ac:dyDescent="0.15"/>
  <cols>
    <col min="3" max="3" width="33.5" bestFit="1" customWidth="1"/>
    <col min="4" max="4" width="27.5" customWidth="1"/>
    <col min="5" max="5" width="29.6640625" customWidth="1"/>
  </cols>
  <sheetData>
    <row r="1" spans="1:9" x14ac:dyDescent="0.15">
      <c r="A1" s="245" t="s">
        <v>188</v>
      </c>
      <c r="B1" s="245" t="s">
        <v>118</v>
      </c>
      <c r="C1" s="245" t="s">
        <v>119</v>
      </c>
      <c r="D1" s="245" t="s">
        <v>120</v>
      </c>
      <c r="E1" s="245" t="s">
        <v>121</v>
      </c>
      <c r="F1" s="245" t="s">
        <v>189</v>
      </c>
      <c r="G1" s="245" t="s">
        <v>190</v>
      </c>
      <c r="H1" s="245" t="s">
        <v>191</v>
      </c>
      <c r="I1" s="245" t="s">
        <v>192</v>
      </c>
    </row>
    <row r="2" spans="1:9" x14ac:dyDescent="0.15">
      <c r="A2" s="245">
        <v>0</v>
      </c>
      <c r="B2" s="245" t="s">
        <v>66</v>
      </c>
      <c r="C2" s="245" t="s">
        <v>193</v>
      </c>
      <c r="D2" s="245" t="s">
        <v>194</v>
      </c>
      <c r="E2" s="245" t="s">
        <v>195</v>
      </c>
      <c r="F2" s="245">
        <v>0</v>
      </c>
      <c r="G2" s="245">
        <v>0.25</v>
      </c>
      <c r="H2" s="245">
        <v>0.5</v>
      </c>
      <c r="I2" s="245">
        <v>1</v>
      </c>
    </row>
    <row r="3" spans="1:9" x14ac:dyDescent="0.15">
      <c r="A3" s="245">
        <v>1</v>
      </c>
      <c r="B3" s="245" t="s">
        <v>66</v>
      </c>
      <c r="C3" s="245" t="s">
        <v>196</v>
      </c>
      <c r="D3" s="245" t="s">
        <v>197</v>
      </c>
      <c r="E3" s="245" t="s">
        <v>198</v>
      </c>
      <c r="F3" s="245">
        <v>0</v>
      </c>
      <c r="G3" s="245">
        <v>0.25</v>
      </c>
      <c r="H3" s="245">
        <v>0.5</v>
      </c>
      <c r="I3" s="245">
        <v>1</v>
      </c>
    </row>
    <row r="4" spans="1:9" x14ac:dyDescent="0.15">
      <c r="A4" s="245">
        <v>2</v>
      </c>
      <c r="B4" s="245" t="s">
        <v>66</v>
      </c>
      <c r="C4" s="245" t="s">
        <v>199</v>
      </c>
      <c r="D4" s="245" t="s">
        <v>200</v>
      </c>
      <c r="E4" s="245" t="s">
        <v>201</v>
      </c>
      <c r="F4" s="245">
        <v>0</v>
      </c>
      <c r="G4" s="245">
        <v>0.25</v>
      </c>
      <c r="H4" s="245">
        <v>0.5</v>
      </c>
      <c r="I4" s="245">
        <v>1</v>
      </c>
    </row>
    <row r="5" spans="1:9" x14ac:dyDescent="0.15">
      <c r="A5" s="245">
        <v>3</v>
      </c>
      <c r="B5" s="245" t="s">
        <v>66</v>
      </c>
      <c r="C5" s="245" t="s">
        <v>202</v>
      </c>
      <c r="D5" s="245" t="s">
        <v>203</v>
      </c>
      <c r="E5" s="245" t="s">
        <v>204</v>
      </c>
      <c r="F5" s="245">
        <v>0</v>
      </c>
      <c r="G5" s="245">
        <v>0.25</v>
      </c>
      <c r="H5" s="245">
        <v>0.5</v>
      </c>
      <c r="I5" s="245">
        <v>1</v>
      </c>
    </row>
    <row r="6" spans="1:9" x14ac:dyDescent="0.15">
      <c r="A6" s="245">
        <v>4</v>
      </c>
      <c r="B6" s="245" t="s">
        <v>66</v>
      </c>
      <c r="C6" s="245" t="s">
        <v>205</v>
      </c>
      <c r="D6" s="245" t="s">
        <v>187</v>
      </c>
      <c r="E6" s="245" t="s">
        <v>206</v>
      </c>
      <c r="F6" s="245">
        <v>0</v>
      </c>
      <c r="G6" s="245">
        <v>0.25</v>
      </c>
      <c r="H6" s="245">
        <v>0.5</v>
      </c>
      <c r="I6" s="245">
        <v>1</v>
      </c>
    </row>
    <row r="7" spans="1:9" x14ac:dyDescent="0.15">
      <c r="A7" s="245">
        <v>5</v>
      </c>
      <c r="B7" s="245" t="s">
        <v>66</v>
      </c>
      <c r="C7" s="245" t="s">
        <v>207</v>
      </c>
      <c r="D7" s="245" t="s">
        <v>208</v>
      </c>
      <c r="E7" s="245" t="s">
        <v>209</v>
      </c>
      <c r="F7" s="245">
        <v>0</v>
      </c>
      <c r="G7" s="245">
        <v>0.25</v>
      </c>
      <c r="H7" s="245">
        <v>0.5</v>
      </c>
      <c r="I7" s="245">
        <v>1</v>
      </c>
    </row>
    <row r="8" spans="1:9" x14ac:dyDescent="0.15">
      <c r="A8" s="245">
        <v>6</v>
      </c>
      <c r="B8" s="245" t="s">
        <v>66</v>
      </c>
      <c r="C8" s="245" t="s">
        <v>210</v>
      </c>
      <c r="D8" s="245" t="s">
        <v>211</v>
      </c>
      <c r="E8" s="245" t="s">
        <v>212</v>
      </c>
      <c r="F8" s="245">
        <v>0</v>
      </c>
      <c r="G8" s="245">
        <v>0.25</v>
      </c>
      <c r="H8" s="245">
        <v>0.5</v>
      </c>
      <c r="I8" s="245">
        <v>1</v>
      </c>
    </row>
    <row r="9" spans="1:9" x14ac:dyDescent="0.15">
      <c r="A9" s="245">
        <v>7</v>
      </c>
      <c r="B9" s="245" t="s">
        <v>66</v>
      </c>
      <c r="C9" s="245" t="s">
        <v>213</v>
      </c>
      <c r="D9" s="245" t="s">
        <v>214</v>
      </c>
      <c r="E9" s="245" t="s">
        <v>215</v>
      </c>
      <c r="F9" s="245">
        <v>0</v>
      </c>
      <c r="G9" s="245">
        <v>0.25</v>
      </c>
      <c r="H9" s="245">
        <v>0.5</v>
      </c>
      <c r="I9" s="245">
        <v>1</v>
      </c>
    </row>
    <row r="10" spans="1:9" x14ac:dyDescent="0.15">
      <c r="A10" s="245">
        <v>8</v>
      </c>
      <c r="B10" s="245" t="s">
        <v>66</v>
      </c>
      <c r="C10" s="245" t="s">
        <v>216</v>
      </c>
      <c r="D10" s="245" t="s">
        <v>217</v>
      </c>
      <c r="E10" s="245" t="s">
        <v>218</v>
      </c>
      <c r="F10" s="245">
        <v>0</v>
      </c>
      <c r="G10" s="245">
        <v>0.25</v>
      </c>
      <c r="H10" s="245">
        <v>0.5</v>
      </c>
      <c r="I10" s="245">
        <v>1</v>
      </c>
    </row>
    <row r="11" spans="1:9" x14ac:dyDescent="0.15">
      <c r="A11" s="245">
        <v>9</v>
      </c>
      <c r="B11" s="245" t="s">
        <v>66</v>
      </c>
      <c r="C11" s="245" t="s">
        <v>219</v>
      </c>
      <c r="D11" s="245" t="s">
        <v>220</v>
      </c>
      <c r="E11" s="245" t="s">
        <v>221</v>
      </c>
      <c r="F11" s="245">
        <v>0</v>
      </c>
      <c r="G11" s="245">
        <v>0.25</v>
      </c>
      <c r="H11" s="245">
        <v>0.5</v>
      </c>
      <c r="I11" s="245">
        <v>1</v>
      </c>
    </row>
    <row r="12" spans="1:9" x14ac:dyDescent="0.15">
      <c r="A12" s="245">
        <v>10</v>
      </c>
      <c r="B12" s="245" t="s">
        <v>66</v>
      </c>
      <c r="C12" s="245" t="s">
        <v>222</v>
      </c>
      <c r="D12" s="245" t="s">
        <v>111</v>
      </c>
      <c r="E12" s="245" t="s">
        <v>112</v>
      </c>
      <c r="F12" s="245">
        <v>0</v>
      </c>
      <c r="G12" s="245">
        <v>0.25</v>
      </c>
      <c r="H12" s="245">
        <v>0.5</v>
      </c>
      <c r="I12" s="245">
        <v>1</v>
      </c>
    </row>
    <row r="13" spans="1:9" x14ac:dyDescent="0.15">
      <c r="A13" s="245">
        <v>11</v>
      </c>
      <c r="B13" s="245" t="s">
        <v>66</v>
      </c>
      <c r="C13" s="245" t="s">
        <v>223</v>
      </c>
      <c r="D13" s="245" t="s">
        <v>224</v>
      </c>
      <c r="E13" s="245" t="s">
        <v>225</v>
      </c>
      <c r="F13" s="245">
        <v>0</v>
      </c>
      <c r="G13" s="245">
        <v>0.25</v>
      </c>
      <c r="H13" s="245">
        <v>0.5</v>
      </c>
      <c r="I13" s="245">
        <v>1</v>
      </c>
    </row>
    <row r="14" spans="1:9" x14ac:dyDescent="0.15">
      <c r="A14" s="245">
        <v>12</v>
      </c>
      <c r="B14" s="245" t="s">
        <v>66</v>
      </c>
      <c r="C14" s="245" t="s">
        <v>226</v>
      </c>
      <c r="D14" s="245" t="s">
        <v>227</v>
      </c>
      <c r="E14" s="245" t="s">
        <v>228</v>
      </c>
      <c r="F14" s="245">
        <v>0</v>
      </c>
      <c r="G14" s="245">
        <v>0.25</v>
      </c>
      <c r="H14" s="245">
        <v>0.5</v>
      </c>
      <c r="I14" s="245">
        <v>1</v>
      </c>
    </row>
    <row r="15" spans="1:9" x14ac:dyDescent="0.15">
      <c r="A15" s="245">
        <v>13</v>
      </c>
      <c r="B15" s="245" t="s">
        <v>66</v>
      </c>
      <c r="C15" s="245" t="s">
        <v>229</v>
      </c>
      <c r="D15" s="245" t="s">
        <v>230</v>
      </c>
      <c r="E15" s="245" t="s">
        <v>231</v>
      </c>
      <c r="F15" s="245">
        <v>0</v>
      </c>
      <c r="G15" s="245">
        <v>0.25</v>
      </c>
      <c r="H15" s="245">
        <v>0.5</v>
      </c>
      <c r="I15" s="245">
        <v>1</v>
      </c>
    </row>
    <row r="16" spans="1:9" x14ac:dyDescent="0.15">
      <c r="A16" s="245">
        <v>14</v>
      </c>
      <c r="B16" s="245" t="s">
        <v>66</v>
      </c>
      <c r="C16" s="245" t="s">
        <v>232</v>
      </c>
      <c r="D16" s="245" t="s">
        <v>233</v>
      </c>
      <c r="E16" s="245" t="s">
        <v>234</v>
      </c>
      <c r="F16" s="245">
        <v>0</v>
      </c>
      <c r="G16" s="245">
        <v>0.25</v>
      </c>
      <c r="H16" s="245">
        <v>0.5</v>
      </c>
      <c r="I16" s="245">
        <v>1</v>
      </c>
    </row>
    <row r="17" spans="1:9" x14ac:dyDescent="0.15">
      <c r="A17" s="245">
        <v>15</v>
      </c>
      <c r="B17" s="245" t="s">
        <v>66</v>
      </c>
      <c r="C17" s="246" t="s">
        <v>543</v>
      </c>
      <c r="D17" s="245" t="s">
        <v>235</v>
      </c>
      <c r="E17" s="245" t="s">
        <v>236</v>
      </c>
      <c r="F17" s="245">
        <v>0</v>
      </c>
      <c r="G17" s="245">
        <v>0.25</v>
      </c>
      <c r="H17" s="245">
        <v>0.5</v>
      </c>
      <c r="I17" s="245">
        <v>1</v>
      </c>
    </row>
    <row r="18" spans="1:9" x14ac:dyDescent="0.15">
      <c r="A18" s="245">
        <v>16</v>
      </c>
      <c r="B18" s="245" t="s">
        <v>66</v>
      </c>
      <c r="C18" s="245" t="s">
        <v>237</v>
      </c>
      <c r="D18" s="245" t="s">
        <v>238</v>
      </c>
      <c r="E18" s="245" t="s">
        <v>239</v>
      </c>
      <c r="F18" s="245">
        <v>0</v>
      </c>
      <c r="G18" s="245">
        <v>0.25</v>
      </c>
      <c r="H18" s="245">
        <v>0.5</v>
      </c>
      <c r="I18" s="245">
        <v>1</v>
      </c>
    </row>
    <row r="19" spans="1:9" x14ac:dyDescent="0.15">
      <c r="A19" s="245">
        <v>17</v>
      </c>
      <c r="B19" s="245" t="s">
        <v>66</v>
      </c>
      <c r="C19" s="245" t="s">
        <v>240</v>
      </c>
      <c r="D19" s="245" t="s">
        <v>241</v>
      </c>
      <c r="E19" s="245" t="s">
        <v>242</v>
      </c>
      <c r="F19" s="245">
        <v>0</v>
      </c>
      <c r="G19" s="245">
        <v>0.25</v>
      </c>
      <c r="H19" s="245">
        <v>0.5</v>
      </c>
      <c r="I19" s="245">
        <v>1</v>
      </c>
    </row>
    <row r="20" spans="1:9" x14ac:dyDescent="0.15">
      <c r="A20">
        <v>18</v>
      </c>
      <c r="B20" t="s">
        <v>66</v>
      </c>
      <c r="C20" t="s">
        <v>538</v>
      </c>
      <c r="D20" t="s">
        <v>539</v>
      </c>
      <c r="E20" t="s">
        <v>540</v>
      </c>
      <c r="F20" s="245">
        <v>0</v>
      </c>
      <c r="G20" s="245">
        <v>0.25</v>
      </c>
      <c r="H20" s="245">
        <v>0.5</v>
      </c>
      <c r="I20" s="245">
        <v>1</v>
      </c>
    </row>
  </sheetData>
  <pageMargins left="0.7" right="0.7" top="0.75" bottom="0.75" header="0.3" footer="0.3"/>
  <pageSetup paperSize="9"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
  <sheetViews>
    <sheetView workbookViewId="0"/>
  </sheetViews>
  <sheetFormatPr baseColWidth="10" defaultColWidth="8.83203125" defaultRowHeight="13" x14ac:dyDescent="0.15"/>
  <cols>
    <col min="1" max="1" width="170.33203125" style="59" customWidth="1"/>
    <col min="2" max="16384" width="8.83203125" style="59"/>
  </cols>
  <sheetData>
    <row r="1" spans="1:1" ht="25" x14ac:dyDescent="0.15">
      <c r="A1" s="58" t="s">
        <v>99</v>
      </c>
    </row>
  </sheetData>
  <sheetProtection sheet="1" objects="1" scenarios="1"/>
  <customSheetViews>
    <customSheetView guid="{9846C184-355C-EA4B-8C35-9561D1AEE31C}">
      <pageMargins left="0.75" right="0.75" top="1" bottom="1" header="0.5" footer="0.5"/>
      <headerFooter alignWithMargins="0"/>
    </customSheetView>
  </customSheetViews>
  <pageMargins left="0.75" right="0.75" top="1" bottom="1" header="0.5" footer="0.5"/>
  <headerFooter alignWithMargins="0"/>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9</vt:i4>
      </vt:variant>
      <vt:variant>
        <vt:lpstr>Named Ranges</vt:lpstr>
      </vt:variant>
      <vt:variant>
        <vt:i4>56</vt:i4>
      </vt:variant>
    </vt:vector>
  </HeadingPairs>
  <TitlesOfParts>
    <vt:vector size="65" baseType="lpstr">
      <vt:lpstr>Attribution and License</vt:lpstr>
      <vt:lpstr>Interview</vt:lpstr>
      <vt:lpstr>Scorecard</vt:lpstr>
      <vt:lpstr>Roadmap</vt:lpstr>
      <vt:lpstr>Roadmap Chart</vt:lpstr>
      <vt:lpstr>Lookups</vt:lpstr>
      <vt:lpstr>imp-questions</vt:lpstr>
      <vt:lpstr>imp-answers</vt:lpstr>
      <vt:lpstr>Background Images</vt:lpstr>
      <vt:lpstr>AndPTBL</vt:lpstr>
      <vt:lpstr>AnsA</vt:lpstr>
      <vt:lpstr>AnsATBL</vt:lpstr>
      <vt:lpstr>AnsB</vt:lpstr>
      <vt:lpstr>AnsBTBL</vt:lpstr>
      <vt:lpstr>AnsC</vt:lpstr>
      <vt:lpstr>AnsCTBL</vt:lpstr>
      <vt:lpstr>AnsD</vt:lpstr>
      <vt:lpstr>AnsDTBL</vt:lpstr>
      <vt:lpstr>AnsE</vt:lpstr>
      <vt:lpstr>AnsETBL</vt:lpstr>
      <vt:lpstr>AnsF</vt:lpstr>
      <vt:lpstr>AnsFTBL</vt:lpstr>
      <vt:lpstr>AnsG</vt:lpstr>
      <vt:lpstr>AnsGTBL</vt:lpstr>
      <vt:lpstr>AnsH</vt:lpstr>
      <vt:lpstr>AnsHTBL</vt:lpstr>
      <vt:lpstr>AnsI</vt:lpstr>
      <vt:lpstr>AnsITBL</vt:lpstr>
      <vt:lpstr>AnsJ</vt:lpstr>
      <vt:lpstr>AnsJTBL</vt:lpstr>
      <vt:lpstr>AnsK</vt:lpstr>
      <vt:lpstr>AnsKTBL</vt:lpstr>
      <vt:lpstr>AnsL</vt:lpstr>
      <vt:lpstr>AnsLTBL</vt:lpstr>
      <vt:lpstr>AnsM</vt:lpstr>
      <vt:lpstr>AnsMTBL</vt:lpstr>
      <vt:lpstr>AnsN</vt:lpstr>
      <vt:lpstr>AnsNTBL</vt:lpstr>
      <vt:lpstr>AnsO</vt:lpstr>
      <vt:lpstr>AnsOTBL</vt:lpstr>
      <vt:lpstr>AnsP</vt:lpstr>
      <vt:lpstr>AnsPTBL</vt:lpstr>
      <vt:lpstr>AnsQ</vt:lpstr>
      <vt:lpstr>AnsQTBL</vt:lpstr>
      <vt:lpstr>AnsR</vt:lpstr>
      <vt:lpstr>AnsRTBL</vt:lpstr>
      <vt:lpstr>AnsS</vt:lpstr>
      <vt:lpstr>AnsSTBL</vt:lpstr>
      <vt:lpstr>AnswerA</vt:lpstr>
      <vt:lpstr>AnswerATBL</vt:lpstr>
      <vt:lpstr>AnswerB</vt:lpstr>
      <vt:lpstr>AnswerBTBL</vt:lpstr>
      <vt:lpstr>AnswerC</vt:lpstr>
      <vt:lpstr>AnswerCTBL</vt:lpstr>
      <vt:lpstr>AnswerD</vt:lpstr>
      <vt:lpstr>AnswerDTBL</vt:lpstr>
      <vt:lpstr>AnswerE</vt:lpstr>
      <vt:lpstr>AnswerETBL</vt:lpstr>
      <vt:lpstr>AnswerF</vt:lpstr>
      <vt:lpstr>AnswerFTBL</vt:lpstr>
      <vt:lpstr>AnswerG</vt:lpstr>
      <vt:lpstr>AnswerGTBL</vt:lpstr>
      <vt:lpstr>AnswerH</vt:lpstr>
      <vt:lpstr>AnswerHTBL</vt:lpstr>
      <vt:lpstr>'Roadmap Chart'!Print_Area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Brian Glas and Sebastien Deleersnyder</dc:creator>
  <cp:keywords/>
  <dc:description/>
  <cp:lastModifiedBy>Yan Kravchenko</cp:lastModifiedBy>
  <dcterms:created xsi:type="dcterms:W3CDTF">2009-06-08T07:01:59Z</dcterms:created>
  <dcterms:modified xsi:type="dcterms:W3CDTF">2019-09-05T00:39:53Z</dcterms:modified>
  <cp:category/>
</cp:coreProperties>
</file>