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CM2025\data\"/>
    </mc:Choice>
  </mc:AlternateContent>
  <xr:revisionPtr revIDLastSave="0" documentId="8_{6609A186-454B-4ABB-AD72-3A336799EB80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影响变化数据" sheetId="1" r:id="rId1"/>
    <sheet name="影响因素数据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K11" i="2"/>
  <c r="D20" i="2"/>
  <c r="D19" i="2"/>
  <c r="D18" i="2"/>
  <c r="L10" i="2"/>
  <c r="K10" i="2"/>
  <c r="J10" i="2"/>
  <c r="F10" i="2"/>
  <c r="D10" i="2"/>
  <c r="L9" i="2"/>
  <c r="K9" i="2"/>
  <c r="J9" i="2"/>
  <c r="F9" i="2"/>
  <c r="D9" i="2"/>
  <c r="L8" i="2"/>
  <c r="K8" i="2"/>
  <c r="J8" i="2"/>
  <c r="G8" i="2"/>
  <c r="F8" i="2"/>
  <c r="D8" i="2"/>
  <c r="F7" i="2"/>
  <c r="D7" i="2"/>
  <c r="F6" i="2"/>
  <c r="D6" i="2"/>
  <c r="G5" i="2"/>
  <c r="F5" i="2"/>
  <c r="D5" i="2"/>
  <c r="L4" i="2"/>
  <c r="K4" i="2"/>
  <c r="J4" i="2"/>
  <c r="F4" i="2"/>
  <c r="D4" i="2"/>
  <c r="L3" i="2"/>
  <c r="K3" i="2"/>
  <c r="J3" i="2"/>
  <c r="F3" i="2"/>
  <c r="D3" i="2"/>
  <c r="L2" i="2"/>
  <c r="K2" i="2"/>
  <c r="J2" i="2"/>
  <c r="G2" i="2"/>
  <c r="F2" i="2"/>
  <c r="D2" i="2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<sst xmlns="http://schemas.openxmlformats.org/spreadsheetml/2006/main" count="29" uniqueCount="17">
  <si>
    <t>积极</t>
  </si>
  <si>
    <t>消极</t>
  </si>
  <si>
    <t>都有且积极多</t>
  </si>
  <si>
    <t>都有且消极多</t>
  </si>
  <si>
    <t>都有</t>
  </si>
  <si>
    <t>满意度</t>
  </si>
  <si>
    <t>冰川消融</t>
  </si>
  <si>
    <t>游客数量</t>
  </si>
  <si>
    <t>碳排放</t>
  </si>
  <si>
    <t>影响总量</t>
  </si>
  <si>
    <t>很大影响</t>
  </si>
  <si>
    <t>一些影响</t>
  </si>
  <si>
    <t>没有影响</t>
  </si>
  <si>
    <t>影响因子</t>
  </si>
  <si>
    <t xml:space="preserve">加权计数：很大影响赋5,一些影响赋3，没有影响赋1 </t>
  </si>
  <si>
    <t>邮轮乘客数</t>
  </si>
  <si>
    <t>总游客数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</si>
</sst>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C30" sqref="C30"/>
    </sheetView>
  </sheetViews>
  <sheetFormatPr defaultColWidth="9" defaultRowHeight="14.4" x14ac:dyDescent="0.25"/>
  <cols>
    <col min="1" max="8" width="12.554687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2019</v>
      </c>
      <c r="B2">
        <v>36</v>
      </c>
      <c r="C2">
        <v>8</v>
      </c>
      <c r="D2">
        <f>51%*F2</f>
        <v>16.829999999999998</v>
      </c>
      <c r="E2">
        <f>F2*30%</f>
        <v>9.9</v>
      </c>
      <c r="F2">
        <v>33</v>
      </c>
      <c r="G2">
        <f>B2+D2*0.5-C2-E2*0.5</f>
        <v>31.465</v>
      </c>
    </row>
    <row r="3" spans="1:7" x14ac:dyDescent="0.25">
      <c r="A3">
        <v>2022</v>
      </c>
      <c r="B3">
        <v>35</v>
      </c>
      <c r="C3">
        <v>7</v>
      </c>
      <c r="D3">
        <f>F3*49%</f>
        <v>20.09</v>
      </c>
      <c r="E3">
        <f>F3*32%</f>
        <v>13.12</v>
      </c>
      <c r="F3">
        <v>41</v>
      </c>
      <c r="G3">
        <f>B3+D3*0.5-C3-E3*0.5</f>
        <v>31.484999999999999</v>
      </c>
    </row>
    <row r="4" spans="1:7" x14ac:dyDescent="0.25">
      <c r="A4">
        <v>2023</v>
      </c>
      <c r="B4">
        <v>31</v>
      </c>
      <c r="C4">
        <v>11</v>
      </c>
      <c r="D4">
        <f>F4*38%</f>
        <v>17.48</v>
      </c>
      <c r="E4">
        <f>F4*25%</f>
        <v>11.5</v>
      </c>
      <c r="F4">
        <v>46</v>
      </c>
      <c r="G4">
        <f>B4+D4*0.5-C4-E4*0.5</f>
        <v>22.99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workbookViewId="0">
      <selection activeCell="L10" sqref="I7:L10"/>
    </sheetView>
  </sheetViews>
  <sheetFormatPr defaultColWidth="9" defaultRowHeight="14.4" x14ac:dyDescent="0.25"/>
  <cols>
    <col min="4" max="4" width="12.77734375"/>
    <col min="10" max="13" width="12.77734375"/>
  </cols>
  <sheetData>
    <row r="1" spans="1:12" x14ac:dyDescent="0.25">
      <c r="C1" t="s">
        <v>6</v>
      </c>
      <c r="D1" t="s">
        <v>7</v>
      </c>
      <c r="E1" t="s">
        <v>8</v>
      </c>
      <c r="I1" t="s">
        <v>9</v>
      </c>
      <c r="J1" t="s">
        <v>6</v>
      </c>
      <c r="K1" t="s">
        <v>7</v>
      </c>
      <c r="L1" t="s">
        <v>8</v>
      </c>
    </row>
    <row r="2" spans="1:12" x14ac:dyDescent="0.25">
      <c r="A2" t="s">
        <v>10</v>
      </c>
      <c r="B2">
        <v>2023</v>
      </c>
      <c r="C2">
        <v>41</v>
      </c>
      <c r="D2">
        <f>28+36+30+14+18+15</f>
        <v>141</v>
      </c>
      <c r="E2">
        <v>14</v>
      </c>
      <c r="F2">
        <f>C2+D2+E2</f>
        <v>196</v>
      </c>
      <c r="G2">
        <f>F2*5+F3*3+F4*1</f>
        <v>1970</v>
      </c>
      <c r="I2">
        <v>2019</v>
      </c>
      <c r="J2">
        <f>C8*5+C9*3+C10*1</f>
        <v>231</v>
      </c>
      <c r="K2">
        <f>D8*5+D9*3+D10*1</f>
        <v>1342</v>
      </c>
      <c r="L2">
        <f>E8*5+E9*3+E10*1</f>
        <v>181</v>
      </c>
    </row>
    <row r="3" spans="1:12" x14ac:dyDescent="0.25">
      <c r="A3" t="s">
        <v>11</v>
      </c>
      <c r="B3">
        <v>2023</v>
      </c>
      <c r="C3">
        <v>22</v>
      </c>
      <c r="D3">
        <f>33+23+17+31+25+25</f>
        <v>154</v>
      </c>
      <c r="E3">
        <v>22</v>
      </c>
      <c r="F3">
        <f t="shared" ref="F3:F10" si="0">C3+D3+E3</f>
        <v>198</v>
      </c>
      <c r="I3">
        <v>2022</v>
      </c>
      <c r="J3">
        <f>C5*5+C6*3+C7*1</f>
        <v>265</v>
      </c>
      <c r="K3">
        <f>D5*5+D6*3+D7*1</f>
        <v>1409</v>
      </c>
      <c r="L3">
        <f>E5*5+E6*3+E7*1</f>
        <v>202</v>
      </c>
    </row>
    <row r="4" spans="1:12" x14ac:dyDescent="0.25">
      <c r="A4" t="s">
        <v>12</v>
      </c>
      <c r="B4">
        <v>2023</v>
      </c>
      <c r="C4">
        <v>36</v>
      </c>
      <c r="D4">
        <f>39+40+50+55+57+59</f>
        <v>300</v>
      </c>
      <c r="E4">
        <v>60</v>
      </c>
      <c r="F4">
        <f t="shared" si="0"/>
        <v>396</v>
      </c>
      <c r="I4">
        <v>2023</v>
      </c>
      <c r="J4">
        <f>C2*5+C3*3+C4*1</f>
        <v>307</v>
      </c>
      <c r="K4">
        <f>D2*5+D3*3+D4*1</f>
        <v>1467</v>
      </c>
      <c r="L4">
        <f>E2*5+E3*3+E4*1</f>
        <v>196</v>
      </c>
    </row>
    <row r="5" spans="1:12" x14ac:dyDescent="0.25">
      <c r="A5" t="s">
        <v>10</v>
      </c>
      <c r="B5">
        <v>2022</v>
      </c>
      <c r="C5">
        <v>36</v>
      </c>
      <c r="D5">
        <f>30+24+21+23+13+25</f>
        <v>136</v>
      </c>
      <c r="E5">
        <v>14</v>
      </c>
      <c r="F5">
        <f t="shared" si="0"/>
        <v>186</v>
      </c>
      <c r="G5">
        <f>F5*5+F6*3+F7*1</f>
        <v>1876</v>
      </c>
    </row>
    <row r="6" spans="1:12" x14ac:dyDescent="0.25">
      <c r="A6" t="s">
        <v>11</v>
      </c>
      <c r="B6">
        <v>2022</v>
      </c>
      <c r="C6">
        <v>21</v>
      </c>
      <c r="D6">
        <f>26+27+25+19+29+15</f>
        <v>141</v>
      </c>
      <c r="E6">
        <v>24</v>
      </c>
      <c r="F6">
        <f t="shared" si="0"/>
        <v>186</v>
      </c>
    </row>
    <row r="7" spans="1:12" x14ac:dyDescent="0.25">
      <c r="A7" t="s">
        <v>12</v>
      </c>
      <c r="B7">
        <v>2022</v>
      </c>
      <c r="C7">
        <v>22</v>
      </c>
      <c r="D7">
        <f>42+47+53+54+55+55</f>
        <v>306</v>
      </c>
      <c r="E7">
        <v>60</v>
      </c>
      <c r="F7">
        <f t="shared" si="0"/>
        <v>388</v>
      </c>
      <c r="I7" t="s">
        <v>13</v>
      </c>
      <c r="J7" t="s">
        <v>6</v>
      </c>
      <c r="K7" t="s">
        <v>7</v>
      </c>
      <c r="L7" t="s">
        <v>8</v>
      </c>
    </row>
    <row r="8" spans="1:12" x14ac:dyDescent="0.25">
      <c r="A8" t="s">
        <v>10</v>
      </c>
      <c r="B8">
        <v>2019</v>
      </c>
      <c r="C8">
        <v>23</v>
      </c>
      <c r="D8">
        <f>30+23+22+16+12+8</f>
        <v>111</v>
      </c>
      <c r="E8">
        <v>8</v>
      </c>
      <c r="F8">
        <f t="shared" si="0"/>
        <v>142</v>
      </c>
      <c r="G8">
        <f>F8*5+F9*3+F10*1</f>
        <v>1754</v>
      </c>
      <c r="I8">
        <v>2019</v>
      </c>
      <c r="J8">
        <f>J2/G8</f>
        <v>0.13169897377423001</v>
      </c>
      <c r="K8">
        <f>K2/G8</f>
        <v>0.76510832383124305</v>
      </c>
      <c r="L8">
        <f>L2/G8</f>
        <v>0.10319270239452701</v>
      </c>
    </row>
    <row r="9" spans="1:12" x14ac:dyDescent="0.25">
      <c r="A9" t="s">
        <v>11</v>
      </c>
      <c r="B9">
        <v>2019</v>
      </c>
      <c r="C9">
        <v>25</v>
      </c>
      <c r="D9">
        <f>27+34+19+25+24+28</f>
        <v>157</v>
      </c>
      <c r="E9">
        <v>26</v>
      </c>
      <c r="F9">
        <f t="shared" si="0"/>
        <v>208</v>
      </c>
      <c r="I9">
        <v>2022</v>
      </c>
      <c r="J9">
        <f>J3/G5</f>
        <v>0.14125799573560799</v>
      </c>
      <c r="K9">
        <f>K3/G5</f>
        <v>0.75106609808102298</v>
      </c>
      <c r="L9">
        <f>L3/G5</f>
        <v>0.107675906183369</v>
      </c>
    </row>
    <row r="10" spans="1:12" x14ac:dyDescent="0.25">
      <c r="A10" t="s">
        <v>12</v>
      </c>
      <c r="B10">
        <v>2019</v>
      </c>
      <c r="C10">
        <v>41</v>
      </c>
      <c r="D10">
        <f>40+42+53+57+60+64</f>
        <v>316</v>
      </c>
      <c r="E10">
        <v>63</v>
      </c>
      <c r="F10">
        <f t="shared" si="0"/>
        <v>420</v>
      </c>
      <c r="I10">
        <v>2023</v>
      </c>
      <c r="J10">
        <f>J4/G2</f>
        <v>0.15583756345177699</v>
      </c>
      <c r="K10">
        <f>K4/G2</f>
        <v>0.74467005076142101</v>
      </c>
      <c r="L10">
        <f>L4/G2</f>
        <v>9.9492385786802001E-2</v>
      </c>
    </row>
    <row r="11" spans="1:12" x14ac:dyDescent="0.25">
      <c r="K11">
        <f>AVERAGE(K8:K10)</f>
        <v>0.75361482422456227</v>
      </c>
      <c r="L11">
        <f>AVERAGE(L8:L10)</f>
        <v>0.10345366478823266</v>
      </c>
    </row>
    <row r="13" spans="1:12" x14ac:dyDescent="0.25">
      <c r="A13" t="s">
        <v>14</v>
      </c>
    </row>
    <row r="17" spans="1:4" x14ac:dyDescent="0.25">
      <c r="A17" t="s">
        <v>15</v>
      </c>
      <c r="D17" t="s">
        <v>16</v>
      </c>
    </row>
    <row r="18" spans="1:4" x14ac:dyDescent="0.25">
      <c r="A18">
        <v>2019</v>
      </c>
      <c r="B18">
        <v>1305700</v>
      </c>
      <c r="D18">
        <f>B18/56%</f>
        <v>2331607.1428571399</v>
      </c>
    </row>
    <row r="19" spans="1:4" x14ac:dyDescent="0.25">
      <c r="A19">
        <v>2022</v>
      </c>
      <c r="B19">
        <v>1167000</v>
      </c>
      <c r="D19">
        <f>B19/56%</f>
        <v>2083928.57142857</v>
      </c>
    </row>
    <row r="20" spans="1:4" x14ac:dyDescent="0.25">
      <c r="A20">
        <v>2023</v>
      </c>
      <c r="B20">
        <v>1650000</v>
      </c>
      <c r="D20">
        <f>B20/56%</f>
        <v>2946428.57142857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影响变化数据</vt:lpstr>
      <vt:lpstr>影响因素数据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andy pei</cp:lastModifiedBy>
  <dcterms:created xsi:type="dcterms:W3CDTF">2023-05-12T11:15:00Z</dcterms:created>
  <dcterms:modified xsi:type="dcterms:W3CDTF">2025-01-24T16:27:47Z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E0A3679F3B2D4A029A3337E105E35345_12</vt:lpwstr>
  </property>
</Properties>
</file>