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Pimentel/Desktop/MEIO/Ex1/"/>
    </mc:Choice>
  </mc:AlternateContent>
  <xr:revisionPtr revIDLastSave="0" documentId="13_ncr:1_{91C25CC4-8B0F-3B4B-9840-0B91152F0D9D}" xr6:coauthVersionLast="43" xr6:coauthVersionMax="43" xr10:uidLastSave="{00000000-0000-0000-0000-000000000000}"/>
  <bookViews>
    <workbookView xWindow="280" yWindow="460" windowWidth="28240" windowHeight="16200" activeTab="3" xr2:uid="{B9B13FA7-A9FA-9343-8FD7-41DCAA68D7D2}"/>
  </bookViews>
  <sheets>
    <sheet name="Folha1" sheetId="1" r:id="rId1"/>
    <sheet name="Folha2" sheetId="2" r:id="rId2"/>
    <sheet name="Folha3" sheetId="3" r:id="rId3"/>
    <sheet name="Fo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K3" i="4" l="1"/>
  <c r="B7" i="4" l="1"/>
  <c r="B14" i="4" l="1"/>
  <c r="Q3" i="4" l="1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F7" i="4"/>
  <c r="F8" i="4"/>
  <c r="F15" i="4"/>
  <c r="F16" i="4"/>
  <c r="F31" i="4"/>
  <c r="F32" i="4"/>
  <c r="F35" i="4"/>
  <c r="F38" i="4"/>
  <c r="F39" i="4"/>
  <c r="F40" i="4"/>
  <c r="F43" i="4"/>
  <c r="F46" i="4"/>
  <c r="F47" i="4"/>
  <c r="F48" i="4"/>
  <c r="F51" i="4"/>
  <c r="E32" i="4"/>
  <c r="E33" i="4"/>
  <c r="F33" i="4" s="1"/>
  <c r="E34" i="4"/>
  <c r="F34" i="4" s="1"/>
  <c r="E35" i="4"/>
  <c r="E36" i="4"/>
  <c r="F36" i="4" s="1"/>
  <c r="E37" i="4"/>
  <c r="F37" i="4" s="1"/>
  <c r="E38" i="4"/>
  <c r="E39" i="4"/>
  <c r="E40" i="4"/>
  <c r="E41" i="4"/>
  <c r="F41" i="4" s="1"/>
  <c r="E42" i="4"/>
  <c r="F42" i="4" s="1"/>
  <c r="E43" i="4"/>
  <c r="E44" i="4"/>
  <c r="F44" i="4" s="1"/>
  <c r="E45" i="4"/>
  <c r="F45" i="4" s="1"/>
  <c r="E46" i="4"/>
  <c r="E47" i="4"/>
  <c r="E48" i="4"/>
  <c r="E49" i="4"/>
  <c r="F49" i="4" s="1"/>
  <c r="E50" i="4"/>
  <c r="F50" i="4" s="1"/>
  <c r="E51" i="4"/>
  <c r="E52" i="4"/>
  <c r="F52" i="4" s="1"/>
  <c r="E31" i="4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19" i="4"/>
  <c r="F19" i="4" s="1"/>
  <c r="E18" i="4"/>
  <c r="F18" i="4" s="1"/>
  <c r="E4" i="4"/>
  <c r="F4" i="4" s="1"/>
  <c r="E5" i="4"/>
  <c r="F5" i="4" s="1"/>
  <c r="E6" i="4"/>
  <c r="F6" i="4" s="1"/>
  <c r="E7" i="4"/>
  <c r="E8" i="4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E16" i="4"/>
  <c r="E17" i="4"/>
  <c r="F17" i="4" s="1"/>
  <c r="E3" i="4"/>
  <c r="F3" i="4" s="1"/>
  <c r="D4" i="4"/>
  <c r="D5" i="4"/>
  <c r="D6" i="4"/>
  <c r="D7" i="4"/>
  <c r="D8" i="4"/>
  <c r="G8" i="4" s="1"/>
  <c r="D9" i="4"/>
  <c r="D10" i="4"/>
  <c r="D11" i="4"/>
  <c r="D12" i="4"/>
  <c r="D13" i="4"/>
  <c r="D14" i="4"/>
  <c r="D15" i="4"/>
  <c r="D16" i="4"/>
  <c r="G16" i="4" s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G32" i="4" s="1"/>
  <c r="D33" i="4"/>
  <c r="D34" i="4"/>
  <c r="D35" i="4"/>
  <c r="G35" i="4" s="1"/>
  <c r="D36" i="4"/>
  <c r="D37" i="4"/>
  <c r="D38" i="4"/>
  <c r="G38" i="4" s="1"/>
  <c r="D39" i="4"/>
  <c r="D40" i="4"/>
  <c r="G40" i="4" s="1"/>
  <c r="D41" i="4"/>
  <c r="D42" i="4"/>
  <c r="D43" i="4"/>
  <c r="G43" i="4" s="1"/>
  <c r="D44" i="4"/>
  <c r="D45" i="4"/>
  <c r="D46" i="4"/>
  <c r="G46" i="4" s="1"/>
  <c r="D47" i="4"/>
  <c r="D48" i="4"/>
  <c r="G48" i="4" s="1"/>
  <c r="D49" i="4"/>
  <c r="D50" i="4"/>
  <c r="D51" i="4"/>
  <c r="G51" i="4" s="1"/>
  <c r="D52" i="4"/>
  <c r="D3" i="4"/>
  <c r="E10" i="2"/>
  <c r="E11" i="2" s="1"/>
  <c r="Q4" i="3"/>
  <c r="Q3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3" i="3"/>
  <c r="E12" i="3"/>
  <c r="C2" i="3" s="1"/>
  <c r="C8" i="3" s="1"/>
  <c r="F8" i="2"/>
  <c r="K11" i="2" s="1"/>
  <c r="M11" i="2" s="1"/>
  <c r="M17" i="2"/>
  <c r="K7" i="2" s="1"/>
  <c r="K13" i="2" s="1"/>
  <c r="F25" i="2" s="1"/>
  <c r="F23" i="2" l="1"/>
  <c r="K5" i="2"/>
  <c r="K18" i="2" s="1"/>
  <c r="K12" i="2"/>
  <c r="G50" i="4"/>
  <c r="G42" i="4"/>
  <c r="G34" i="4"/>
  <c r="G26" i="4"/>
  <c r="G18" i="4"/>
  <c r="G10" i="4"/>
  <c r="G49" i="4"/>
  <c r="G41" i="4"/>
  <c r="G33" i="4"/>
  <c r="G25" i="4"/>
  <c r="G17" i="4"/>
  <c r="G9" i="4"/>
  <c r="G11" i="4"/>
  <c r="G24" i="4"/>
  <c r="G47" i="4"/>
  <c r="G39" i="4"/>
  <c r="G31" i="4"/>
  <c r="G23" i="4"/>
  <c r="G15" i="4"/>
  <c r="G7" i="4"/>
  <c r="G27" i="4"/>
  <c r="G30" i="4"/>
  <c r="G22" i="4"/>
  <c r="G14" i="4"/>
  <c r="G6" i="4"/>
  <c r="G19" i="4"/>
  <c r="G3" i="4"/>
  <c r="G45" i="4"/>
  <c r="G37" i="4"/>
  <c r="G29" i="4"/>
  <c r="G21" i="4"/>
  <c r="G13" i="4"/>
  <c r="G5" i="4"/>
  <c r="G52" i="4"/>
  <c r="G44" i="4"/>
  <c r="G36" i="4"/>
  <c r="G28" i="4"/>
  <c r="G20" i="4"/>
  <c r="G12" i="4"/>
  <c r="G4" i="4"/>
  <c r="F26" i="2"/>
  <c r="F19" i="1"/>
  <c r="J4" i="1"/>
  <c r="L19" i="1" s="1"/>
  <c r="N19" i="1" s="1"/>
  <c r="L15" i="1"/>
  <c r="L21" i="1" s="1"/>
  <c r="I28" i="1" s="1"/>
  <c r="D18" i="1"/>
  <c r="F17" i="1"/>
  <c r="M58" i="4" l="1"/>
  <c r="L20" i="1"/>
  <c r="L13" i="1"/>
  <c r="F21" i="2"/>
  <c r="F22" i="2" s="1"/>
  <c r="F24" i="2" s="1"/>
  <c r="M3" i="4" l="1"/>
  <c r="L3" i="4"/>
  <c r="I25" i="1"/>
  <c r="I26" i="1" s="1"/>
  <c r="I27" i="1"/>
  <c r="H3" i="4" l="1"/>
  <c r="I3" i="4" s="1"/>
  <c r="J3" i="4" s="1"/>
  <c r="L4" i="4" s="1"/>
  <c r="N4" i="4" l="1"/>
  <c r="Q4" i="4" s="1"/>
  <c r="M4" i="4" l="1"/>
  <c r="H4" i="4" l="1"/>
  <c r="I4" i="4" s="1"/>
  <c r="J4" i="4" s="1"/>
  <c r="P4" i="4"/>
  <c r="L5" i="4" l="1"/>
  <c r="M5" i="4" s="1"/>
  <c r="P5" i="4" s="1"/>
  <c r="H5" i="4"/>
  <c r="I5" i="4" s="1"/>
  <c r="J5" i="4" s="1"/>
  <c r="O4" i="4"/>
  <c r="L6" i="4" l="1"/>
  <c r="M6" i="4" s="1"/>
  <c r="H6" i="4" s="1"/>
  <c r="I6" i="4" s="1"/>
  <c r="J6" i="4" s="1"/>
  <c r="L7" i="4" s="1"/>
  <c r="N5" i="4"/>
  <c r="Q5" i="4" s="1"/>
  <c r="O5" i="4"/>
  <c r="N6" i="4" l="1"/>
  <c r="Q6" i="4" s="1"/>
  <c r="P6" i="4"/>
  <c r="O6" i="4"/>
  <c r="H7" i="4"/>
  <c r="I7" i="4" s="1"/>
  <c r="J7" i="4" s="1"/>
  <c r="L8" i="4" s="1"/>
  <c r="M7" i="4"/>
  <c r="N7" i="4"/>
  <c r="Q7" i="4" l="1"/>
  <c r="P7" i="4"/>
  <c r="O7" i="4"/>
  <c r="M8" i="4"/>
  <c r="N8" i="4"/>
  <c r="Q8" i="4" l="1"/>
  <c r="H8" i="4"/>
  <c r="I8" i="4" s="1"/>
  <c r="J8" i="4" s="1"/>
  <c r="L9" i="4" s="1"/>
  <c r="M9" i="4" s="1"/>
  <c r="P8" i="4"/>
  <c r="H9" i="4" l="1"/>
  <c r="I9" i="4" s="1"/>
  <c r="J9" i="4" s="1"/>
  <c r="L10" i="4" s="1"/>
  <c r="M10" i="4" s="1"/>
  <c r="O8" i="4"/>
  <c r="N9" i="4"/>
  <c r="Q9" i="4" s="1"/>
  <c r="P9" i="4"/>
  <c r="O9" i="4" l="1"/>
  <c r="H10" i="4"/>
  <c r="I10" i="4" s="1"/>
  <c r="J10" i="4" s="1"/>
  <c r="L11" i="4" s="1"/>
  <c r="P10" i="4"/>
  <c r="N10" i="4"/>
  <c r="Q10" i="4" s="1"/>
  <c r="O10" i="4" l="1"/>
  <c r="H11" i="4"/>
  <c r="I11" i="4" s="1"/>
  <c r="J11" i="4" s="1"/>
  <c r="L12" i="4" s="1"/>
  <c r="M11" i="4" l="1"/>
  <c r="P11" i="4" s="1"/>
  <c r="N11" i="4"/>
  <c r="Q11" i="4" s="1"/>
  <c r="O11" i="4"/>
  <c r="M12" i="4" l="1"/>
  <c r="P12" i="4" s="1"/>
  <c r="N12" i="4"/>
  <c r="Q12" i="4" s="1"/>
  <c r="H12" i="4" l="1"/>
  <c r="I12" i="4" s="1"/>
  <c r="J12" i="4" s="1"/>
  <c r="L13" i="4" s="1"/>
  <c r="O12" i="4" l="1"/>
  <c r="M13" i="4"/>
  <c r="P13" i="4" s="1"/>
  <c r="N13" i="4"/>
  <c r="Q13" i="4" s="1"/>
  <c r="H13" i="4" l="1"/>
  <c r="I13" i="4" s="1"/>
  <c r="J13" i="4" s="1"/>
  <c r="L14" i="4" s="1"/>
  <c r="M14" i="4" s="1"/>
  <c r="P14" i="4" s="1"/>
  <c r="H14" i="4" l="1"/>
  <c r="I14" i="4" s="1"/>
  <c r="J14" i="4" s="1"/>
  <c r="N14" i="4"/>
  <c r="Q14" i="4" s="1"/>
  <c r="O13" i="4"/>
  <c r="L15" i="4" l="1"/>
  <c r="M15" i="4" s="1"/>
  <c r="P15" i="4" s="1"/>
  <c r="O14" i="4"/>
  <c r="H15" i="4"/>
  <c r="I15" i="4" s="1"/>
  <c r="J15" i="4" s="1"/>
  <c r="L16" i="4" l="1"/>
  <c r="M16" i="4" s="1"/>
  <c r="N15" i="4"/>
  <c r="Q15" i="4" s="1"/>
  <c r="O15" i="4"/>
  <c r="N16" i="4" l="1"/>
  <c r="Q16" i="4" s="1"/>
  <c r="H16" i="4"/>
  <c r="I16" i="4" s="1"/>
  <c r="J16" i="4" s="1"/>
  <c r="L17" i="4" s="1"/>
  <c r="P16" i="4"/>
  <c r="O16" i="4" l="1"/>
  <c r="M17" i="4" l="1"/>
  <c r="N17" i="4"/>
  <c r="Q17" i="4" s="1"/>
  <c r="P17" i="4" l="1"/>
  <c r="H17" i="4"/>
  <c r="I17" i="4" s="1"/>
  <c r="J17" i="4" s="1"/>
  <c r="L18" i="4" l="1"/>
  <c r="O17" i="4"/>
  <c r="M18" i="4" l="1"/>
  <c r="N18" i="4"/>
  <c r="Q18" i="4" s="1"/>
  <c r="P18" i="4" l="1"/>
  <c r="H18" i="4"/>
  <c r="I18" i="4" s="1"/>
  <c r="J18" i="4" s="1"/>
  <c r="O18" i="4" l="1"/>
  <c r="L19" i="4"/>
  <c r="H19" i="4"/>
  <c r="I19" i="4" s="1"/>
  <c r="J19" i="4" s="1"/>
  <c r="N19" i="4" l="1"/>
  <c r="Q19" i="4" s="1"/>
  <c r="M19" i="4"/>
  <c r="P19" i="4" s="1"/>
  <c r="L20" i="4"/>
  <c r="O19" i="4"/>
  <c r="N20" i="4" l="1"/>
  <c r="Q20" i="4" s="1"/>
  <c r="M20" i="4"/>
  <c r="P20" i="4" l="1"/>
  <c r="H20" i="4"/>
  <c r="I20" i="4" s="1"/>
  <c r="J20" i="4" s="1"/>
  <c r="L21" i="4" l="1"/>
  <c r="O20" i="4"/>
  <c r="H21" i="4"/>
  <c r="I21" i="4" s="1"/>
  <c r="J21" i="4" s="1"/>
  <c r="O21" i="4" l="1"/>
  <c r="L22" i="4"/>
  <c r="M21" i="4"/>
  <c r="P21" i="4" s="1"/>
  <c r="N21" i="4"/>
  <c r="Q21" i="4" s="1"/>
  <c r="N22" i="4" l="1"/>
  <c r="Q22" i="4" s="1"/>
  <c r="M22" i="4"/>
  <c r="P22" i="4" l="1"/>
  <c r="H22" i="4"/>
  <c r="I22" i="4" s="1"/>
  <c r="J22" i="4" s="1"/>
  <c r="L23" i="4" l="1"/>
  <c r="O22" i="4"/>
  <c r="H23" i="4"/>
  <c r="I23" i="4" s="1"/>
  <c r="J23" i="4" s="1"/>
  <c r="N23" i="4" l="1"/>
  <c r="Q23" i="4" s="1"/>
  <c r="M23" i="4"/>
  <c r="P23" i="4" s="1"/>
  <c r="L24" i="4"/>
  <c r="O23" i="4"/>
  <c r="M24" i="4" l="1"/>
  <c r="N24" i="4"/>
  <c r="Q24" i="4" s="1"/>
  <c r="P24" i="4" l="1"/>
  <c r="H24" i="4"/>
  <c r="I24" i="4" s="1"/>
  <c r="J24" i="4" s="1"/>
  <c r="L25" i="4" l="1"/>
  <c r="O24" i="4"/>
  <c r="H25" i="4"/>
  <c r="I25" i="4" s="1"/>
  <c r="J25" i="4" s="1"/>
  <c r="M25" i="4" l="1"/>
  <c r="P25" i="4" s="1"/>
  <c r="N25" i="4"/>
  <c r="Q25" i="4" s="1"/>
  <c r="L26" i="4"/>
  <c r="O25" i="4"/>
  <c r="M26" i="4" l="1"/>
  <c r="N26" i="4"/>
  <c r="Q26" i="4" s="1"/>
  <c r="P26" i="4" l="1"/>
  <c r="H26" i="4"/>
  <c r="I26" i="4" s="1"/>
  <c r="J26" i="4" s="1"/>
  <c r="L27" i="4" l="1"/>
  <c r="O26" i="4"/>
  <c r="H27" i="4"/>
  <c r="I27" i="4" s="1"/>
  <c r="J27" i="4" s="1"/>
  <c r="N27" i="4" l="1"/>
  <c r="Q27" i="4" s="1"/>
  <c r="M27" i="4"/>
  <c r="P27" i="4" s="1"/>
  <c r="L28" i="4"/>
  <c r="O27" i="4"/>
  <c r="M28" i="4" l="1"/>
  <c r="N28" i="4"/>
  <c r="Q28" i="4" s="1"/>
  <c r="P28" i="4" l="1"/>
  <c r="H28" i="4"/>
  <c r="I28" i="4" s="1"/>
  <c r="J28" i="4" s="1"/>
  <c r="O28" i="4" l="1"/>
  <c r="L29" i="4"/>
  <c r="H29" i="4"/>
  <c r="I29" i="4" s="1"/>
  <c r="J29" i="4" s="1"/>
  <c r="M29" i="4" l="1"/>
  <c r="P29" i="4" s="1"/>
  <c r="N29" i="4"/>
  <c r="Q29" i="4" s="1"/>
  <c r="L30" i="4"/>
  <c r="O29" i="4"/>
  <c r="N30" i="4" l="1"/>
  <c r="Q30" i="4" s="1"/>
  <c r="M30" i="4"/>
  <c r="P30" i="4" l="1"/>
  <c r="H30" i="4"/>
  <c r="I30" i="4" s="1"/>
  <c r="J30" i="4" s="1"/>
  <c r="L31" i="4" l="1"/>
  <c r="O30" i="4"/>
  <c r="H31" i="4"/>
  <c r="I31" i="4" s="1"/>
  <c r="J31" i="4" s="1"/>
  <c r="L32" i="4" l="1"/>
  <c r="O31" i="4"/>
  <c r="M31" i="4"/>
  <c r="P31" i="4" s="1"/>
  <c r="N31" i="4"/>
  <c r="Q31" i="4" s="1"/>
  <c r="N32" i="4" l="1"/>
  <c r="Q32" i="4" s="1"/>
  <c r="M32" i="4"/>
  <c r="H32" i="4" l="1"/>
  <c r="I32" i="4" s="1"/>
  <c r="J32" i="4" s="1"/>
  <c r="P32" i="4"/>
  <c r="L33" i="4" l="1"/>
  <c r="O32" i="4"/>
  <c r="H33" i="4"/>
  <c r="I33" i="4" s="1"/>
  <c r="J33" i="4" s="1"/>
  <c r="M33" i="4" l="1"/>
  <c r="P33" i="4" s="1"/>
  <c r="N33" i="4"/>
  <c r="Q33" i="4" s="1"/>
  <c r="L34" i="4"/>
  <c r="O33" i="4"/>
  <c r="N34" i="4" l="1"/>
  <c r="Q34" i="4" s="1"/>
  <c r="M34" i="4"/>
  <c r="P34" i="4" l="1"/>
  <c r="H34" i="4"/>
  <c r="I34" i="4" s="1"/>
  <c r="J34" i="4" s="1"/>
  <c r="L35" i="4" l="1"/>
  <c r="O34" i="4"/>
  <c r="H35" i="4"/>
  <c r="I35" i="4" s="1"/>
  <c r="J35" i="4" s="1"/>
  <c r="N35" i="4" l="1"/>
  <c r="Q35" i="4" s="1"/>
  <c r="M35" i="4"/>
  <c r="P35" i="4" s="1"/>
  <c r="L36" i="4"/>
  <c r="O35" i="4"/>
  <c r="N36" i="4" l="1"/>
  <c r="Q36" i="4" s="1"/>
  <c r="M36" i="4"/>
  <c r="P36" i="4" l="1"/>
  <c r="H36" i="4"/>
  <c r="I36" i="4" s="1"/>
  <c r="J36" i="4" s="1"/>
  <c r="L37" i="4" l="1"/>
  <c r="O36" i="4"/>
  <c r="H37" i="4"/>
  <c r="I37" i="4" s="1"/>
  <c r="J37" i="4" s="1"/>
  <c r="M37" i="4" l="1"/>
  <c r="P37" i="4" s="1"/>
  <c r="N37" i="4"/>
  <c r="Q37" i="4" s="1"/>
  <c r="L38" i="4"/>
  <c r="O37" i="4"/>
  <c r="N38" i="4" l="1"/>
  <c r="Q38" i="4" s="1"/>
  <c r="M38" i="4"/>
  <c r="P38" i="4" l="1"/>
  <c r="H38" i="4"/>
  <c r="I38" i="4" s="1"/>
  <c r="J38" i="4" s="1"/>
  <c r="L39" i="4" l="1"/>
  <c r="H39" i="4"/>
  <c r="I39" i="4" s="1"/>
  <c r="J39" i="4" s="1"/>
  <c r="O38" i="4"/>
  <c r="L40" i="4" l="1"/>
  <c r="O39" i="4"/>
  <c r="M39" i="4"/>
  <c r="P39" i="4" s="1"/>
  <c r="N39" i="4"/>
  <c r="Q39" i="4" s="1"/>
  <c r="N40" i="4" l="1"/>
  <c r="Q40" i="4" s="1"/>
  <c r="M40" i="4"/>
  <c r="P40" i="4" l="1"/>
  <c r="H40" i="4"/>
  <c r="I40" i="4" s="1"/>
  <c r="J40" i="4" s="1"/>
  <c r="O40" i="4" l="1"/>
  <c r="L41" i="4"/>
  <c r="H41" i="4"/>
  <c r="I41" i="4" s="1"/>
  <c r="J41" i="4" s="1"/>
  <c r="M41" i="4" l="1"/>
  <c r="P41" i="4" s="1"/>
  <c r="N41" i="4"/>
  <c r="Q41" i="4" s="1"/>
  <c r="L42" i="4"/>
  <c r="O41" i="4"/>
  <c r="N42" i="4" l="1"/>
  <c r="Q42" i="4" s="1"/>
  <c r="M42" i="4"/>
  <c r="P42" i="4" l="1"/>
  <c r="H42" i="4"/>
  <c r="I42" i="4" s="1"/>
  <c r="J42" i="4" s="1"/>
  <c r="O42" i="4" l="1"/>
  <c r="H43" i="4"/>
  <c r="I43" i="4" s="1"/>
  <c r="J43" i="4" s="1"/>
  <c r="L43" i="4"/>
  <c r="M43" i="4" l="1"/>
  <c r="P43" i="4" s="1"/>
  <c r="N43" i="4"/>
  <c r="Q43" i="4" s="1"/>
  <c r="O43" i="4"/>
  <c r="L44" i="4"/>
  <c r="M44" i="4" l="1"/>
  <c r="N44" i="4"/>
  <c r="Q44" i="4" s="1"/>
  <c r="H44" i="4" l="1"/>
  <c r="I44" i="4" s="1"/>
  <c r="J44" i="4" s="1"/>
  <c r="P44" i="4"/>
  <c r="L45" i="4" l="1"/>
  <c r="O44" i="4"/>
  <c r="H45" i="4"/>
  <c r="I45" i="4" s="1"/>
  <c r="J45" i="4" s="1"/>
  <c r="M45" i="4" l="1"/>
  <c r="P45" i="4" s="1"/>
  <c r="N45" i="4"/>
  <c r="Q45" i="4" s="1"/>
  <c r="O45" i="4"/>
  <c r="L46" i="4"/>
  <c r="M46" i="4" l="1"/>
  <c r="N46" i="4"/>
  <c r="Q46" i="4" s="1"/>
  <c r="P46" i="4" l="1"/>
  <c r="H46" i="4"/>
  <c r="I46" i="4" s="1"/>
  <c r="J46" i="4" s="1"/>
  <c r="L47" i="4" l="1"/>
  <c r="O46" i="4"/>
  <c r="H47" i="4"/>
  <c r="I47" i="4" s="1"/>
  <c r="J47" i="4" s="1"/>
  <c r="M47" i="4" l="1"/>
  <c r="P47" i="4" s="1"/>
  <c r="N47" i="4"/>
  <c r="Q47" i="4" s="1"/>
  <c r="O47" i="4"/>
  <c r="L48" i="4"/>
  <c r="M48" i="4" l="1"/>
  <c r="N48" i="4"/>
  <c r="Q48" i="4" s="1"/>
  <c r="P48" i="4" l="1"/>
  <c r="H48" i="4"/>
  <c r="I48" i="4" s="1"/>
  <c r="J48" i="4" s="1"/>
  <c r="L49" i="4" l="1"/>
  <c r="O48" i="4"/>
  <c r="H49" i="4"/>
  <c r="I49" i="4" s="1"/>
  <c r="J49" i="4" s="1"/>
  <c r="N49" i="4" l="1"/>
  <c r="Q49" i="4" s="1"/>
  <c r="M49" i="4"/>
  <c r="P49" i="4" s="1"/>
  <c r="O49" i="4"/>
  <c r="L50" i="4"/>
  <c r="N50" i="4" l="1"/>
  <c r="Q50" i="4" s="1"/>
  <c r="M50" i="4"/>
  <c r="P50" i="4" s="1"/>
  <c r="H50" i="4" l="1"/>
  <c r="I50" i="4" s="1"/>
  <c r="J50" i="4" s="1"/>
  <c r="O50" i="4" l="1"/>
  <c r="L51" i="4"/>
  <c r="H51" i="4"/>
  <c r="I51" i="4" s="1"/>
  <c r="J51" i="4" s="1"/>
  <c r="M51" i="4" l="1"/>
  <c r="P51" i="4" s="1"/>
  <c r="N51" i="4"/>
  <c r="Q51" i="4" s="1"/>
  <c r="O51" i="4"/>
  <c r="L52" i="4"/>
  <c r="N52" i="4" l="1"/>
  <c r="Q52" i="4" s="1"/>
  <c r="M52" i="4"/>
  <c r="H52" i="4" s="1"/>
  <c r="I52" i="4" s="1"/>
  <c r="J52" i="4" s="1"/>
  <c r="O52" i="4" s="1"/>
  <c r="M60" i="4" s="1"/>
  <c r="M61" i="4" l="1"/>
  <c r="M62" i="4"/>
  <c r="M57" i="4" s="1"/>
  <c r="M59" i="4" s="1"/>
  <c r="P52" i="4"/>
  <c r="M56" i="4"/>
  <c r="M55" i="4"/>
</calcChain>
</file>

<file path=xl/sharedStrings.xml><?xml version="1.0" encoding="utf-8"?>
<sst xmlns="http://schemas.openxmlformats.org/spreadsheetml/2006/main" count="148" uniqueCount="90">
  <si>
    <t>Ciclo Encomenda</t>
  </si>
  <si>
    <t>Semana</t>
  </si>
  <si>
    <t>r(semana)</t>
  </si>
  <si>
    <t>Só se encomenda se stock_mao &lt; s</t>
  </si>
  <si>
    <t>rmed(ano) sobe 3.8% por ano (3 anos)</t>
  </si>
  <si>
    <t>desvio/rmed = 8.7%</t>
  </si>
  <si>
    <t>1 ano = 50 sem</t>
  </si>
  <si>
    <t xml:space="preserve">b </t>
  </si>
  <si>
    <t>c3</t>
  </si>
  <si>
    <t>i(ano)</t>
  </si>
  <si>
    <t>i(semana)</t>
  </si>
  <si>
    <t>c2</t>
  </si>
  <si>
    <t>l</t>
  </si>
  <si>
    <t>Ciclo Encomenda 2 semanas</t>
  </si>
  <si>
    <t>t = 2 semanas</t>
  </si>
  <si>
    <t xml:space="preserve">CT </t>
  </si>
  <si>
    <t>t</t>
  </si>
  <si>
    <t>sqrt(2C3/C1*r)</t>
  </si>
  <si>
    <t>C1*t/C2</t>
  </si>
  <si>
    <t xml:space="preserve">P*[DDPP] </t>
  </si>
  <si>
    <t>C1</t>
  </si>
  <si>
    <t>C1 = b*i</t>
  </si>
  <si>
    <t>C2</t>
  </si>
  <si>
    <t>C3</t>
  </si>
  <si>
    <t xml:space="preserve">venda </t>
  </si>
  <si>
    <t>r</t>
  </si>
  <si>
    <t>desvio</t>
  </si>
  <si>
    <t>P*[DDPP]</t>
  </si>
  <si>
    <t>r_ano</t>
  </si>
  <si>
    <t>r_semana</t>
  </si>
  <si>
    <t>r_med_semanal (2018)</t>
  </si>
  <si>
    <t>E[DDPP]</t>
  </si>
  <si>
    <t>Pela Tabela</t>
  </si>
  <si>
    <t>N=65</t>
  </si>
  <si>
    <t>S</t>
  </si>
  <si>
    <t xml:space="preserve">Lucro </t>
  </si>
  <si>
    <t>Quebras</t>
  </si>
  <si>
    <t>s</t>
  </si>
  <si>
    <t>q</t>
  </si>
  <si>
    <t>Nivel_Stock_Médio</t>
  </si>
  <si>
    <t>SS</t>
  </si>
  <si>
    <t>C1(S-rl-rt/2) + C2*1/t*E[DDPP &gt; S] + C3*1/t</t>
  </si>
  <si>
    <r>
      <t xml:space="preserve">“stock em mão” </t>
    </r>
    <r>
      <rPr>
        <sz val="16"/>
        <color rgb="FF00B050"/>
        <rFont val="ArialMT"/>
      </rPr>
      <t xml:space="preserve">(existências físicas + carteira de encomendas) </t>
    </r>
  </si>
  <si>
    <t>Stock_Mão</t>
  </si>
  <si>
    <t>b</t>
  </si>
  <si>
    <t>i_ano</t>
  </si>
  <si>
    <t>i_semana</t>
  </si>
  <si>
    <t>semanas</t>
  </si>
  <si>
    <t>s_med = S-rl-rt/2</t>
  </si>
  <si>
    <t>SS = S-rl-rt</t>
  </si>
  <si>
    <t>Cv_Enc_Atr</t>
  </si>
  <si>
    <t>q=S-s+rt/2</t>
  </si>
  <si>
    <t>S=sqrt(2rC3/C1) + s-rt/2</t>
  </si>
  <si>
    <t>Página 32</t>
  </si>
  <si>
    <t>C1 * (S^2 / 2q) + C2 (q-S)^2/2q + C3*1/t</t>
  </si>
  <si>
    <t>venda</t>
  </si>
  <si>
    <t>Custo Variável</t>
  </si>
  <si>
    <t>Custo Total</t>
  </si>
  <si>
    <t>Custo Fixo</t>
  </si>
  <si>
    <t>Lucro</t>
  </si>
  <si>
    <t>Nível Stock Médio</t>
  </si>
  <si>
    <t>Stock Medio = S -rl - rt/2</t>
  </si>
  <si>
    <t>Quebras/semana</t>
  </si>
  <si>
    <t>P*[DDPP &gt; S]</t>
  </si>
  <si>
    <t>E[DDPP &gt; S]</t>
  </si>
  <si>
    <t>Vendas</t>
  </si>
  <si>
    <t>RAN</t>
  </si>
  <si>
    <t>Procura</t>
  </si>
  <si>
    <t>Encomenda</t>
  </si>
  <si>
    <t>Prazo Residual</t>
  </si>
  <si>
    <t>Período Revisão Residual</t>
  </si>
  <si>
    <t>Nível Corrente Stock</t>
  </si>
  <si>
    <t>Total Encomendas</t>
  </si>
  <si>
    <t>Semanas em Quebra</t>
  </si>
  <si>
    <t>Desvio</t>
  </si>
  <si>
    <t>Média Procura</t>
  </si>
  <si>
    <t>Custo</t>
  </si>
  <si>
    <t>Encomendas Carteira</t>
  </si>
  <si>
    <t>Custo_Encomendas</t>
  </si>
  <si>
    <t>Custo_Quebras</t>
  </si>
  <si>
    <t>Custo_Existencia</t>
  </si>
  <si>
    <t>Parâmetros</t>
  </si>
  <si>
    <t>Média Stock</t>
  </si>
  <si>
    <t>Produtos em Quebra</t>
  </si>
  <si>
    <t>Venda</t>
  </si>
  <si>
    <r>
      <t>SE(PRAZO=1;</t>
    </r>
    <r>
      <rPr>
        <sz val="12"/>
        <color rgb="FF92D050"/>
        <rFont val="Calibri (corpo)"/>
      </rPr>
      <t>SE(Stock-Procura &lt; 0;Encomenda-Carteira;Stock-Procura+Encomenda-Carteira)</t>
    </r>
    <r>
      <rPr>
        <sz val="12"/>
        <color theme="1"/>
        <rFont val="Calibri"/>
        <family val="2"/>
        <scheme val="minor"/>
      </rPr>
      <t>;</t>
    </r>
    <r>
      <rPr>
        <sz val="12"/>
        <color rgb="FFFF0000"/>
        <rFont val="Calibri (corpo)"/>
      </rPr>
      <t>SE(Stock-Procura &lt; 0; 0; SE(Carteira &gt; 0; Stock-Procura-Carteita;Stock-Procura))</t>
    </r>
    <r>
      <rPr>
        <sz val="12"/>
        <color theme="1"/>
        <rFont val="Calibri"/>
        <family val="2"/>
        <scheme val="minor"/>
      </rPr>
      <t>)</t>
    </r>
  </si>
  <si>
    <t>SE(J3=1;SE(L3-G3 &lt; 0;H3-M3;L3-G3+H3-M3);SE(L3-G3 &lt; 0; 0; SE(M3 &gt; 0; L3-G3-M3;L3-G3)))</t>
  </si>
  <si>
    <t>SE(M3&gt;0;SE(J3=1;SE(L3-M3&lt;0;0;L3-M3);SE(J3=0;0;M3+G3-L3));SE(L3-G3 &lt; 0; G3-L3; 0))</t>
  </si>
  <si>
    <t>Fluxo Stock</t>
  </si>
  <si>
    <t>Stock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</si>
</sst>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6"/>
      <color rgb="FF00B050"/>
      <name val="Arial"/>
      <family val="2"/>
    </font>
    <font>
      <sz val="16"/>
      <color rgb="FF00B050"/>
      <name val="ArialMT"/>
    </font>
    <font>
      <i/>
      <sz val="12"/>
      <color theme="1"/>
      <name val="Calibri"/>
      <family val="2"/>
      <scheme val="minor"/>
    </font>
    <font>
      <i/>
      <sz val="12"/>
      <color rgb="FF00B050"/>
      <name val="Calibri"/>
      <family val="2"/>
      <scheme val="minor"/>
    </font>
    <font>
      <b/>
      <sz val="18"/>
      <color theme="1"/>
      <name val="Arial"/>
      <family val="2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MT"/>
    </font>
    <font>
      <sz val="12"/>
      <color rgb="FF92D050"/>
      <name val="Calibri (corpo)"/>
    </font>
    <font>
      <sz val="12"/>
      <color rgb="FFFF0000"/>
      <name val="Calibri (corpo)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5" fillId="0" borderId="0" xfId="0" applyFont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7" fillId="0" borderId="0" xfId="0" applyFont="1"/>
    <xf numFmtId="0" fontId="8" fillId="0" borderId="0" xfId="0" applyFont="1"/>
    <xf numFmtId="0" fontId="0" fillId="0" borderId="0" xfId="0" applyFill="1"/>
    <xf numFmtId="0" fontId="5" fillId="3" borderId="0" xfId="0" applyFont="1" applyFill="1"/>
    <xf numFmtId="0" fontId="6" fillId="3" borderId="0" xfId="0" applyFont="1" applyFill="1"/>
    <xf numFmtId="0" fontId="9" fillId="0" borderId="0" xfId="0" applyFont="1"/>
    <xf numFmtId="0" fontId="10" fillId="0" borderId="0" xfId="0" applyFont="1"/>
    <xf numFmtId="0" fontId="2" fillId="5" borderId="1" xfId="0" applyFont="1" applyFill="1" applyBorder="1"/>
    <xf numFmtId="0" fontId="2" fillId="6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/>
    <xf numFmtId="0" fontId="0" fillId="3" borderId="0" xfId="0" applyFont="1" applyFill="1"/>
    <xf numFmtId="0" fontId="2" fillId="7" borderId="0" xfId="0" applyFont="1" applyFill="1"/>
    <xf numFmtId="0" fontId="0" fillId="7" borderId="0" xfId="0" applyFill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423C-A3E8-B946-8F37-BC2AFCFC7D9C}">
  <dimension ref="B2:N30"/>
  <sheetViews>
    <sheetView workbookViewId="0">
      <selection activeCell="L13" sqref="L13"/>
    </sheetView>
  </sheetViews>
  <sheetFormatPr baseColWidth="10" defaultRowHeight="16"/>
  <cols>
    <col min="3" max="3" width="25.1640625" customWidth="1"/>
    <col min="6" max="6" width="34.33203125" customWidth="1"/>
    <col min="8" max="8" width="17.1640625" customWidth="1"/>
    <col min="9" max="9" width="36.6640625" customWidth="1"/>
  </cols>
  <sheetData>
    <row r="2" spans="2:12" ht="20">
      <c r="B2" s="2"/>
      <c r="C2" s="2" t="s">
        <v>0</v>
      </c>
      <c r="F2" s="3" t="s">
        <v>3</v>
      </c>
      <c r="H2" s="3" t="s">
        <v>6</v>
      </c>
      <c r="I2" s="4" t="s">
        <v>42</v>
      </c>
    </row>
    <row r="3" spans="2:12">
      <c r="B3" s="2">
        <v>2018</v>
      </c>
      <c r="C3" s="2"/>
      <c r="F3" s="3"/>
    </row>
    <row r="4" spans="2:12">
      <c r="B4" s="2" t="s">
        <v>1</v>
      </c>
      <c r="C4" s="2" t="s">
        <v>2</v>
      </c>
      <c r="F4" s="3" t="s">
        <v>4</v>
      </c>
      <c r="I4" s="2" t="s">
        <v>30</v>
      </c>
      <c r="J4">
        <f xml:space="preserve"> (419.1*16 + 554.2*12 + 334.6 * 22 )/ 50</f>
        <v>414.34399999999999</v>
      </c>
    </row>
    <row r="5" spans="2:12">
      <c r="B5">
        <v>1</v>
      </c>
      <c r="C5">
        <v>419.1</v>
      </c>
      <c r="F5" s="3" t="s">
        <v>5</v>
      </c>
    </row>
    <row r="6" spans="2:12">
      <c r="B6">
        <v>16</v>
      </c>
      <c r="C6">
        <v>419.1</v>
      </c>
    </row>
    <row r="7" spans="2:12">
      <c r="B7">
        <v>17</v>
      </c>
      <c r="C7">
        <v>554.20000000000005</v>
      </c>
    </row>
    <row r="8" spans="2:12">
      <c r="B8">
        <v>28</v>
      </c>
      <c r="C8">
        <v>554.20000000000005</v>
      </c>
    </row>
    <row r="9" spans="2:12">
      <c r="B9">
        <v>29</v>
      </c>
      <c r="C9">
        <v>334.6</v>
      </c>
    </row>
    <row r="10" spans="2:12">
      <c r="B10">
        <v>50</v>
      </c>
      <c r="C10">
        <v>334.6</v>
      </c>
    </row>
    <row r="12" spans="2:12">
      <c r="K12" t="s">
        <v>37</v>
      </c>
      <c r="L12">
        <v>600</v>
      </c>
    </row>
    <row r="13" spans="2:12">
      <c r="B13" s="2">
        <v>2019</v>
      </c>
      <c r="K13" t="s">
        <v>34</v>
      </c>
      <c r="L13">
        <f>SQRT(2*N19*L17/L15)+L12-(N19*L18)/2</f>
        <v>1662.7072260811435</v>
      </c>
    </row>
    <row r="14" spans="2:12">
      <c r="C14" s="2" t="s">
        <v>7</v>
      </c>
      <c r="D14">
        <v>96.5</v>
      </c>
    </row>
    <row r="15" spans="2:12">
      <c r="C15" s="2" t="s">
        <v>24</v>
      </c>
      <c r="D15">
        <v>120</v>
      </c>
      <c r="K15" s="2" t="s">
        <v>21</v>
      </c>
      <c r="L15">
        <f>F17*D14</f>
        <v>0.34739999999999999</v>
      </c>
    </row>
    <row r="16" spans="2:12">
      <c r="C16" s="2" t="s">
        <v>8</v>
      </c>
      <c r="D16">
        <v>900</v>
      </c>
      <c r="H16" s="2" t="s">
        <v>15</v>
      </c>
      <c r="I16" s="3" t="s">
        <v>41</v>
      </c>
      <c r="K16" s="2" t="s">
        <v>22</v>
      </c>
      <c r="L16">
        <v>28</v>
      </c>
    </row>
    <row r="17" spans="3:14">
      <c r="C17" s="2" t="s">
        <v>9</v>
      </c>
      <c r="D17">
        <v>0.18</v>
      </c>
      <c r="E17" s="2" t="s">
        <v>10</v>
      </c>
      <c r="F17">
        <f>D17/50</f>
        <v>3.5999999999999999E-3</v>
      </c>
      <c r="H17" s="2" t="s">
        <v>16</v>
      </c>
      <c r="I17" s="3" t="s">
        <v>17</v>
      </c>
      <c r="K17" s="2" t="s">
        <v>23</v>
      </c>
      <c r="L17">
        <v>900</v>
      </c>
    </row>
    <row r="18" spans="3:14">
      <c r="C18" s="2" t="s">
        <v>11</v>
      </c>
      <c r="D18">
        <f>20+2*4</f>
        <v>28</v>
      </c>
      <c r="H18" s="2" t="s">
        <v>19</v>
      </c>
      <c r="I18" s="3" t="s">
        <v>18</v>
      </c>
      <c r="K18" s="2" t="s">
        <v>16</v>
      </c>
      <c r="L18">
        <v>2</v>
      </c>
    </row>
    <row r="19" spans="3:14">
      <c r="C19" s="2" t="s">
        <v>12</v>
      </c>
      <c r="D19" s="1">
        <v>1</v>
      </c>
      <c r="E19" s="1">
        <v>2</v>
      </c>
      <c r="F19">
        <f>D19*D20+E19*E20</f>
        <v>1.4</v>
      </c>
      <c r="K19" s="2" t="s">
        <v>28</v>
      </c>
      <c r="L19">
        <f>(50*J4)*1.038</f>
        <v>21504.453600000001</v>
      </c>
      <c r="M19" s="2" t="s">
        <v>29</v>
      </c>
      <c r="N19">
        <f>L19/50</f>
        <v>430.08907199999999</v>
      </c>
    </row>
    <row r="20" spans="3:14">
      <c r="C20" s="2"/>
      <c r="D20" s="1">
        <v>0.6</v>
      </c>
      <c r="E20" s="1">
        <v>0.4</v>
      </c>
      <c r="K20" s="2" t="s">
        <v>26</v>
      </c>
      <c r="L20">
        <f xml:space="preserve"> 0.087 * N19</f>
        <v>37.417749263999994</v>
      </c>
    </row>
    <row r="21" spans="3:14">
      <c r="C21" s="2"/>
      <c r="K21" s="2" t="s">
        <v>27</v>
      </c>
      <c r="L21">
        <f>L15*L18/L16</f>
        <v>2.4814285714285712E-2</v>
      </c>
    </row>
    <row r="22" spans="3:14">
      <c r="C22" s="2" t="s">
        <v>13</v>
      </c>
      <c r="K22" s="2" t="s">
        <v>31</v>
      </c>
      <c r="L22">
        <v>7.9030000000000003E-3</v>
      </c>
      <c r="M22" t="s">
        <v>32</v>
      </c>
      <c r="N22" t="s">
        <v>33</v>
      </c>
    </row>
    <row r="23" spans="3:14">
      <c r="C23" s="2" t="s">
        <v>14</v>
      </c>
      <c r="K23" s="2" t="s">
        <v>12</v>
      </c>
      <c r="L23">
        <v>1.4</v>
      </c>
    </row>
    <row r="25" spans="3:14">
      <c r="H25" s="2" t="s">
        <v>15</v>
      </c>
      <c r="I25">
        <f>D14*N19+L15*(L13-N19*L23) + L16*(1/L18) * L22 + L17 * (1/L18)</f>
        <v>42322.152459282668</v>
      </c>
    </row>
    <row r="26" spans="3:14">
      <c r="H26" s="2" t="s">
        <v>35</v>
      </c>
      <c r="I26">
        <f>D15*N19-I25</f>
        <v>9288.5361807173322</v>
      </c>
    </row>
    <row r="27" spans="3:14">
      <c r="H27" s="2" t="s">
        <v>39</v>
      </c>
      <c r="I27">
        <f>L13-N19*L23-(N19*L18)/2</f>
        <v>630.49345328114373</v>
      </c>
    </row>
    <row r="28" spans="3:14">
      <c r="H28" s="2" t="s">
        <v>36</v>
      </c>
      <c r="I28">
        <f xml:space="preserve"> 25 * L21</f>
        <v>0.62035714285714283</v>
      </c>
    </row>
    <row r="29" spans="3:14">
      <c r="H29" s="2" t="s">
        <v>40</v>
      </c>
    </row>
    <row r="30" spans="3:14">
      <c r="H30" s="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E685-65B9-8340-9641-453C3573B429}">
  <dimension ref="A1:M58"/>
  <sheetViews>
    <sheetView workbookViewId="0">
      <selection activeCell="L21" sqref="L21"/>
    </sheetView>
  </sheetViews>
  <sheetFormatPr baseColWidth="10" defaultRowHeight="16"/>
  <cols>
    <col min="2" max="2" width="12.5" customWidth="1"/>
    <col min="3" max="3" width="32.83203125" customWidth="1"/>
    <col min="4" max="4" width="9.83203125" customWidth="1"/>
    <col min="5" max="5" width="21" customWidth="1"/>
    <col min="6" max="6" width="15.1640625" customWidth="1"/>
  </cols>
  <sheetData>
    <row r="1" spans="1:13" ht="23">
      <c r="A1" s="10" t="s">
        <v>53</v>
      </c>
    </row>
    <row r="2" spans="1:13">
      <c r="B2" t="s">
        <v>50</v>
      </c>
      <c r="C2" s="11" t="s">
        <v>54</v>
      </c>
      <c r="E2" s="11" t="s">
        <v>51</v>
      </c>
      <c r="G2" t="s">
        <v>48</v>
      </c>
    </row>
    <row r="3" spans="1:13">
      <c r="B3" s="12"/>
      <c r="C3" s="12"/>
      <c r="E3" s="11" t="s">
        <v>52</v>
      </c>
      <c r="G3" t="s">
        <v>49</v>
      </c>
    </row>
    <row r="4" spans="1:13">
      <c r="B4" s="12"/>
      <c r="C4" s="12"/>
      <c r="E4" t="s">
        <v>61</v>
      </c>
      <c r="J4" s="2" t="s">
        <v>37</v>
      </c>
      <c r="K4">
        <v>200</v>
      </c>
    </row>
    <row r="5" spans="1:13">
      <c r="J5" s="2" t="s">
        <v>34</v>
      </c>
      <c r="K5">
        <f>SQRT(2*M11*K9/K7)+K4-M11*K10/2</f>
        <v>1266.5896677434362</v>
      </c>
    </row>
    <row r="6" spans="1:13">
      <c r="B6" s="2"/>
      <c r="C6" s="2" t="s">
        <v>0</v>
      </c>
    </row>
    <row r="7" spans="1:13">
      <c r="B7" s="2">
        <v>2018</v>
      </c>
      <c r="C7" s="2"/>
      <c r="J7" s="2" t="s">
        <v>21</v>
      </c>
      <c r="K7">
        <f>K16*M17</f>
        <v>0.34560000000000002</v>
      </c>
    </row>
    <row r="8" spans="1:13">
      <c r="B8" s="9" t="s">
        <v>1</v>
      </c>
      <c r="C8" s="9" t="s">
        <v>2</v>
      </c>
      <c r="E8" s="2" t="s">
        <v>30</v>
      </c>
      <c r="F8">
        <f xml:space="preserve"> AVERAGE(C9:C58)</f>
        <v>414.34399999999988</v>
      </c>
      <c r="J8" s="2" t="s">
        <v>22</v>
      </c>
      <c r="K8">
        <v>28</v>
      </c>
    </row>
    <row r="9" spans="1:13">
      <c r="B9" s="6">
        <v>1</v>
      </c>
      <c r="C9" s="8">
        <v>419.1</v>
      </c>
      <c r="J9" s="2" t="s">
        <v>23</v>
      </c>
      <c r="K9">
        <v>900</v>
      </c>
    </row>
    <row r="10" spans="1:13">
      <c r="B10" s="6">
        <v>2</v>
      </c>
      <c r="C10" s="8">
        <v>419.1</v>
      </c>
      <c r="E10" s="8">
        <f>419.1*1.038</f>
        <v>435.02580000000006</v>
      </c>
      <c r="J10" s="2" t="s">
        <v>16</v>
      </c>
      <c r="K10">
        <v>2</v>
      </c>
      <c r="L10" t="s">
        <v>47</v>
      </c>
    </row>
    <row r="11" spans="1:13">
      <c r="B11" s="6">
        <v>3</v>
      </c>
      <c r="C11" s="8">
        <v>419.1</v>
      </c>
      <c r="E11">
        <f>0.087 * E10</f>
        <v>37.847244600000003</v>
      </c>
      <c r="J11" s="2" t="s">
        <v>28</v>
      </c>
      <c r="K11">
        <f>(50*F8)*1.038</f>
        <v>21504.453599999993</v>
      </c>
      <c r="L11" s="2" t="s">
        <v>29</v>
      </c>
      <c r="M11">
        <f>K11/50</f>
        <v>430.08907199999987</v>
      </c>
    </row>
    <row r="12" spans="1:13">
      <c r="B12" s="6">
        <v>4</v>
      </c>
      <c r="C12" s="8">
        <v>419.1</v>
      </c>
      <c r="J12" s="2" t="s">
        <v>26</v>
      </c>
      <c r="K12">
        <f xml:space="preserve"> 0.087 * M11</f>
        <v>37.417749263999987</v>
      </c>
    </row>
    <row r="13" spans="1:13">
      <c r="B13" s="6">
        <v>5</v>
      </c>
      <c r="C13" s="8">
        <v>419.1</v>
      </c>
      <c r="J13" s="7" t="s">
        <v>63</v>
      </c>
      <c r="K13" s="8">
        <f>K7*K10/K8</f>
        <v>2.4685714285714287E-2</v>
      </c>
      <c r="L13" s="8"/>
      <c r="M13" s="8"/>
    </row>
    <row r="14" spans="1:13">
      <c r="B14" s="6">
        <v>6</v>
      </c>
      <c r="C14" s="8">
        <v>419.1</v>
      </c>
      <c r="J14" s="7" t="s">
        <v>64</v>
      </c>
      <c r="K14" s="8">
        <v>7.9030000000000003E-3</v>
      </c>
      <c r="L14" s="13" t="s">
        <v>32</v>
      </c>
      <c r="M14" s="14" t="s">
        <v>33</v>
      </c>
    </row>
    <row r="15" spans="1:13">
      <c r="B15" s="6">
        <v>7</v>
      </c>
      <c r="C15" s="8">
        <v>419.1</v>
      </c>
      <c r="J15" s="15" t="s">
        <v>12</v>
      </c>
      <c r="K15">
        <v>1.4</v>
      </c>
    </row>
    <row r="16" spans="1:13">
      <c r="B16" s="6">
        <v>8</v>
      </c>
      <c r="C16" s="8">
        <v>419.1</v>
      </c>
      <c r="J16" s="2" t="s">
        <v>44</v>
      </c>
      <c r="K16">
        <v>96</v>
      </c>
    </row>
    <row r="17" spans="2:13">
      <c r="B17" s="6">
        <v>9</v>
      </c>
      <c r="C17" s="8">
        <v>419.1</v>
      </c>
      <c r="J17" s="2" t="s">
        <v>45</v>
      </c>
      <c r="K17">
        <v>0.18</v>
      </c>
      <c r="L17" s="2" t="s">
        <v>46</v>
      </c>
      <c r="M17">
        <f>K17/50</f>
        <v>3.5999999999999999E-3</v>
      </c>
    </row>
    <row r="18" spans="2:13">
      <c r="B18" s="6">
        <v>10</v>
      </c>
      <c r="C18" s="8">
        <v>419.1</v>
      </c>
      <c r="J18" s="2" t="s">
        <v>38</v>
      </c>
      <c r="K18">
        <f>K5-K4+M11*K10/2</f>
        <v>1496.6787397434359</v>
      </c>
      <c r="L18" s="11"/>
    </row>
    <row r="19" spans="2:13">
      <c r="B19" s="6">
        <v>11</v>
      </c>
      <c r="C19" s="8">
        <v>419.1</v>
      </c>
      <c r="J19" s="2" t="s">
        <v>55</v>
      </c>
      <c r="K19">
        <v>120</v>
      </c>
    </row>
    <row r="20" spans="2:13">
      <c r="B20" s="6">
        <v>12</v>
      </c>
      <c r="C20" s="8">
        <v>419.1</v>
      </c>
    </row>
    <row r="21" spans="2:13">
      <c r="B21" s="6">
        <v>13</v>
      </c>
      <c r="C21" s="8">
        <v>419.1</v>
      </c>
      <c r="E21" s="2" t="s">
        <v>56</v>
      </c>
      <c r="F21">
        <f>K7*(K5^2 / 2*K18) + K8 * (((K18-K5)^2) / 2*K18) + K9*1/K10</f>
        <v>1524200161.4084671</v>
      </c>
    </row>
    <row r="22" spans="2:13">
      <c r="B22" s="6">
        <v>14</v>
      </c>
      <c r="C22" s="8">
        <v>419.1</v>
      </c>
      <c r="E22" s="2" t="s">
        <v>57</v>
      </c>
      <c r="F22">
        <f>K16*M11+F21</f>
        <v>1524241449.959379</v>
      </c>
    </row>
    <row r="23" spans="2:13">
      <c r="B23" s="6">
        <v>15</v>
      </c>
      <c r="C23" s="8">
        <v>419.1</v>
      </c>
      <c r="E23" s="2" t="s">
        <v>58</v>
      </c>
      <c r="F23">
        <f>M11*K16</f>
        <v>41288.550911999992</v>
      </c>
    </row>
    <row r="24" spans="2:13">
      <c r="B24" s="6">
        <v>16</v>
      </c>
      <c r="C24" s="8">
        <v>419.1</v>
      </c>
      <c r="D24" s="2"/>
      <c r="E24" s="15" t="s">
        <v>59</v>
      </c>
      <c r="F24">
        <f>K19*M11-F22</f>
        <v>-1524189839.2707388</v>
      </c>
    </row>
    <row r="25" spans="2:13">
      <c r="B25" s="6">
        <v>17</v>
      </c>
      <c r="C25" s="8">
        <v>554.20000000000005</v>
      </c>
      <c r="E25" s="15" t="s">
        <v>62</v>
      </c>
      <c r="F25" s="11">
        <f>K13*1/K10</f>
        <v>1.2342857142857143E-2</v>
      </c>
    </row>
    <row r="26" spans="2:13">
      <c r="B26" s="6">
        <v>18</v>
      </c>
      <c r="C26" s="8">
        <v>554.20000000000005</v>
      </c>
      <c r="E26" s="2" t="s">
        <v>60</v>
      </c>
      <c r="F26">
        <f>K5-M11*K15 - M11*K10/2</f>
        <v>234.37589494343649</v>
      </c>
    </row>
    <row r="27" spans="2:13">
      <c r="B27" s="6">
        <v>19</v>
      </c>
      <c r="C27" s="8">
        <v>554.20000000000005</v>
      </c>
      <c r="D27" s="5"/>
      <c r="E27" s="2"/>
    </row>
    <row r="28" spans="2:13">
      <c r="B28" s="6">
        <v>20</v>
      </c>
      <c r="C28" s="8">
        <v>554.20000000000005</v>
      </c>
    </row>
    <row r="29" spans="2:13">
      <c r="B29" s="6">
        <v>21</v>
      </c>
      <c r="C29" s="8">
        <v>554.20000000000005</v>
      </c>
    </row>
    <row r="30" spans="2:13">
      <c r="B30" s="6">
        <v>22</v>
      </c>
      <c r="C30" s="8">
        <v>554.20000000000005</v>
      </c>
      <c r="D30" s="2"/>
    </row>
    <row r="31" spans="2:13">
      <c r="B31" s="6">
        <v>23</v>
      </c>
      <c r="C31" s="8">
        <v>554.20000000000005</v>
      </c>
    </row>
    <row r="32" spans="2:13">
      <c r="B32" s="6">
        <v>24</v>
      </c>
      <c r="C32" s="8">
        <v>554.20000000000005</v>
      </c>
    </row>
    <row r="33" spans="2:3">
      <c r="B33" s="6">
        <v>25</v>
      </c>
      <c r="C33" s="8">
        <v>554.20000000000005</v>
      </c>
    </row>
    <row r="34" spans="2:3">
      <c r="B34" s="6">
        <v>26</v>
      </c>
      <c r="C34" s="8">
        <v>554.20000000000005</v>
      </c>
    </row>
    <row r="35" spans="2:3">
      <c r="B35" s="6">
        <v>27</v>
      </c>
      <c r="C35" s="8">
        <v>554.20000000000005</v>
      </c>
    </row>
    <row r="36" spans="2:3">
      <c r="B36" s="6">
        <v>28</v>
      </c>
      <c r="C36" s="8">
        <v>554.20000000000005</v>
      </c>
    </row>
    <row r="37" spans="2:3">
      <c r="B37" s="6">
        <v>29</v>
      </c>
      <c r="C37" s="8">
        <v>334.6</v>
      </c>
    </row>
    <row r="38" spans="2:3">
      <c r="B38" s="6">
        <v>30</v>
      </c>
      <c r="C38" s="8">
        <v>334.6</v>
      </c>
    </row>
    <row r="39" spans="2:3">
      <c r="B39" s="6">
        <v>31</v>
      </c>
      <c r="C39" s="8">
        <v>334.6</v>
      </c>
    </row>
    <row r="40" spans="2:3">
      <c r="B40" s="6">
        <v>32</v>
      </c>
      <c r="C40" s="8">
        <v>334.6</v>
      </c>
    </row>
    <row r="41" spans="2:3">
      <c r="B41" s="6">
        <v>33</v>
      </c>
      <c r="C41" s="8">
        <v>334.6</v>
      </c>
    </row>
    <row r="42" spans="2:3">
      <c r="B42" s="6">
        <v>34</v>
      </c>
      <c r="C42" s="8">
        <v>334.6</v>
      </c>
    </row>
    <row r="43" spans="2:3">
      <c r="B43" s="6">
        <v>35</v>
      </c>
      <c r="C43" s="8">
        <v>334.6</v>
      </c>
    </row>
    <row r="44" spans="2:3">
      <c r="B44" s="6">
        <v>36</v>
      </c>
      <c r="C44" s="8">
        <v>334.6</v>
      </c>
    </row>
    <row r="45" spans="2:3">
      <c r="B45" s="6">
        <v>37</v>
      </c>
      <c r="C45" s="8">
        <v>334.6</v>
      </c>
    </row>
    <row r="46" spans="2:3">
      <c r="B46" s="6">
        <v>38</v>
      </c>
      <c r="C46" s="8">
        <v>334.6</v>
      </c>
    </row>
    <row r="47" spans="2:3">
      <c r="B47" s="6">
        <v>39</v>
      </c>
      <c r="C47" s="8">
        <v>334.6</v>
      </c>
    </row>
    <row r="48" spans="2:3">
      <c r="B48" s="6">
        <v>40</v>
      </c>
      <c r="C48" s="8">
        <v>334.6</v>
      </c>
    </row>
    <row r="49" spans="2:3">
      <c r="B49" s="6">
        <v>41</v>
      </c>
      <c r="C49" s="8">
        <v>334.6</v>
      </c>
    </row>
    <row r="50" spans="2:3">
      <c r="B50" s="6">
        <v>42</v>
      </c>
      <c r="C50" s="8">
        <v>334.6</v>
      </c>
    </row>
    <row r="51" spans="2:3">
      <c r="B51" s="6">
        <v>43</v>
      </c>
      <c r="C51" s="8">
        <v>334.6</v>
      </c>
    </row>
    <row r="52" spans="2:3">
      <c r="B52" s="6">
        <v>44</v>
      </c>
      <c r="C52" s="8">
        <v>334.6</v>
      </c>
    </row>
    <row r="53" spans="2:3">
      <c r="B53" s="6">
        <v>45</v>
      </c>
      <c r="C53" s="8">
        <v>334.6</v>
      </c>
    </row>
    <row r="54" spans="2:3">
      <c r="B54" s="6">
        <v>46</v>
      </c>
      <c r="C54" s="8">
        <v>334.6</v>
      </c>
    </row>
    <row r="55" spans="2:3">
      <c r="B55" s="6">
        <v>47</v>
      </c>
      <c r="C55" s="8">
        <v>334.6</v>
      </c>
    </row>
    <row r="56" spans="2:3">
      <c r="B56" s="6">
        <v>48</v>
      </c>
      <c r="C56" s="8">
        <v>334.6</v>
      </c>
    </row>
    <row r="57" spans="2:3">
      <c r="B57" s="6">
        <v>49</v>
      </c>
      <c r="C57" s="8">
        <v>334.6</v>
      </c>
    </row>
    <row r="58" spans="2:3">
      <c r="B58" s="6">
        <v>50</v>
      </c>
      <c r="C58" s="8">
        <v>334.6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563A-0BFD-C847-AC60-30F868D461A5}">
  <dimension ref="B1:T22"/>
  <sheetViews>
    <sheetView workbookViewId="0">
      <selection activeCell="P5" sqref="P5"/>
    </sheetView>
  </sheetViews>
  <sheetFormatPr baseColWidth="10" defaultRowHeight="16"/>
  <cols>
    <col min="4" max="4" width="13.1640625" customWidth="1"/>
    <col min="18" max="18" width="13.5" customWidth="1"/>
  </cols>
  <sheetData>
    <row r="1" spans="2:20">
      <c r="F1" s="11" t="s">
        <v>52</v>
      </c>
    </row>
    <row r="2" spans="2:20">
      <c r="B2" s="2" t="s">
        <v>21</v>
      </c>
      <c r="C2">
        <f>C11*E12</f>
        <v>0.34560000000000002</v>
      </c>
      <c r="F2" s="11"/>
      <c r="H2" s="2" t="s">
        <v>37</v>
      </c>
      <c r="I2" s="2" t="s">
        <v>20</v>
      </c>
      <c r="J2" s="2" t="s">
        <v>22</v>
      </c>
      <c r="K2" s="2" t="s">
        <v>23</v>
      </c>
      <c r="L2" s="2" t="s">
        <v>25</v>
      </c>
      <c r="M2" s="2" t="s">
        <v>16</v>
      </c>
      <c r="N2" s="2" t="s">
        <v>12</v>
      </c>
      <c r="O2" s="2" t="s">
        <v>55</v>
      </c>
      <c r="P2" s="2" t="s">
        <v>34</v>
      </c>
      <c r="Q2" s="2" t="s">
        <v>65</v>
      </c>
      <c r="R2" s="2" t="s">
        <v>56</v>
      </c>
      <c r="S2" s="2" t="s">
        <v>57</v>
      </c>
      <c r="T2" s="2" t="s">
        <v>59</v>
      </c>
    </row>
    <row r="3" spans="2:20">
      <c r="B3" s="2" t="s">
        <v>22</v>
      </c>
      <c r="C3">
        <v>28</v>
      </c>
      <c r="H3">
        <v>100</v>
      </c>
      <c r="I3">
        <v>0.34560000000000002</v>
      </c>
      <c r="J3">
        <v>28</v>
      </c>
      <c r="K3">
        <v>900</v>
      </c>
      <c r="L3">
        <v>430.08907199999999</v>
      </c>
      <c r="M3">
        <v>2</v>
      </c>
      <c r="N3">
        <v>1.4</v>
      </c>
      <c r="O3">
        <v>120</v>
      </c>
      <c r="P3">
        <f>SQRT(2*L3*K3/Folha3!I3) + Folha3!H3-Folha3!L3*Folha3!M3/2</f>
        <v>1166.5896677434359</v>
      </c>
      <c r="Q3">
        <f>O3*L3</f>
        <v>51610.68864</v>
      </c>
    </row>
    <row r="4" spans="2:20">
      <c r="B4" s="2" t="s">
        <v>23</v>
      </c>
      <c r="C4">
        <v>900</v>
      </c>
      <c r="H4">
        <v>150</v>
      </c>
      <c r="I4">
        <v>0.34560000000000002</v>
      </c>
      <c r="J4">
        <v>28</v>
      </c>
      <c r="K4">
        <v>900</v>
      </c>
      <c r="L4">
        <v>430.08907199999999</v>
      </c>
      <c r="M4">
        <v>2</v>
      </c>
      <c r="N4">
        <v>1.4</v>
      </c>
      <c r="O4">
        <v>120</v>
      </c>
      <c r="P4">
        <f>SQRT(2*L4*K4/Folha3!I4) + Folha3!H4-Folha3!L4*Folha3!M4/2</f>
        <v>1216.5896677434359</v>
      </c>
      <c r="Q4">
        <f>O4*L4</f>
        <v>51610.68864</v>
      </c>
    </row>
    <row r="5" spans="2:20">
      <c r="B5" s="2" t="s">
        <v>16</v>
      </c>
      <c r="C5">
        <v>2</v>
      </c>
      <c r="D5" t="s">
        <v>47</v>
      </c>
      <c r="H5">
        <v>200</v>
      </c>
      <c r="I5">
        <v>0.34560000000000002</v>
      </c>
      <c r="J5">
        <v>28</v>
      </c>
      <c r="K5">
        <v>900</v>
      </c>
      <c r="L5">
        <v>430.08907199999999</v>
      </c>
      <c r="M5">
        <v>2</v>
      </c>
      <c r="N5">
        <v>1.4</v>
      </c>
      <c r="O5">
        <v>120</v>
      </c>
      <c r="P5">
        <f>SQRT(2*L5*K5/Folha3!I5) + Folha3!H5-Folha3!L5*Folha3!M5/2</f>
        <v>1266.5896677434359</v>
      </c>
      <c r="Q5">
        <f t="shared" ref="Q5:Q22" si="0">O5*L5</f>
        <v>51610.68864</v>
      </c>
    </row>
    <row r="6" spans="2:20">
      <c r="B6" s="2" t="s">
        <v>29</v>
      </c>
      <c r="C6">
        <v>430.08907199999999</v>
      </c>
      <c r="D6" s="2"/>
      <c r="H6">
        <v>250</v>
      </c>
      <c r="I6">
        <v>0.34560000000000002</v>
      </c>
      <c r="J6">
        <v>28</v>
      </c>
      <c r="K6">
        <v>900</v>
      </c>
      <c r="L6">
        <v>430.08907199999999</v>
      </c>
      <c r="M6">
        <v>2</v>
      </c>
      <c r="N6">
        <v>1.4</v>
      </c>
      <c r="O6">
        <v>120</v>
      </c>
      <c r="P6">
        <f>SQRT(2*L6*K6/Folha3!I6) + Folha3!H6-Folha3!L6*Folha3!M6/2</f>
        <v>1316.5896677434359</v>
      </c>
      <c r="Q6">
        <f t="shared" si="0"/>
        <v>51610.68864</v>
      </c>
    </row>
    <row r="7" spans="2:20">
      <c r="B7" s="2"/>
      <c r="H7">
        <v>300</v>
      </c>
      <c r="I7">
        <v>0.34560000000000002</v>
      </c>
      <c r="J7">
        <v>28</v>
      </c>
      <c r="K7">
        <v>900</v>
      </c>
      <c r="L7">
        <v>430.08907199999999</v>
      </c>
      <c r="M7">
        <v>2</v>
      </c>
      <c r="N7">
        <v>1.4</v>
      </c>
      <c r="O7">
        <v>120</v>
      </c>
      <c r="P7">
        <f>SQRT(2*L7*K7/Folha3!I7) + Folha3!H7-Folha3!L7*Folha3!M7/2</f>
        <v>1366.5896677434359</v>
      </c>
      <c r="Q7">
        <f t="shared" si="0"/>
        <v>51610.68864</v>
      </c>
    </row>
    <row r="8" spans="2:20">
      <c r="B8" s="7" t="s">
        <v>63</v>
      </c>
      <c r="C8" s="8">
        <f>C2*C5/C3</f>
        <v>2.4685714285714287E-2</v>
      </c>
      <c r="D8" s="8"/>
      <c r="E8" s="8"/>
      <c r="H8">
        <v>350</v>
      </c>
      <c r="I8">
        <v>0.34560000000000002</v>
      </c>
      <c r="J8">
        <v>28</v>
      </c>
      <c r="K8">
        <v>900</v>
      </c>
      <c r="L8">
        <v>430.08907199999999</v>
      </c>
      <c r="M8">
        <v>2</v>
      </c>
      <c r="N8">
        <v>1.4</v>
      </c>
      <c r="O8">
        <v>120</v>
      </c>
      <c r="P8">
        <f>SQRT(2*L8*K8/Folha3!I8) + Folha3!H8-Folha3!L8*Folha3!M8/2</f>
        <v>1416.5896677434359</v>
      </c>
      <c r="Q8">
        <f t="shared" si="0"/>
        <v>51610.68864</v>
      </c>
    </row>
    <row r="9" spans="2:20">
      <c r="B9" s="7" t="s">
        <v>64</v>
      </c>
      <c r="C9" s="8">
        <v>7.9030000000000003E-3</v>
      </c>
      <c r="D9" s="13" t="s">
        <v>32</v>
      </c>
      <c r="E9" s="14" t="s">
        <v>33</v>
      </c>
      <c r="H9">
        <v>400</v>
      </c>
      <c r="I9">
        <v>0.34560000000000002</v>
      </c>
      <c r="J9">
        <v>28</v>
      </c>
      <c r="K9">
        <v>900</v>
      </c>
      <c r="L9">
        <v>430.08907199999999</v>
      </c>
      <c r="M9">
        <v>2</v>
      </c>
      <c r="N9">
        <v>1.4</v>
      </c>
      <c r="O9">
        <v>120</v>
      </c>
      <c r="P9">
        <f>SQRT(2*L9*K9/Folha3!I9) + Folha3!H9-Folha3!L9*Folha3!M9/2</f>
        <v>1466.5896677434359</v>
      </c>
      <c r="Q9">
        <f t="shared" si="0"/>
        <v>51610.68864</v>
      </c>
    </row>
    <row r="10" spans="2:20">
      <c r="B10" s="15" t="s">
        <v>12</v>
      </c>
      <c r="C10">
        <v>1.4</v>
      </c>
      <c r="H10">
        <v>450</v>
      </c>
      <c r="I10">
        <v>0.34560000000000002</v>
      </c>
      <c r="J10">
        <v>28</v>
      </c>
      <c r="K10">
        <v>900</v>
      </c>
      <c r="L10">
        <v>430.08907199999999</v>
      </c>
      <c r="M10">
        <v>2</v>
      </c>
      <c r="N10">
        <v>1.4</v>
      </c>
      <c r="O10">
        <v>120</v>
      </c>
      <c r="P10">
        <f>SQRT(2*L10*K10/Folha3!I10) + Folha3!H10-Folha3!L10*Folha3!M10/2</f>
        <v>1516.5896677434359</v>
      </c>
      <c r="Q10">
        <f t="shared" si="0"/>
        <v>51610.68864</v>
      </c>
    </row>
    <row r="11" spans="2:20">
      <c r="B11" s="2" t="s">
        <v>44</v>
      </c>
      <c r="C11">
        <v>96</v>
      </c>
      <c r="H11">
        <v>500</v>
      </c>
      <c r="I11">
        <v>0.34560000000000002</v>
      </c>
      <c r="J11">
        <v>28</v>
      </c>
      <c r="K11">
        <v>900</v>
      </c>
      <c r="L11">
        <v>430.08907199999999</v>
      </c>
      <c r="M11">
        <v>2</v>
      </c>
      <c r="N11">
        <v>1.4</v>
      </c>
      <c r="O11">
        <v>120</v>
      </c>
      <c r="P11">
        <f>SQRT(2*L11*K11/Folha3!I11) + Folha3!H11-Folha3!L11*Folha3!M11/2</f>
        <v>1566.5896677434359</v>
      </c>
      <c r="Q11">
        <f t="shared" si="0"/>
        <v>51610.68864</v>
      </c>
    </row>
    <row r="12" spans="2:20">
      <c r="B12" s="2" t="s">
        <v>45</v>
      </c>
      <c r="C12">
        <v>0.18</v>
      </c>
      <c r="D12" s="2" t="s">
        <v>46</v>
      </c>
      <c r="E12">
        <f>C12/50</f>
        <v>3.5999999999999999E-3</v>
      </c>
      <c r="H12">
        <v>550</v>
      </c>
      <c r="I12">
        <v>0.34560000000000002</v>
      </c>
      <c r="J12">
        <v>28</v>
      </c>
      <c r="K12">
        <v>900</v>
      </c>
      <c r="L12">
        <v>430.08907199999999</v>
      </c>
      <c r="M12">
        <v>2</v>
      </c>
      <c r="N12">
        <v>1.4</v>
      </c>
      <c r="O12">
        <v>120</v>
      </c>
      <c r="P12">
        <f>SQRT(2*L12*K12/Folha3!I12) + Folha3!H12-Folha3!L12*Folha3!M12/2</f>
        <v>1616.5896677434359</v>
      </c>
      <c r="Q12">
        <f t="shared" si="0"/>
        <v>51610.68864</v>
      </c>
    </row>
    <row r="13" spans="2:20">
      <c r="B13" s="2"/>
      <c r="D13" s="11"/>
      <c r="H13">
        <v>600</v>
      </c>
      <c r="I13">
        <v>0.34560000000000002</v>
      </c>
      <c r="J13">
        <v>28</v>
      </c>
      <c r="K13">
        <v>900</v>
      </c>
      <c r="L13">
        <v>430.08907199999999</v>
      </c>
      <c r="M13">
        <v>2</v>
      </c>
      <c r="N13">
        <v>1.4</v>
      </c>
      <c r="O13">
        <v>120</v>
      </c>
      <c r="P13">
        <f>SQRT(2*L13*K13/Folha3!I13) + Folha3!H13-Folha3!L13*Folha3!M13/2</f>
        <v>1666.5896677434359</v>
      </c>
      <c r="Q13">
        <f t="shared" si="0"/>
        <v>51610.68864</v>
      </c>
    </row>
    <row r="14" spans="2:20">
      <c r="B14" s="2" t="s">
        <v>55</v>
      </c>
      <c r="C14">
        <v>120</v>
      </c>
      <c r="H14">
        <v>650</v>
      </c>
      <c r="I14">
        <v>0.34560000000000002</v>
      </c>
      <c r="J14">
        <v>28</v>
      </c>
      <c r="K14">
        <v>900</v>
      </c>
      <c r="L14">
        <v>430.08907199999999</v>
      </c>
      <c r="M14">
        <v>2</v>
      </c>
      <c r="N14">
        <v>1.4</v>
      </c>
      <c r="O14">
        <v>120</v>
      </c>
      <c r="P14">
        <f>SQRT(2*L14*K14/Folha3!I14) + Folha3!H14-Folha3!L14*Folha3!M14/2</f>
        <v>1716.5896677434359</v>
      </c>
      <c r="Q14">
        <f t="shared" si="0"/>
        <v>51610.68864</v>
      </c>
    </row>
    <row r="15" spans="2:20">
      <c r="H15">
        <v>700</v>
      </c>
      <c r="I15">
        <v>0.34560000000000002</v>
      </c>
      <c r="J15">
        <v>28</v>
      </c>
      <c r="K15">
        <v>900</v>
      </c>
      <c r="L15">
        <v>430.08907199999999</v>
      </c>
      <c r="M15">
        <v>2</v>
      </c>
      <c r="N15">
        <v>1.4</v>
      </c>
      <c r="O15">
        <v>120</v>
      </c>
      <c r="P15">
        <f>SQRT(2*L15*K15/Folha3!I15) + Folha3!H15-Folha3!L15*Folha3!M15/2</f>
        <v>1766.5896677434359</v>
      </c>
      <c r="Q15">
        <f t="shared" si="0"/>
        <v>51610.68864</v>
      </c>
    </row>
    <row r="16" spans="2:20">
      <c r="H16">
        <v>750</v>
      </c>
      <c r="I16">
        <v>0.34560000000000002</v>
      </c>
      <c r="J16">
        <v>28</v>
      </c>
      <c r="K16">
        <v>900</v>
      </c>
      <c r="L16">
        <v>430.08907199999999</v>
      </c>
      <c r="M16">
        <v>2</v>
      </c>
      <c r="N16">
        <v>1.4</v>
      </c>
      <c r="O16">
        <v>120</v>
      </c>
      <c r="P16">
        <f>SQRT(2*L16*K16/Folha3!I16) + Folha3!H16-Folha3!L16*Folha3!M16/2</f>
        <v>1816.5896677434359</v>
      </c>
      <c r="Q16">
        <f t="shared" si="0"/>
        <v>51610.68864</v>
      </c>
    </row>
    <row r="17" spans="8:17">
      <c r="H17">
        <v>800</v>
      </c>
      <c r="I17">
        <v>0.34560000000000002</v>
      </c>
      <c r="J17">
        <v>28</v>
      </c>
      <c r="K17">
        <v>900</v>
      </c>
      <c r="L17">
        <v>430.08907199999999</v>
      </c>
      <c r="M17">
        <v>2</v>
      </c>
      <c r="N17">
        <v>1.4</v>
      </c>
      <c r="O17">
        <v>120</v>
      </c>
      <c r="P17">
        <f>SQRT(2*L17*K17/Folha3!I17) + Folha3!H17-Folha3!L17*Folha3!M17/2</f>
        <v>1866.5896677434359</v>
      </c>
      <c r="Q17">
        <f t="shared" si="0"/>
        <v>51610.68864</v>
      </c>
    </row>
    <row r="18" spans="8:17">
      <c r="H18">
        <v>850</v>
      </c>
      <c r="I18">
        <v>0.34560000000000002</v>
      </c>
      <c r="J18">
        <v>28</v>
      </c>
      <c r="K18">
        <v>900</v>
      </c>
      <c r="L18">
        <v>430.08907199999999</v>
      </c>
      <c r="M18">
        <v>2</v>
      </c>
      <c r="N18">
        <v>1.4</v>
      </c>
      <c r="O18">
        <v>120</v>
      </c>
      <c r="P18">
        <f>SQRT(2*L18*K18/Folha3!I18) + Folha3!H18-Folha3!L18*Folha3!M18/2</f>
        <v>1916.5896677434359</v>
      </c>
      <c r="Q18">
        <f t="shared" si="0"/>
        <v>51610.68864</v>
      </c>
    </row>
    <row r="19" spans="8:17">
      <c r="H19">
        <v>900</v>
      </c>
      <c r="I19">
        <v>0.34560000000000002</v>
      </c>
      <c r="J19">
        <v>28</v>
      </c>
      <c r="K19">
        <v>900</v>
      </c>
      <c r="L19">
        <v>430.08907199999999</v>
      </c>
      <c r="M19">
        <v>2</v>
      </c>
      <c r="N19">
        <v>1.4</v>
      </c>
      <c r="O19">
        <v>120</v>
      </c>
      <c r="P19">
        <f>SQRT(2*L19*K19/Folha3!I19) + Folha3!H19-Folha3!L19*Folha3!M19/2</f>
        <v>1966.5896677434359</v>
      </c>
      <c r="Q19">
        <f t="shared" si="0"/>
        <v>51610.68864</v>
      </c>
    </row>
    <row r="20" spans="8:17">
      <c r="H20">
        <v>950</v>
      </c>
      <c r="I20">
        <v>0.34560000000000002</v>
      </c>
      <c r="J20">
        <v>28</v>
      </c>
      <c r="K20">
        <v>900</v>
      </c>
      <c r="L20">
        <v>430.08907199999999</v>
      </c>
      <c r="M20">
        <v>2</v>
      </c>
      <c r="N20">
        <v>1.4</v>
      </c>
      <c r="O20">
        <v>120</v>
      </c>
      <c r="P20">
        <f>SQRT(2*L20*K20/Folha3!I20) + Folha3!H20-Folha3!L20*Folha3!M20/2</f>
        <v>2016.5896677434359</v>
      </c>
      <c r="Q20">
        <f t="shared" si="0"/>
        <v>51610.68864</v>
      </c>
    </row>
    <row r="21" spans="8:17">
      <c r="H21">
        <v>1000</v>
      </c>
      <c r="I21">
        <v>0.34560000000000002</v>
      </c>
      <c r="J21">
        <v>28</v>
      </c>
      <c r="K21">
        <v>900</v>
      </c>
      <c r="L21">
        <v>430.08907199999999</v>
      </c>
      <c r="M21">
        <v>2</v>
      </c>
      <c r="N21">
        <v>1.4</v>
      </c>
      <c r="O21">
        <v>120</v>
      </c>
      <c r="P21">
        <f>SQRT(2*L21*K21/Folha3!I21) + Folha3!H21-Folha3!L21*Folha3!M21/2</f>
        <v>2066.5896677434357</v>
      </c>
      <c r="Q21">
        <f t="shared" si="0"/>
        <v>51610.68864</v>
      </c>
    </row>
    <row r="22" spans="8:17">
      <c r="H22">
        <v>1050</v>
      </c>
      <c r="I22">
        <v>0.34560000000000002</v>
      </c>
      <c r="J22">
        <v>28</v>
      </c>
      <c r="K22">
        <v>900</v>
      </c>
      <c r="L22">
        <v>430.08907199999999</v>
      </c>
      <c r="M22">
        <v>2</v>
      </c>
      <c r="N22">
        <v>1.4</v>
      </c>
      <c r="O22">
        <v>120</v>
      </c>
      <c r="P22">
        <f>SQRT(2*L22*K22/Folha3!I22) + Folha3!H22-Folha3!L22*Folha3!M22/2</f>
        <v>2116.5896677434357</v>
      </c>
      <c r="Q22">
        <f t="shared" si="0"/>
        <v>51610.68864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6E99-C67D-AF41-957B-673D49DAF1E9}">
  <dimension ref="A1:R76"/>
  <sheetViews>
    <sheetView tabSelected="1" zoomScale="56" workbookViewId="0">
      <selection activeCell="B5" sqref="B5"/>
    </sheetView>
  </sheetViews>
  <sheetFormatPr baseColWidth="10" defaultRowHeight="16"/>
  <cols>
    <col min="1" max="1" width="12.6640625" customWidth="1"/>
    <col min="2" max="2" width="23" customWidth="1"/>
    <col min="3" max="3" width="15.1640625" customWidth="1"/>
    <col min="4" max="4" width="17.1640625" customWidth="1"/>
    <col min="5" max="5" width="18.1640625" customWidth="1"/>
    <col min="6" max="6" width="16.1640625" customWidth="1"/>
    <col min="7" max="7" width="17.83203125" customWidth="1"/>
    <col min="8" max="8" width="42.1640625" customWidth="1"/>
    <col min="9" max="9" width="27.33203125" customWidth="1"/>
    <col min="10" max="10" width="34.1640625" customWidth="1"/>
    <col min="11" max="12" width="30.1640625" customWidth="1"/>
    <col min="13" max="14" width="25.5" customWidth="1"/>
    <col min="15" max="15" width="19.83203125" customWidth="1"/>
    <col min="16" max="16" width="22.83203125" customWidth="1"/>
    <col min="17" max="17" width="23.83203125" customWidth="1"/>
    <col min="18" max="18" width="25.6640625" customWidth="1"/>
  </cols>
  <sheetData>
    <row r="1" spans="1:18">
      <c r="M1" s="12"/>
      <c r="N1" s="12"/>
    </row>
    <row r="2" spans="1:18">
      <c r="A2" s="24" t="s">
        <v>81</v>
      </c>
      <c r="B2" s="25"/>
      <c r="C2" s="17" t="s">
        <v>1</v>
      </c>
      <c r="D2" s="17" t="s">
        <v>66</v>
      </c>
      <c r="E2" s="17" t="s">
        <v>75</v>
      </c>
      <c r="F2" s="17" t="s">
        <v>74</v>
      </c>
      <c r="G2" s="17" t="s">
        <v>67</v>
      </c>
      <c r="H2" s="18" t="s">
        <v>68</v>
      </c>
      <c r="I2" s="18" t="s">
        <v>66</v>
      </c>
      <c r="J2" s="18" t="s">
        <v>69</v>
      </c>
      <c r="K2" s="18" t="s">
        <v>70</v>
      </c>
      <c r="L2" s="18" t="s">
        <v>88</v>
      </c>
      <c r="M2" s="18" t="s">
        <v>71</v>
      </c>
      <c r="N2" s="18" t="s">
        <v>77</v>
      </c>
      <c r="O2" s="18" t="s">
        <v>72</v>
      </c>
      <c r="P2" s="18" t="s">
        <v>73</v>
      </c>
      <c r="Q2" s="18" t="s">
        <v>83</v>
      </c>
      <c r="R2" s="26"/>
    </row>
    <row r="3" spans="1:18">
      <c r="A3" s="25"/>
      <c r="B3" s="8"/>
      <c r="C3" s="19">
        <v>1</v>
      </c>
      <c r="D3" s="20">
        <f ca="1">RAND()</f>
        <v>0.77059715989773081</v>
      </c>
      <c r="E3" s="19">
        <f>419.1*1.038</f>
        <v>435.02580000000006</v>
      </c>
      <c r="F3" s="21">
        <f>0.087*E3</f>
        <v>37.847244600000003</v>
      </c>
      <c r="G3" s="19">
        <f ca="1">_xlfn.NORM.INV(D3,E3,F3)</f>
        <v>463.06360268507882</v>
      </c>
      <c r="H3" s="20">
        <f>IF(M3&lt;B4,B5-M3,-1)</f>
        <v>-1</v>
      </c>
      <c r="I3" s="19">
        <f ca="1">IF(H3&gt;0,RAND(),-1)</f>
        <v>-1</v>
      </c>
      <c r="J3" s="20">
        <f ca="1">IF(I3&gt;0,IF(I3 &gt;= 0.6,2,1),-1)</f>
        <v>-1</v>
      </c>
      <c r="K3" s="19">
        <f>B10-1</f>
        <v>1</v>
      </c>
      <c r="L3" s="21">
        <f>B5</f>
        <v>1262.7072260811437</v>
      </c>
      <c r="M3" s="19">
        <f>B5</f>
        <v>1262.7072260811437</v>
      </c>
      <c r="N3" s="21">
        <v>0</v>
      </c>
      <c r="O3" s="19">
        <v>0</v>
      </c>
      <c r="P3" s="21">
        <v>0</v>
      </c>
      <c r="Q3" s="19">
        <f>N3</f>
        <v>0</v>
      </c>
      <c r="R3" s="12"/>
    </row>
    <row r="4" spans="1:18">
      <c r="A4" s="24" t="s">
        <v>37</v>
      </c>
      <c r="B4" s="23">
        <v>200</v>
      </c>
      <c r="C4" s="19">
        <v>2</v>
      </c>
      <c r="D4" s="20">
        <f t="shared" ref="D4:D52" ca="1" si="0">RAND()</f>
        <v>0.96071385641370033</v>
      </c>
      <c r="E4" s="19">
        <f t="shared" ref="E4:E17" si="1">419.1*1.038</f>
        <v>435.02580000000006</v>
      </c>
      <c r="F4" s="21">
        <f t="shared" ref="F4:F52" si="2">0.087*E4</f>
        <v>37.847244600000003</v>
      </c>
      <c r="G4" s="19">
        <f t="shared" ref="G4:G52" ca="1" si="3">_xlfn.NORM.INV(D4,E4,F4)</f>
        <v>501.60026674309506</v>
      </c>
      <c r="H4" s="20">
        <f ca="1">IF(J3&gt;0,IF(H3&gt;0,H3,-1),IF(K4=0,IF(M4&lt;B4,B5-M4,-1),-1))</f>
        <v>-1</v>
      </c>
      <c r="I4" s="19">
        <f ca="1">IF(J3&gt;0,IF(I3&gt;=0,I3,-1),IF(H4&gt;0,RAND(),-1))</f>
        <v>-1</v>
      </c>
      <c r="J4" s="20">
        <f ca="1">IF(J3&gt;0,J3-1,IF(I4&gt;0,IF(I4 &gt;= 0.6,2,1),-1))</f>
        <v>-1</v>
      </c>
      <c r="K4" s="19">
        <f>IF(K3=0,1,K3-1)</f>
        <v>0</v>
      </c>
      <c r="L4" s="21">
        <f ca="1">IF(J3=1,L3+H3-G3,L3-G3)</f>
        <v>799.64362339606487</v>
      </c>
      <c r="M4" s="19">
        <f ca="1">IF(L4&lt; 0, 0, L4)</f>
        <v>799.64362339606487</v>
      </c>
      <c r="N4" s="21">
        <f ca="1">IF(L4&lt;0,  -L4,0)</f>
        <v>0</v>
      </c>
      <c r="O4" s="19">
        <f t="shared" ref="O4:O35" ca="1" si="4">IF(J4=0,O3+1,O3)</f>
        <v>0</v>
      </c>
      <c r="P4" s="21">
        <f ca="1">IF(M4=0,P3+1,P3)</f>
        <v>0</v>
      </c>
      <c r="Q4" s="19">
        <f ca="1">N4+Q3</f>
        <v>0</v>
      </c>
      <c r="R4" s="12"/>
    </row>
    <row r="5" spans="1:18">
      <c r="A5" s="24" t="s">
        <v>34</v>
      </c>
      <c r="B5" s="8">
        <f>SQRT((2*AVERAGE(E3:E52)*B9)/B7) + B4-AVERAGE(E3:E52)*B10/2</f>
        <v>1262.7072260811437</v>
      </c>
      <c r="C5" s="19">
        <v>3</v>
      </c>
      <c r="D5" s="20">
        <f t="shared" ca="1" si="0"/>
        <v>0.43316624888452793</v>
      </c>
      <c r="E5" s="19">
        <f t="shared" si="1"/>
        <v>435.02580000000006</v>
      </c>
      <c r="F5" s="21">
        <f t="shared" si="2"/>
        <v>37.847244600000003</v>
      </c>
      <c r="G5" s="19">
        <f t="shared" ca="1" si="3"/>
        <v>428.65539783924862</v>
      </c>
      <c r="H5" s="20">
        <f ca="1">IF(J4&gt;0,IF(H4&gt;0,H4,-1),IF(K5=0,IF(M5&lt;B4,B5-M5,-1),-1))</f>
        <v>-1</v>
      </c>
      <c r="I5" s="19">
        <f t="shared" ref="I5:I52" ca="1" si="5">IF(J4&gt;0,IF(I4&gt;=0,I4,-1),IF(H5&gt;0,RAND(),-1))</f>
        <v>-1</v>
      </c>
      <c r="J5" s="20">
        <f t="shared" ref="J5:J52" ca="1" si="6">IF(J4&gt;0,J4-1,IF(I5&gt;0,IF(I5 &gt;= 0.6,2,1),-1))</f>
        <v>-1</v>
      </c>
      <c r="K5" s="19">
        <f t="shared" ref="K5:K52" si="7">IF(K4=0,1,K4-1)</f>
        <v>1</v>
      </c>
      <c r="L5" s="21">
        <f t="shared" ref="L5:L52" ca="1" si="8">IF(J4=1,L4+H4-G4,L4-G4)</f>
        <v>298.04335665296981</v>
      </c>
      <c r="M5" s="19">
        <f t="shared" ref="M5:M52" ca="1" si="9">IF(L5&lt; 0, 0, L5)</f>
        <v>298.04335665296981</v>
      </c>
      <c r="N5" s="21">
        <f t="shared" ref="N5:N52" ca="1" si="10">IF(L5&lt;0,  -L5,0)</f>
        <v>0</v>
      </c>
      <c r="O5" s="19">
        <f t="shared" ca="1" si="4"/>
        <v>0</v>
      </c>
      <c r="P5" s="21">
        <f t="shared" ref="P5:P52" ca="1" si="11">IF(M5=0,P4+1,P4)</f>
        <v>0</v>
      </c>
      <c r="Q5" s="19">
        <f t="shared" ref="Q5:Q52" ca="1" si="12">N5+Q4</f>
        <v>0</v>
      </c>
      <c r="R5" s="12"/>
    </row>
    <row r="6" spans="1:18">
      <c r="A6" s="24"/>
      <c r="B6" s="7"/>
      <c r="C6" s="19">
        <v>4</v>
      </c>
      <c r="D6" s="20">
        <f t="shared" ca="1" si="0"/>
        <v>1.5557793169937439E-2</v>
      </c>
      <c r="E6" s="19">
        <f t="shared" si="1"/>
        <v>435.02580000000006</v>
      </c>
      <c r="F6" s="21">
        <f t="shared" si="2"/>
        <v>37.847244600000003</v>
      </c>
      <c r="G6" s="19">
        <f t="shared" ca="1" si="3"/>
        <v>353.44260583131421</v>
      </c>
      <c r="H6" s="20">
        <f ca="1">IF(J5&gt;0,IF(H5&gt;0,H5,-1),IF(K6=0,IF(M6&lt;B4,B5-M6,-1),-1))</f>
        <v>1262.7072260811437</v>
      </c>
      <c r="I6" s="19">
        <f t="shared" ca="1" si="5"/>
        <v>0.27982839695113548</v>
      </c>
      <c r="J6" s="20">
        <f t="shared" ca="1" si="6"/>
        <v>1</v>
      </c>
      <c r="K6" s="19">
        <f t="shared" si="7"/>
        <v>0</v>
      </c>
      <c r="L6" s="21">
        <f t="shared" ca="1" si="8"/>
        <v>-130.61204118627882</v>
      </c>
      <c r="M6" s="19">
        <f t="shared" ca="1" si="9"/>
        <v>0</v>
      </c>
      <c r="N6" s="21">
        <f t="shared" ca="1" si="10"/>
        <v>130.61204118627882</v>
      </c>
      <c r="O6" s="19">
        <f t="shared" ca="1" si="4"/>
        <v>0</v>
      </c>
      <c r="P6" s="21">
        <f t="shared" ca="1" si="11"/>
        <v>1</v>
      </c>
      <c r="Q6" s="19">
        <f t="shared" ca="1" si="12"/>
        <v>130.61204118627882</v>
      </c>
      <c r="R6" s="12"/>
    </row>
    <row r="7" spans="1:18">
      <c r="A7" s="24" t="s">
        <v>20</v>
      </c>
      <c r="B7" s="8">
        <f>B14*B12</f>
        <v>0.34739999999999999</v>
      </c>
      <c r="C7" s="19">
        <v>5</v>
      </c>
      <c r="D7" s="20">
        <f t="shared" ca="1" si="0"/>
        <v>0.72930325974108556</v>
      </c>
      <c r="E7" s="19">
        <f t="shared" si="1"/>
        <v>435.02580000000006</v>
      </c>
      <c r="F7" s="21">
        <f t="shared" si="2"/>
        <v>37.847244600000003</v>
      </c>
      <c r="G7" s="19">
        <f t="shared" ca="1" si="3"/>
        <v>458.13938238106908</v>
      </c>
      <c r="H7" s="20">
        <f ca="1">IF(J6&gt;0,IF(H6&gt;0,H6,-1),IF(K7=0,IF(M7&lt;B4,B5-M7,-1),-1))</f>
        <v>1262.7072260811437</v>
      </c>
      <c r="I7" s="19">
        <f t="shared" ca="1" si="5"/>
        <v>0.27982839695113548</v>
      </c>
      <c r="J7" s="20">
        <f t="shared" ca="1" si="6"/>
        <v>0</v>
      </c>
      <c r="K7" s="19">
        <f t="shared" si="7"/>
        <v>1</v>
      </c>
      <c r="L7" s="21">
        <f t="shared" ca="1" si="8"/>
        <v>778.65257906355055</v>
      </c>
      <c r="M7" s="19">
        <f t="shared" ca="1" si="9"/>
        <v>778.65257906355055</v>
      </c>
      <c r="N7" s="21">
        <f t="shared" ca="1" si="10"/>
        <v>0</v>
      </c>
      <c r="O7" s="19">
        <f t="shared" ca="1" si="4"/>
        <v>1</v>
      </c>
      <c r="P7" s="21">
        <f t="shared" ca="1" si="11"/>
        <v>1</v>
      </c>
      <c r="Q7" s="19">
        <f t="shared" ca="1" si="12"/>
        <v>130.61204118627882</v>
      </c>
      <c r="R7" s="12"/>
    </row>
    <row r="8" spans="1:18">
      <c r="A8" s="24" t="s">
        <v>22</v>
      </c>
      <c r="B8" s="8">
        <v>28</v>
      </c>
      <c r="C8" s="19">
        <v>6</v>
      </c>
      <c r="D8" s="20">
        <f t="shared" ca="1" si="0"/>
        <v>0.69907810954708383</v>
      </c>
      <c r="E8" s="19">
        <f t="shared" si="1"/>
        <v>435.02580000000006</v>
      </c>
      <c r="F8" s="21">
        <f t="shared" si="2"/>
        <v>37.847244600000003</v>
      </c>
      <c r="G8" s="19">
        <f t="shared" ca="1" si="3"/>
        <v>454.77263388402196</v>
      </c>
      <c r="H8" s="20">
        <f ca="1">IF(J7&gt;0,IF(H7&gt;0,H7,-1),IF(K8=0,IF(M8&lt;B4,B5-M8,-1),-1))</f>
        <v>-1</v>
      </c>
      <c r="I8" s="19">
        <f t="shared" ca="1" si="5"/>
        <v>-1</v>
      </c>
      <c r="J8" s="20">
        <f t="shared" ca="1" si="6"/>
        <v>-1</v>
      </c>
      <c r="K8" s="19">
        <f t="shared" si="7"/>
        <v>0</v>
      </c>
      <c r="L8" s="21">
        <f t="shared" ca="1" si="8"/>
        <v>320.51319668248146</v>
      </c>
      <c r="M8" s="19">
        <f t="shared" ca="1" si="9"/>
        <v>320.51319668248146</v>
      </c>
      <c r="N8" s="21">
        <f t="shared" ca="1" si="10"/>
        <v>0</v>
      </c>
      <c r="O8" s="19">
        <f t="shared" ca="1" si="4"/>
        <v>1</v>
      </c>
      <c r="P8" s="21">
        <f t="shared" ca="1" si="11"/>
        <v>1</v>
      </c>
      <c r="Q8" s="19">
        <f t="shared" ca="1" si="12"/>
        <v>130.61204118627882</v>
      </c>
      <c r="R8" s="12"/>
    </row>
    <row r="9" spans="1:18">
      <c r="A9" s="24" t="s">
        <v>23</v>
      </c>
      <c r="B9" s="8">
        <v>900</v>
      </c>
      <c r="C9" s="19">
        <v>7</v>
      </c>
      <c r="D9" s="20">
        <f t="shared" ca="1" si="0"/>
        <v>0.99449049102027898</v>
      </c>
      <c r="E9" s="19">
        <f t="shared" si="1"/>
        <v>435.02580000000006</v>
      </c>
      <c r="F9" s="21">
        <f t="shared" si="2"/>
        <v>37.847244600000003</v>
      </c>
      <c r="G9" s="19">
        <f t="shared" ca="1" si="3"/>
        <v>531.23709603548673</v>
      </c>
      <c r="H9" s="20">
        <f ca="1">IF(J8&gt;0,IF(H8&gt;0,H8,-1),IF(K9=0,IF(M9&lt;B4,B5-M9,-1),-1))</f>
        <v>-1</v>
      </c>
      <c r="I9" s="19">
        <f t="shared" ca="1" si="5"/>
        <v>-1</v>
      </c>
      <c r="J9" s="20">
        <f t="shared" ca="1" si="6"/>
        <v>-1</v>
      </c>
      <c r="K9" s="19">
        <f t="shared" si="7"/>
        <v>1</v>
      </c>
      <c r="L9" s="21">
        <f t="shared" ca="1" si="8"/>
        <v>-134.25943720154049</v>
      </c>
      <c r="M9" s="19">
        <f t="shared" ca="1" si="9"/>
        <v>0</v>
      </c>
      <c r="N9" s="21">
        <f t="shared" ca="1" si="10"/>
        <v>134.25943720154049</v>
      </c>
      <c r="O9" s="19">
        <f t="shared" ca="1" si="4"/>
        <v>1</v>
      </c>
      <c r="P9" s="21">
        <f t="shared" ca="1" si="11"/>
        <v>2</v>
      </c>
      <c r="Q9" s="19">
        <f t="shared" ca="1" si="12"/>
        <v>264.87147838781931</v>
      </c>
      <c r="R9" s="12"/>
    </row>
    <row r="10" spans="1:18">
      <c r="A10" s="24" t="s">
        <v>16</v>
      </c>
      <c r="B10" s="8">
        <v>2</v>
      </c>
      <c r="C10" s="19">
        <v>8</v>
      </c>
      <c r="D10" s="20">
        <f t="shared" ca="1" si="0"/>
        <v>0.67839640031041415</v>
      </c>
      <c r="E10" s="19">
        <f t="shared" si="1"/>
        <v>435.02580000000006</v>
      </c>
      <c r="F10" s="21">
        <f t="shared" si="2"/>
        <v>37.847244600000003</v>
      </c>
      <c r="G10" s="19">
        <f t="shared" ca="1" si="3"/>
        <v>452.55737331654285</v>
      </c>
      <c r="H10" s="20">
        <f ca="1">IF(J9&gt;0,IF(H9&gt;0,H9,-1),IF(K10=0,IF(M10&lt;B4,B5-M10,-1),-1))</f>
        <v>1262.7072260811437</v>
      </c>
      <c r="I10" s="19">
        <f t="shared" ca="1" si="5"/>
        <v>0.86753777270073895</v>
      </c>
      <c r="J10" s="20">
        <f t="shared" ca="1" si="6"/>
        <v>2</v>
      </c>
      <c r="K10" s="19">
        <f t="shared" si="7"/>
        <v>0</v>
      </c>
      <c r="L10" s="21">
        <f t="shared" ca="1" si="8"/>
        <v>-665.49653323702728</v>
      </c>
      <c r="M10" s="19">
        <f t="shared" ca="1" si="9"/>
        <v>0</v>
      </c>
      <c r="N10" s="21">
        <f t="shared" ca="1" si="10"/>
        <v>665.49653323702728</v>
      </c>
      <c r="O10" s="19">
        <f t="shared" ca="1" si="4"/>
        <v>1</v>
      </c>
      <c r="P10" s="21">
        <f t="shared" ca="1" si="11"/>
        <v>3</v>
      </c>
      <c r="Q10" s="19">
        <f t="shared" ca="1" si="12"/>
        <v>930.36801162484653</v>
      </c>
      <c r="R10" s="12"/>
    </row>
    <row r="11" spans="1:18">
      <c r="A11" s="24" t="s">
        <v>84</v>
      </c>
      <c r="B11" s="8">
        <v>120</v>
      </c>
      <c r="C11" s="19">
        <v>9</v>
      </c>
      <c r="D11" s="20">
        <f t="shared" ca="1" si="0"/>
        <v>0.96886429692672271</v>
      </c>
      <c r="E11" s="19">
        <f t="shared" si="1"/>
        <v>435.02580000000006</v>
      </c>
      <c r="F11" s="21">
        <f t="shared" si="2"/>
        <v>37.847244600000003</v>
      </c>
      <c r="G11" s="19">
        <f t="shared" ca="1" si="3"/>
        <v>505.5866242192813</v>
      </c>
      <c r="H11" s="20">
        <f ca="1">IF(J10&gt;0,IF(H10&gt;0,H10,-1),IF(K11=0,IF(M11&lt;B4,B5-M11,-1),-1))</f>
        <v>1262.7072260811437</v>
      </c>
      <c r="I11" s="19">
        <f t="shared" ca="1" si="5"/>
        <v>0.86753777270073895</v>
      </c>
      <c r="J11" s="20">
        <f t="shared" ca="1" si="6"/>
        <v>1</v>
      </c>
      <c r="K11" s="19">
        <f t="shared" si="7"/>
        <v>1</v>
      </c>
      <c r="L11" s="21">
        <f t="shared" ca="1" si="8"/>
        <v>-1118.0539065535702</v>
      </c>
      <c r="M11" s="19">
        <f t="shared" ca="1" si="9"/>
        <v>0</v>
      </c>
      <c r="N11" s="21">
        <f t="shared" ca="1" si="10"/>
        <v>1118.0539065535702</v>
      </c>
      <c r="O11" s="19">
        <f t="shared" ca="1" si="4"/>
        <v>1</v>
      </c>
      <c r="P11" s="21">
        <f t="shared" ca="1" si="11"/>
        <v>4</v>
      </c>
      <c r="Q11" s="19">
        <f t="shared" ca="1" si="12"/>
        <v>2048.4219181784165</v>
      </c>
      <c r="R11" s="12"/>
    </row>
    <row r="12" spans="1:18">
      <c r="A12" s="24" t="s">
        <v>44</v>
      </c>
      <c r="B12" s="8">
        <v>96.5</v>
      </c>
      <c r="C12" s="19">
        <v>10</v>
      </c>
      <c r="D12" s="20">
        <f t="shared" ca="1" si="0"/>
        <v>0.35474815211927591</v>
      </c>
      <c r="E12" s="19">
        <f t="shared" si="1"/>
        <v>435.02580000000006</v>
      </c>
      <c r="F12" s="21">
        <f t="shared" si="2"/>
        <v>37.847244600000003</v>
      </c>
      <c r="G12" s="19">
        <f t="shared" ca="1" si="3"/>
        <v>420.92646551808031</v>
      </c>
      <c r="H12" s="20">
        <f ca="1">IF(J11&gt;0,IF(H11&gt;0,H11,-1),IF(K12=0,IF(M12&lt;B4,B5-M12,-1),-1))</f>
        <v>1262.7072260811437</v>
      </c>
      <c r="I12" s="19">
        <f t="shared" ca="1" si="5"/>
        <v>0.86753777270073895</v>
      </c>
      <c r="J12" s="20">
        <f t="shared" ca="1" si="6"/>
        <v>0</v>
      </c>
      <c r="K12" s="19">
        <f t="shared" si="7"/>
        <v>0</v>
      </c>
      <c r="L12" s="21">
        <f t="shared" ca="1" si="8"/>
        <v>-360.93330469170775</v>
      </c>
      <c r="M12" s="19">
        <f t="shared" ca="1" si="9"/>
        <v>0</v>
      </c>
      <c r="N12" s="21">
        <f t="shared" ca="1" si="10"/>
        <v>360.93330469170775</v>
      </c>
      <c r="O12" s="19">
        <f t="shared" ca="1" si="4"/>
        <v>2</v>
      </c>
      <c r="P12" s="21">
        <f t="shared" ca="1" si="11"/>
        <v>5</v>
      </c>
      <c r="Q12" s="19">
        <f t="shared" ca="1" si="12"/>
        <v>2409.3552228701242</v>
      </c>
      <c r="R12" s="12"/>
    </row>
    <row r="13" spans="1:18">
      <c r="A13" s="24" t="s">
        <v>45</v>
      </c>
      <c r="B13" s="8">
        <v>0.18</v>
      </c>
      <c r="C13" s="19">
        <v>11</v>
      </c>
      <c r="D13" s="20">
        <f t="shared" ca="1" si="0"/>
        <v>0.99118144186965262</v>
      </c>
      <c r="E13" s="19">
        <f t="shared" si="1"/>
        <v>435.02580000000006</v>
      </c>
      <c r="F13" s="21">
        <f t="shared" si="2"/>
        <v>37.847244600000003</v>
      </c>
      <c r="G13" s="19">
        <f t="shared" ca="1" si="3"/>
        <v>524.84297538597707</v>
      </c>
      <c r="H13" s="20">
        <f ca="1">IF(J12&gt;0,IF(H12&gt;0,H12,-1),IF(K13=0,IF(M13&lt;B4,B5-M13,-1),-1))</f>
        <v>-1</v>
      </c>
      <c r="I13" s="19">
        <f t="shared" ca="1" si="5"/>
        <v>-1</v>
      </c>
      <c r="J13" s="20">
        <f t="shared" ca="1" si="6"/>
        <v>-1</v>
      </c>
      <c r="K13" s="19">
        <f t="shared" si="7"/>
        <v>1</v>
      </c>
      <c r="L13" s="21">
        <f t="shared" ca="1" si="8"/>
        <v>-781.85977020978805</v>
      </c>
      <c r="M13" s="19">
        <f t="shared" ca="1" si="9"/>
        <v>0</v>
      </c>
      <c r="N13" s="21">
        <f t="shared" ca="1" si="10"/>
        <v>781.85977020978805</v>
      </c>
      <c r="O13" s="19">
        <f t="shared" ca="1" si="4"/>
        <v>2</v>
      </c>
      <c r="P13" s="21">
        <f t="shared" ca="1" si="11"/>
        <v>6</v>
      </c>
      <c r="Q13" s="19">
        <f t="shared" ca="1" si="12"/>
        <v>3191.2149930799123</v>
      </c>
      <c r="R13" s="12"/>
    </row>
    <row r="14" spans="1:18">
      <c r="A14" s="24" t="s">
        <v>46</v>
      </c>
      <c r="B14" s="8">
        <f>B13/50</f>
        <v>3.5999999999999999E-3</v>
      </c>
      <c r="C14" s="19">
        <v>12</v>
      </c>
      <c r="D14" s="20">
        <f t="shared" ca="1" si="0"/>
        <v>0.20773359926593826</v>
      </c>
      <c r="E14" s="19">
        <f t="shared" si="1"/>
        <v>435.02580000000006</v>
      </c>
      <c r="F14" s="21">
        <f t="shared" si="2"/>
        <v>37.847244600000003</v>
      </c>
      <c r="G14" s="19">
        <f t="shared" ca="1" si="3"/>
        <v>404.20639809872876</v>
      </c>
      <c r="H14" s="20">
        <f ca="1">IF(J13&gt;0,IF(H13&gt;0,H13,-1),IF(K14=0,IF(M14&lt;B4,B5-M14,-1),-1))</f>
        <v>1262.7072260811437</v>
      </c>
      <c r="I14" s="19">
        <f t="shared" ca="1" si="5"/>
        <v>0.70813554779914223</v>
      </c>
      <c r="J14" s="20">
        <f t="shared" ca="1" si="6"/>
        <v>2</v>
      </c>
      <c r="K14" s="19">
        <f t="shared" si="7"/>
        <v>0</v>
      </c>
      <c r="L14" s="21">
        <f t="shared" ca="1" si="8"/>
        <v>-1306.702745595765</v>
      </c>
      <c r="M14" s="19">
        <f t="shared" ca="1" si="9"/>
        <v>0</v>
      </c>
      <c r="N14" s="21">
        <f t="shared" ca="1" si="10"/>
        <v>1306.702745595765</v>
      </c>
      <c r="O14" s="19">
        <f t="shared" ca="1" si="4"/>
        <v>2</v>
      </c>
      <c r="P14" s="21">
        <f t="shared" ca="1" si="11"/>
        <v>7</v>
      </c>
      <c r="Q14" s="19">
        <f t="shared" ca="1" si="12"/>
        <v>4497.9177386756774</v>
      </c>
      <c r="R14" s="12"/>
    </row>
    <row r="15" spans="1:18">
      <c r="C15" s="19">
        <v>13</v>
      </c>
      <c r="D15" s="20">
        <f t="shared" ca="1" si="0"/>
        <v>0.69403819365182917</v>
      </c>
      <c r="E15" s="19">
        <f t="shared" si="1"/>
        <v>435.02580000000006</v>
      </c>
      <c r="F15" s="21">
        <f t="shared" si="2"/>
        <v>37.847244600000003</v>
      </c>
      <c r="G15" s="19">
        <f t="shared" ca="1" si="3"/>
        <v>454.22682532051925</v>
      </c>
      <c r="H15" s="20">
        <f ca="1">IF(J14&gt;0,IF(H14&gt;0,H14,-1),IF(K15=0,IF(M15&lt;B4,B5-M15,-1),-1))</f>
        <v>1262.7072260811437</v>
      </c>
      <c r="I15" s="19">
        <f t="shared" ca="1" si="5"/>
        <v>0.70813554779914223</v>
      </c>
      <c r="J15" s="20">
        <f t="shared" ca="1" si="6"/>
        <v>1</v>
      </c>
      <c r="K15" s="19">
        <f t="shared" si="7"/>
        <v>1</v>
      </c>
      <c r="L15" s="21">
        <f ca="1">IF(J14=1,L14+H14-G14,L14-G14)</f>
        <v>-1710.9091436944937</v>
      </c>
      <c r="M15" s="19">
        <f t="shared" ca="1" si="9"/>
        <v>0</v>
      </c>
      <c r="N15" s="21">
        <f t="shared" ca="1" si="10"/>
        <v>1710.9091436944937</v>
      </c>
      <c r="O15" s="19">
        <f t="shared" ca="1" si="4"/>
        <v>2</v>
      </c>
      <c r="P15" s="21">
        <f t="shared" ca="1" si="11"/>
        <v>8</v>
      </c>
      <c r="Q15" s="19">
        <f t="shared" ca="1" si="12"/>
        <v>6208.826882370171</v>
      </c>
      <c r="R15" s="12"/>
    </row>
    <row r="16" spans="1:18">
      <c r="C16" s="19">
        <v>14</v>
      </c>
      <c r="D16" s="20">
        <f t="shared" ca="1" si="0"/>
        <v>0.21545261077110645</v>
      </c>
      <c r="E16" s="19">
        <f t="shared" si="1"/>
        <v>435.02580000000006</v>
      </c>
      <c r="F16" s="21">
        <f t="shared" si="2"/>
        <v>37.847244600000003</v>
      </c>
      <c r="G16" s="19">
        <f t="shared" ca="1" si="3"/>
        <v>405.21566113791334</v>
      </c>
      <c r="H16" s="20">
        <f ca="1">IF(J15&gt;0,IF(H15&gt;0,H15,-1),IF(K16=0,IF(M16&lt;B4,B5-M16,-1),-1))</f>
        <v>1262.7072260811437</v>
      </c>
      <c r="I16" s="19">
        <f t="shared" ca="1" si="5"/>
        <v>0.70813554779914223</v>
      </c>
      <c r="J16" s="20">
        <f t="shared" ca="1" si="6"/>
        <v>0</v>
      </c>
      <c r="K16" s="19">
        <f t="shared" si="7"/>
        <v>0</v>
      </c>
      <c r="L16" s="21">
        <f ca="1">IF(J15=1,L15+H15-G15,L15-G15)</f>
        <v>-902.42874293386922</v>
      </c>
      <c r="M16" s="19">
        <f t="shared" ca="1" si="9"/>
        <v>0</v>
      </c>
      <c r="N16" s="21">
        <f t="shared" ca="1" si="10"/>
        <v>902.42874293386922</v>
      </c>
      <c r="O16" s="19">
        <f t="shared" ca="1" si="4"/>
        <v>3</v>
      </c>
      <c r="P16" s="21">
        <f t="shared" ca="1" si="11"/>
        <v>9</v>
      </c>
      <c r="Q16" s="19">
        <f t="shared" ca="1" si="12"/>
        <v>7111.2556253040402</v>
      </c>
      <c r="R16" s="12"/>
    </row>
    <row r="17" spans="1:18">
      <c r="C17" s="19">
        <v>15</v>
      </c>
      <c r="D17" s="20">
        <f t="shared" ca="1" si="0"/>
        <v>0.36660813459281261</v>
      </c>
      <c r="E17" s="19">
        <f t="shared" si="1"/>
        <v>435.02580000000006</v>
      </c>
      <c r="F17" s="21">
        <f t="shared" si="2"/>
        <v>37.847244600000003</v>
      </c>
      <c r="G17" s="19">
        <f t="shared" ca="1" si="3"/>
        <v>422.12555470684424</v>
      </c>
      <c r="H17" s="20">
        <f ca="1">IF(J16&gt;0,IF(H16&gt;0,H16,-1),IF(K17=0,IF(M17&lt;B4,B5-M17,-1),-1))</f>
        <v>-1</v>
      </c>
      <c r="I17" s="19">
        <f t="shared" ca="1" si="5"/>
        <v>-1</v>
      </c>
      <c r="J17" s="20">
        <f t="shared" ca="1" si="6"/>
        <v>-1</v>
      </c>
      <c r="K17" s="19">
        <f t="shared" si="7"/>
        <v>1</v>
      </c>
      <c r="L17" s="21">
        <f ca="1">IF(J16=1,L16+H16-G16,L16-G16)</f>
        <v>-1307.6444040717824</v>
      </c>
      <c r="M17" s="19">
        <f t="shared" ca="1" si="9"/>
        <v>0</v>
      </c>
      <c r="N17" s="21">
        <f t="shared" ca="1" si="10"/>
        <v>1307.6444040717824</v>
      </c>
      <c r="O17" s="19">
        <f t="shared" ca="1" si="4"/>
        <v>3</v>
      </c>
      <c r="P17" s="21">
        <f t="shared" ca="1" si="11"/>
        <v>10</v>
      </c>
      <c r="Q17" s="19">
        <f t="shared" ca="1" si="12"/>
        <v>8418.9000293758218</v>
      </c>
      <c r="R17" s="12"/>
    </row>
    <row r="18" spans="1:18">
      <c r="C18" s="19">
        <v>16</v>
      </c>
      <c r="D18" s="20">
        <f t="shared" ca="1" si="0"/>
        <v>0.21905259493311546</v>
      </c>
      <c r="E18" s="19">
        <f>419.1*1.038</f>
        <v>435.02580000000006</v>
      </c>
      <c r="F18" s="21">
        <f t="shared" si="2"/>
        <v>37.847244600000003</v>
      </c>
      <c r="G18" s="19">
        <f t="shared" ca="1" si="3"/>
        <v>405.6791653693881</v>
      </c>
      <c r="H18" s="20">
        <f ca="1">IF(J17&gt;0,IF(H17&gt;0,H17,-1),IF(K18=0,IF(M18&lt;B4,B5-M18,-1),-1))</f>
        <v>1262.7072260811437</v>
      </c>
      <c r="I18" s="19">
        <f t="shared" ca="1" si="5"/>
        <v>0.16106938142373328</v>
      </c>
      <c r="J18" s="20">
        <f t="shared" ca="1" si="6"/>
        <v>1</v>
      </c>
      <c r="K18" s="19">
        <f t="shared" si="7"/>
        <v>0</v>
      </c>
      <c r="L18" s="21">
        <f t="shared" ca="1" si="8"/>
        <v>-1729.7699587786267</v>
      </c>
      <c r="M18" s="19">
        <f t="shared" ca="1" si="9"/>
        <v>0</v>
      </c>
      <c r="N18" s="21">
        <f t="shared" ca="1" si="10"/>
        <v>1729.7699587786267</v>
      </c>
      <c r="O18" s="19">
        <f t="shared" ca="1" si="4"/>
        <v>3</v>
      </c>
      <c r="P18" s="21">
        <f t="shared" ca="1" si="11"/>
        <v>11</v>
      </c>
      <c r="Q18" s="19">
        <f t="shared" ca="1" si="12"/>
        <v>10148.669988154448</v>
      </c>
      <c r="R18" s="12"/>
    </row>
    <row r="19" spans="1:18">
      <c r="C19" s="19">
        <v>17</v>
      </c>
      <c r="D19" s="20">
        <f t="shared" ca="1" si="0"/>
        <v>0.57815051675699802</v>
      </c>
      <c r="E19" s="19">
        <f>1.038*554.2</f>
        <v>575.25960000000009</v>
      </c>
      <c r="F19" s="21">
        <f t="shared" si="2"/>
        <v>50.047585200000007</v>
      </c>
      <c r="G19" s="19">
        <f t="shared" ca="1" si="3"/>
        <v>585.12719711581576</v>
      </c>
      <c r="H19" s="20">
        <f ca="1">IF(J18&gt;0,IF(H18&gt;0,H18,-1),IF(K19=0,IF(M19&lt;B4,B5-M19,-1),-1))</f>
        <v>1262.7072260811437</v>
      </c>
      <c r="I19" s="19">
        <f t="shared" ca="1" si="5"/>
        <v>0.16106938142373328</v>
      </c>
      <c r="J19" s="20">
        <f t="shared" ca="1" si="6"/>
        <v>0</v>
      </c>
      <c r="K19" s="19">
        <f t="shared" si="7"/>
        <v>1</v>
      </c>
      <c r="L19" s="21">
        <f t="shared" ca="1" si="8"/>
        <v>-872.74189806687104</v>
      </c>
      <c r="M19" s="19">
        <f t="shared" ca="1" si="9"/>
        <v>0</v>
      </c>
      <c r="N19" s="21">
        <f t="shared" ca="1" si="10"/>
        <v>872.74189806687104</v>
      </c>
      <c r="O19" s="19">
        <f t="shared" ca="1" si="4"/>
        <v>4</v>
      </c>
      <c r="P19" s="21">
        <f t="shared" ca="1" si="11"/>
        <v>12</v>
      </c>
      <c r="Q19" s="19">
        <f t="shared" ca="1" si="12"/>
        <v>11021.41188622132</v>
      </c>
      <c r="R19" s="12"/>
    </row>
    <row r="20" spans="1:18">
      <c r="A20" s="16"/>
      <c r="C20" s="19">
        <v>18</v>
      </c>
      <c r="D20" s="20">
        <f t="shared" ca="1" si="0"/>
        <v>0.82232754558180621</v>
      </c>
      <c r="E20" s="19">
        <f t="shared" ref="E20:E30" si="13">1.038*554.2</f>
        <v>575.25960000000009</v>
      </c>
      <c r="F20" s="21">
        <f t="shared" si="2"/>
        <v>50.047585200000007</v>
      </c>
      <c r="G20" s="19">
        <f t="shared" ca="1" si="3"/>
        <v>621.5171632319001</v>
      </c>
      <c r="H20" s="20">
        <f ca="1">IF(J19&gt;0,IF(H19&gt;0,H19,-1),IF(K20=0,IF(M20&lt;B4,B5-M20,-1),-1))</f>
        <v>1262.7072260811437</v>
      </c>
      <c r="I20" s="19">
        <f t="shared" ca="1" si="5"/>
        <v>0.36991429378103369</v>
      </c>
      <c r="J20" s="20">
        <f t="shared" ca="1" si="6"/>
        <v>1</v>
      </c>
      <c r="K20" s="19">
        <f t="shared" si="7"/>
        <v>0</v>
      </c>
      <c r="L20" s="21">
        <f t="shared" ca="1" si="8"/>
        <v>-1457.8690951826868</v>
      </c>
      <c r="M20" s="19">
        <f t="shared" ca="1" si="9"/>
        <v>0</v>
      </c>
      <c r="N20" s="21">
        <f t="shared" ca="1" si="10"/>
        <v>1457.8690951826868</v>
      </c>
      <c r="O20" s="19">
        <f t="shared" ca="1" si="4"/>
        <v>4</v>
      </c>
      <c r="P20" s="21">
        <f t="shared" ca="1" si="11"/>
        <v>13</v>
      </c>
      <c r="Q20" s="19">
        <f t="shared" ca="1" si="12"/>
        <v>12479.280981404007</v>
      </c>
      <c r="R20" s="12"/>
    </row>
    <row r="21" spans="1:18">
      <c r="C21" s="19">
        <v>19</v>
      </c>
      <c r="D21" s="20">
        <f t="shared" ca="1" si="0"/>
        <v>0.73153025223865809</v>
      </c>
      <c r="E21" s="19">
        <f t="shared" si="13"/>
        <v>575.25960000000009</v>
      </c>
      <c r="F21" s="21">
        <f t="shared" si="2"/>
        <v>50.047585200000007</v>
      </c>
      <c r="G21" s="19">
        <f t="shared" ca="1" si="3"/>
        <v>606.16136426637297</v>
      </c>
      <c r="H21" s="20">
        <f ca="1">IF(J20&gt;0,IF(H20&gt;0,H20,-1),IF(K21=0,IF(M21&lt;B4,B5-M21,-1),-1))</f>
        <v>1262.7072260811437</v>
      </c>
      <c r="I21" s="19">
        <f t="shared" ca="1" si="5"/>
        <v>0.36991429378103369</v>
      </c>
      <c r="J21" s="20">
        <f t="shared" ca="1" si="6"/>
        <v>0</v>
      </c>
      <c r="K21" s="19">
        <f t="shared" si="7"/>
        <v>1</v>
      </c>
      <c r="L21" s="21">
        <f t="shared" ca="1" si="8"/>
        <v>-816.67903233344316</v>
      </c>
      <c r="M21" s="19">
        <f t="shared" ca="1" si="9"/>
        <v>0</v>
      </c>
      <c r="N21" s="21">
        <f t="shared" ca="1" si="10"/>
        <v>816.67903233344316</v>
      </c>
      <c r="O21" s="19">
        <f t="shared" ca="1" si="4"/>
        <v>5</v>
      </c>
      <c r="P21" s="21">
        <f t="shared" ca="1" si="11"/>
        <v>14</v>
      </c>
      <c r="Q21" s="19">
        <f t="shared" ca="1" si="12"/>
        <v>13295.960013737449</v>
      </c>
      <c r="R21" s="12"/>
    </row>
    <row r="22" spans="1:18">
      <c r="C22" s="19">
        <v>20</v>
      </c>
      <c r="D22" s="20">
        <f t="shared" ca="1" si="0"/>
        <v>0.94842578586765591</v>
      </c>
      <c r="E22" s="19">
        <f t="shared" si="13"/>
        <v>575.25960000000009</v>
      </c>
      <c r="F22" s="21">
        <f t="shared" si="2"/>
        <v>50.047585200000007</v>
      </c>
      <c r="G22" s="19">
        <f t="shared" ca="1" si="3"/>
        <v>656.82605256174736</v>
      </c>
      <c r="H22" s="20">
        <f ca="1">IF(J21&gt;0,IF(H21&gt;0,H21,-1),IF(K22=0,IF(M22&lt;B4,B5-M22,-1),-1))</f>
        <v>1262.7072260811437</v>
      </c>
      <c r="I22" s="19">
        <f t="shared" ca="1" si="5"/>
        <v>0.76024481173596981</v>
      </c>
      <c r="J22" s="20">
        <f t="shared" ca="1" si="6"/>
        <v>2</v>
      </c>
      <c r="K22" s="19">
        <f t="shared" si="7"/>
        <v>0</v>
      </c>
      <c r="L22" s="21">
        <f t="shared" ca="1" si="8"/>
        <v>-1422.8403965998161</v>
      </c>
      <c r="M22" s="19">
        <f t="shared" ca="1" si="9"/>
        <v>0</v>
      </c>
      <c r="N22" s="21">
        <f t="shared" ca="1" si="10"/>
        <v>1422.8403965998161</v>
      </c>
      <c r="O22" s="19">
        <f t="shared" ca="1" si="4"/>
        <v>5</v>
      </c>
      <c r="P22" s="21">
        <f t="shared" ca="1" si="11"/>
        <v>15</v>
      </c>
      <c r="Q22" s="19">
        <f t="shared" ca="1" si="12"/>
        <v>14718.800410337266</v>
      </c>
      <c r="R22" s="12"/>
    </row>
    <row r="23" spans="1:18">
      <c r="C23" s="19">
        <v>21</v>
      </c>
      <c r="D23" s="20">
        <f t="shared" ca="1" si="0"/>
        <v>0.32672808403794018</v>
      </c>
      <c r="E23" s="19">
        <f t="shared" si="13"/>
        <v>575.25960000000009</v>
      </c>
      <c r="F23" s="21">
        <f t="shared" si="2"/>
        <v>50.047585200000007</v>
      </c>
      <c r="G23" s="19">
        <f t="shared" ca="1" si="3"/>
        <v>552.78993478018651</v>
      </c>
      <c r="H23" s="20">
        <f ca="1">IF(J22&gt;0,IF(H22&gt;0,H22,-1),IF(K23=0,IF(M23&lt;B4,B5-M23,-1),-1))</f>
        <v>1262.7072260811437</v>
      </c>
      <c r="I23" s="19">
        <f t="shared" ca="1" si="5"/>
        <v>0.76024481173596981</v>
      </c>
      <c r="J23" s="20">
        <f t="shared" ca="1" si="6"/>
        <v>1</v>
      </c>
      <c r="K23" s="19">
        <f t="shared" si="7"/>
        <v>1</v>
      </c>
      <c r="L23" s="21">
        <f t="shared" ca="1" si="8"/>
        <v>-2079.6664491615634</v>
      </c>
      <c r="M23" s="19">
        <f t="shared" ca="1" si="9"/>
        <v>0</v>
      </c>
      <c r="N23" s="21">
        <f t="shared" ca="1" si="10"/>
        <v>2079.6664491615634</v>
      </c>
      <c r="O23" s="19">
        <f t="shared" ca="1" si="4"/>
        <v>5</v>
      </c>
      <c r="P23" s="21">
        <f t="shared" ca="1" si="11"/>
        <v>16</v>
      </c>
      <c r="Q23" s="19">
        <f t="shared" ca="1" si="12"/>
        <v>16798.466859498829</v>
      </c>
      <c r="R23" s="12"/>
    </row>
    <row r="24" spans="1:18">
      <c r="C24" s="19">
        <v>22</v>
      </c>
      <c r="D24" s="20">
        <f t="shared" ca="1" si="0"/>
        <v>0.85413409696557463</v>
      </c>
      <c r="E24" s="19">
        <f t="shared" si="13"/>
        <v>575.25960000000009</v>
      </c>
      <c r="F24" s="21">
        <f t="shared" si="2"/>
        <v>50.047585200000007</v>
      </c>
      <c r="G24" s="19">
        <f t="shared" ca="1" si="3"/>
        <v>628.02627621566455</v>
      </c>
      <c r="H24" s="20">
        <f ca="1">IF(J23&gt;0,IF(H23&gt;0,H23,-1),IF(K24=0,IF(M24&lt;B4,B5-M24,-1),-1))</f>
        <v>1262.7072260811437</v>
      </c>
      <c r="I24" s="19">
        <f t="shared" ca="1" si="5"/>
        <v>0.76024481173596981</v>
      </c>
      <c r="J24" s="20">
        <f t="shared" ca="1" si="6"/>
        <v>0</v>
      </c>
      <c r="K24" s="19">
        <f t="shared" si="7"/>
        <v>0</v>
      </c>
      <c r="L24" s="21">
        <f ca="1">IF(J23=1,L23+H23-G23,L23-G23)</f>
        <v>-1369.7491578606061</v>
      </c>
      <c r="M24" s="19">
        <f t="shared" ca="1" si="9"/>
        <v>0</v>
      </c>
      <c r="N24" s="21">
        <f t="shared" ca="1" si="10"/>
        <v>1369.7491578606061</v>
      </c>
      <c r="O24" s="19">
        <f t="shared" ca="1" si="4"/>
        <v>6</v>
      </c>
      <c r="P24" s="21">
        <f t="shared" ca="1" si="11"/>
        <v>17</v>
      </c>
      <c r="Q24" s="19">
        <f t="shared" ca="1" si="12"/>
        <v>18168.216017359435</v>
      </c>
      <c r="R24" s="12"/>
    </row>
    <row r="25" spans="1:18">
      <c r="C25" s="19">
        <v>23</v>
      </c>
      <c r="D25" s="20">
        <f t="shared" ca="1" si="0"/>
        <v>0.13201515812102205</v>
      </c>
      <c r="E25" s="19">
        <f t="shared" si="13"/>
        <v>575.25960000000009</v>
      </c>
      <c r="F25" s="21">
        <f t="shared" si="2"/>
        <v>50.047585200000007</v>
      </c>
      <c r="G25" s="19">
        <f t="shared" ca="1" si="3"/>
        <v>519.36065992398335</v>
      </c>
      <c r="H25" s="20">
        <f ca="1">IF(J24&gt;0,IF(H24&gt;0,H24,-1),IF(K25=0,IF(M25&lt;B4,B5-M25,-1),-1))</f>
        <v>-1</v>
      </c>
      <c r="I25" s="19">
        <f t="shared" ca="1" si="5"/>
        <v>-1</v>
      </c>
      <c r="J25" s="20">
        <f t="shared" ca="1" si="6"/>
        <v>-1</v>
      </c>
      <c r="K25" s="19">
        <f t="shared" si="7"/>
        <v>1</v>
      </c>
      <c r="L25" s="21">
        <f t="shared" ca="1" si="8"/>
        <v>-1997.7754340762708</v>
      </c>
      <c r="M25" s="19">
        <f t="shared" ca="1" si="9"/>
        <v>0</v>
      </c>
      <c r="N25" s="21">
        <f t="shared" ca="1" si="10"/>
        <v>1997.7754340762708</v>
      </c>
      <c r="O25" s="19">
        <f t="shared" ca="1" si="4"/>
        <v>6</v>
      </c>
      <c r="P25" s="21">
        <f t="shared" ca="1" si="11"/>
        <v>18</v>
      </c>
      <c r="Q25" s="19">
        <f t="shared" ca="1" si="12"/>
        <v>20165.991451435704</v>
      </c>
      <c r="R25" s="12"/>
    </row>
    <row r="26" spans="1:18">
      <c r="C26" s="19">
        <v>24</v>
      </c>
      <c r="D26" s="20">
        <f t="shared" ca="1" si="0"/>
        <v>0.79850004722473145</v>
      </c>
      <c r="E26" s="19">
        <f t="shared" si="13"/>
        <v>575.25960000000009</v>
      </c>
      <c r="F26" s="21">
        <f t="shared" si="2"/>
        <v>50.047585200000007</v>
      </c>
      <c r="G26" s="19">
        <f t="shared" ca="1" si="3"/>
        <v>617.11317176298883</v>
      </c>
      <c r="H26" s="20">
        <f ca="1">IF(J25&gt;0,IF(H25&gt;0,H25,-1),IF(K26=0,IF(M26&lt;B4,B5-M26,-1),-1))</f>
        <v>1262.7072260811437</v>
      </c>
      <c r="I26" s="19">
        <f t="shared" ca="1" si="5"/>
        <v>0.71223414573630783</v>
      </c>
      <c r="J26" s="20">
        <f t="shared" ca="1" si="6"/>
        <v>2</v>
      </c>
      <c r="K26" s="19">
        <f t="shared" si="7"/>
        <v>0</v>
      </c>
      <c r="L26" s="21">
        <f t="shared" ca="1" si="8"/>
        <v>-2517.1360940002542</v>
      </c>
      <c r="M26" s="19">
        <f t="shared" ca="1" si="9"/>
        <v>0</v>
      </c>
      <c r="N26" s="21">
        <f t="shared" ca="1" si="10"/>
        <v>2517.1360940002542</v>
      </c>
      <c r="O26" s="19">
        <f t="shared" ca="1" si="4"/>
        <v>6</v>
      </c>
      <c r="P26" s="21">
        <f t="shared" ca="1" si="11"/>
        <v>19</v>
      </c>
      <c r="Q26" s="19">
        <f t="shared" ca="1" si="12"/>
        <v>22683.127545435957</v>
      </c>
      <c r="R26" s="12"/>
    </row>
    <row r="27" spans="1:18">
      <c r="C27" s="19">
        <v>25</v>
      </c>
      <c r="D27" s="20">
        <f t="shared" ca="1" si="0"/>
        <v>0.22692405673209226</v>
      </c>
      <c r="E27" s="19">
        <f t="shared" si="13"/>
        <v>575.25960000000009</v>
      </c>
      <c r="F27" s="21">
        <f t="shared" si="2"/>
        <v>50.047585200000007</v>
      </c>
      <c r="G27" s="19">
        <f t="shared" ca="1" si="3"/>
        <v>537.77320372684244</v>
      </c>
      <c r="H27" s="20">
        <f ca="1">IF(J26&gt;0,IF(H26&gt;0,H26,-1),IF(K27=0,IF(M27&lt;B4,B5-M27,-1),-1))</f>
        <v>1262.7072260811437</v>
      </c>
      <c r="I27" s="19">
        <f t="shared" ca="1" si="5"/>
        <v>0.71223414573630783</v>
      </c>
      <c r="J27" s="20">
        <f t="shared" ca="1" si="6"/>
        <v>1</v>
      </c>
      <c r="K27" s="19">
        <f t="shared" si="7"/>
        <v>1</v>
      </c>
      <c r="L27" s="21">
        <f t="shared" ca="1" si="8"/>
        <v>-3134.2492657632429</v>
      </c>
      <c r="M27" s="19">
        <f t="shared" ca="1" si="9"/>
        <v>0</v>
      </c>
      <c r="N27" s="21">
        <f t="shared" ca="1" si="10"/>
        <v>3134.2492657632429</v>
      </c>
      <c r="O27" s="19">
        <f t="shared" ca="1" si="4"/>
        <v>6</v>
      </c>
      <c r="P27" s="21">
        <f t="shared" ca="1" si="11"/>
        <v>20</v>
      </c>
      <c r="Q27" s="19">
        <f t="shared" ca="1" si="12"/>
        <v>25817.376811199199</v>
      </c>
      <c r="R27" s="12"/>
    </row>
    <row r="28" spans="1:18">
      <c r="C28" s="19">
        <v>26</v>
      </c>
      <c r="D28" s="20">
        <f t="shared" ca="1" si="0"/>
        <v>0.13789222035321036</v>
      </c>
      <c r="E28" s="19">
        <f t="shared" si="13"/>
        <v>575.25960000000009</v>
      </c>
      <c r="F28" s="21">
        <f t="shared" si="2"/>
        <v>50.047585200000007</v>
      </c>
      <c r="G28" s="19">
        <f t="shared" ca="1" si="3"/>
        <v>520.71583178617027</v>
      </c>
      <c r="H28" s="20">
        <f ca="1">IF(J27&gt;0,IF(H27&gt;0,H27,-1),IF(K28=0,IF(M28&lt;B4,B5-M28,-1),-1))</f>
        <v>1262.7072260811437</v>
      </c>
      <c r="I28" s="19">
        <f t="shared" ca="1" si="5"/>
        <v>0.71223414573630783</v>
      </c>
      <c r="J28" s="20">
        <f t="shared" ca="1" si="6"/>
        <v>0</v>
      </c>
      <c r="K28" s="19">
        <f t="shared" si="7"/>
        <v>0</v>
      </c>
      <c r="L28" s="21">
        <f t="shared" ca="1" si="8"/>
        <v>-2409.3152434089416</v>
      </c>
      <c r="M28" s="19">
        <f t="shared" ca="1" si="9"/>
        <v>0</v>
      </c>
      <c r="N28" s="21">
        <f t="shared" ca="1" si="10"/>
        <v>2409.3152434089416</v>
      </c>
      <c r="O28" s="19">
        <f t="shared" ca="1" si="4"/>
        <v>7</v>
      </c>
      <c r="P28" s="21">
        <f t="shared" ca="1" si="11"/>
        <v>21</v>
      </c>
      <c r="Q28" s="19">
        <f t="shared" ca="1" si="12"/>
        <v>28226.692054608142</v>
      </c>
      <c r="R28" s="12"/>
    </row>
    <row r="29" spans="1:18">
      <c r="C29" s="19">
        <v>27</v>
      </c>
      <c r="D29" s="20">
        <f t="shared" ca="1" si="0"/>
        <v>0.34697617316750828</v>
      </c>
      <c r="E29" s="19">
        <f t="shared" si="13"/>
        <v>575.25960000000009</v>
      </c>
      <c r="F29" s="21">
        <f t="shared" si="2"/>
        <v>50.047585200000007</v>
      </c>
      <c r="G29" s="19">
        <f t="shared" ca="1" si="3"/>
        <v>555.56601906479932</v>
      </c>
      <c r="H29" s="20">
        <f ca="1">IF(J28&gt;0,IF(H28&gt;0,H28,-1),IF(K29=0,IF(M29&lt;B4,B5-M29,-1),-1))</f>
        <v>-1</v>
      </c>
      <c r="I29" s="19">
        <f t="shared" ca="1" si="5"/>
        <v>-1</v>
      </c>
      <c r="J29" s="20">
        <f t="shared" ca="1" si="6"/>
        <v>-1</v>
      </c>
      <c r="K29" s="19">
        <f t="shared" si="7"/>
        <v>1</v>
      </c>
      <c r="L29" s="21">
        <f t="shared" ca="1" si="8"/>
        <v>-2930.031075195112</v>
      </c>
      <c r="M29" s="19">
        <f t="shared" ca="1" si="9"/>
        <v>0</v>
      </c>
      <c r="N29" s="21">
        <f t="shared" ca="1" si="10"/>
        <v>2930.031075195112</v>
      </c>
      <c r="O29" s="19">
        <f t="shared" ca="1" si="4"/>
        <v>7</v>
      </c>
      <c r="P29" s="21">
        <f t="shared" ca="1" si="11"/>
        <v>22</v>
      </c>
      <c r="Q29" s="19">
        <f t="shared" ca="1" si="12"/>
        <v>31156.723129803253</v>
      </c>
      <c r="R29" s="12"/>
    </row>
    <row r="30" spans="1:18">
      <c r="C30" s="19">
        <v>28</v>
      </c>
      <c r="D30" s="20">
        <f t="shared" ca="1" si="0"/>
        <v>0.75815665451951941</v>
      </c>
      <c r="E30" s="19">
        <f t="shared" si="13"/>
        <v>575.25960000000009</v>
      </c>
      <c r="F30" s="21">
        <f t="shared" si="2"/>
        <v>50.047585200000007</v>
      </c>
      <c r="G30" s="19">
        <f t="shared" ca="1" si="3"/>
        <v>610.31219482279585</v>
      </c>
      <c r="H30" s="20">
        <f ca="1">IF(J29&gt;0,IF(H29&gt;0,H29,-1),IF(K30=0,IF(M30&lt;B4,B5-M30,-1),-1))</f>
        <v>1262.7072260811437</v>
      </c>
      <c r="I30" s="19">
        <f t="shared" ca="1" si="5"/>
        <v>9.6831172998308457E-2</v>
      </c>
      <c r="J30" s="20">
        <f t="shared" ca="1" si="6"/>
        <v>1</v>
      </c>
      <c r="K30" s="19">
        <f t="shared" si="7"/>
        <v>0</v>
      </c>
      <c r="L30" s="21">
        <f t="shared" ca="1" si="8"/>
        <v>-3485.5970942599115</v>
      </c>
      <c r="M30" s="19">
        <f t="shared" ca="1" si="9"/>
        <v>0</v>
      </c>
      <c r="N30" s="21">
        <f t="shared" ca="1" si="10"/>
        <v>3485.5970942599115</v>
      </c>
      <c r="O30" s="19">
        <f t="shared" ca="1" si="4"/>
        <v>7</v>
      </c>
      <c r="P30" s="21">
        <f t="shared" ca="1" si="11"/>
        <v>23</v>
      </c>
      <c r="Q30" s="19">
        <f t="shared" ca="1" si="12"/>
        <v>34642.320224063165</v>
      </c>
      <c r="R30" s="12"/>
    </row>
    <row r="31" spans="1:18">
      <c r="C31" s="19">
        <v>29</v>
      </c>
      <c r="D31" s="20">
        <f t="shared" ca="1" si="0"/>
        <v>0.94948146450946147</v>
      </c>
      <c r="E31" s="19">
        <f>334.6*1.038</f>
        <v>347.31480000000005</v>
      </c>
      <c r="F31" s="21">
        <f t="shared" si="2"/>
        <v>30.216387600000001</v>
      </c>
      <c r="G31" s="19">
        <f t="shared" ca="1" si="3"/>
        <v>396.8650397790654</v>
      </c>
      <c r="H31" s="20">
        <f ca="1">IF(J30&gt;0,IF(H30&gt;0,H30,-1),IF(K31=0,IF(M31&lt;B4,B5-M31,-1),-1))</f>
        <v>1262.7072260811437</v>
      </c>
      <c r="I31" s="19">
        <f t="shared" ca="1" si="5"/>
        <v>9.6831172998308457E-2</v>
      </c>
      <c r="J31" s="20">
        <f t="shared" ca="1" si="6"/>
        <v>0</v>
      </c>
      <c r="K31" s="19">
        <f t="shared" si="7"/>
        <v>1</v>
      </c>
      <c r="L31" s="21">
        <f t="shared" ca="1" si="8"/>
        <v>-2833.2020630015636</v>
      </c>
      <c r="M31" s="19">
        <f t="shared" ca="1" si="9"/>
        <v>0</v>
      </c>
      <c r="N31" s="21">
        <f t="shared" ca="1" si="10"/>
        <v>2833.2020630015636</v>
      </c>
      <c r="O31" s="19">
        <f t="shared" ca="1" si="4"/>
        <v>8</v>
      </c>
      <c r="P31" s="21">
        <f t="shared" ca="1" si="11"/>
        <v>24</v>
      </c>
      <c r="Q31" s="19">
        <f t="shared" ca="1" si="12"/>
        <v>37475.522287064727</v>
      </c>
      <c r="R31" s="12"/>
    </row>
    <row r="32" spans="1:18">
      <c r="C32" s="19">
        <v>30</v>
      </c>
      <c r="D32" s="20">
        <f t="shared" ca="1" si="0"/>
        <v>0.90851773510431633</v>
      </c>
      <c r="E32" s="19">
        <f t="shared" ref="E32:E52" si="14">334.6*1.038</f>
        <v>347.31480000000005</v>
      </c>
      <c r="F32" s="21">
        <f t="shared" si="2"/>
        <v>30.216387600000001</v>
      </c>
      <c r="G32" s="19">
        <f t="shared" ca="1" si="3"/>
        <v>387.55343572044922</v>
      </c>
      <c r="H32" s="20">
        <f ca="1">IF(J31&gt;0,IF(H31&gt;0,H31,-1),IF(K32=0,IF(M32&lt;B4,B5-M32,-1),-1))</f>
        <v>1262.7072260811437</v>
      </c>
      <c r="I32" s="19">
        <f t="shared" ca="1" si="5"/>
        <v>0.5704365521693272</v>
      </c>
      <c r="J32" s="20">
        <f t="shared" ca="1" si="6"/>
        <v>1</v>
      </c>
      <c r="K32" s="19">
        <f t="shared" si="7"/>
        <v>0</v>
      </c>
      <c r="L32" s="21">
        <f t="shared" ca="1" si="8"/>
        <v>-3230.0671027806288</v>
      </c>
      <c r="M32" s="19">
        <f t="shared" ca="1" si="9"/>
        <v>0</v>
      </c>
      <c r="N32" s="21">
        <f t="shared" ca="1" si="10"/>
        <v>3230.0671027806288</v>
      </c>
      <c r="O32" s="19">
        <f t="shared" ca="1" si="4"/>
        <v>8</v>
      </c>
      <c r="P32" s="21">
        <f t="shared" ca="1" si="11"/>
        <v>25</v>
      </c>
      <c r="Q32" s="19">
        <f t="shared" ca="1" si="12"/>
        <v>40705.589389845358</v>
      </c>
      <c r="R32" s="12"/>
    </row>
    <row r="33" spans="3:18">
      <c r="C33" s="19">
        <v>31</v>
      </c>
      <c r="D33" s="20">
        <f t="shared" ca="1" si="0"/>
        <v>6.5648748418062342E-2</v>
      </c>
      <c r="E33" s="19">
        <f t="shared" si="14"/>
        <v>347.31480000000005</v>
      </c>
      <c r="F33" s="21">
        <f t="shared" si="2"/>
        <v>30.216387600000001</v>
      </c>
      <c r="G33" s="19">
        <f t="shared" ca="1" si="3"/>
        <v>301.71811906061521</v>
      </c>
      <c r="H33" s="20">
        <f ca="1">IF(J32&gt;0,IF(H32&gt;0,H32,-1),IF(K33=0,IF(M33&lt;B4,B5-M33,-1),-1))</f>
        <v>1262.7072260811437</v>
      </c>
      <c r="I33" s="19">
        <f t="shared" ca="1" si="5"/>
        <v>0.5704365521693272</v>
      </c>
      <c r="J33" s="20">
        <f t="shared" ca="1" si="6"/>
        <v>0</v>
      </c>
      <c r="K33" s="19">
        <f t="shared" si="7"/>
        <v>1</v>
      </c>
      <c r="L33" s="21">
        <f t="shared" ca="1" si="8"/>
        <v>-2354.9133124199343</v>
      </c>
      <c r="M33" s="19">
        <f t="shared" ca="1" si="9"/>
        <v>0</v>
      </c>
      <c r="N33" s="21">
        <f t="shared" ca="1" si="10"/>
        <v>2354.9133124199343</v>
      </c>
      <c r="O33" s="19">
        <f t="shared" ca="1" si="4"/>
        <v>9</v>
      </c>
      <c r="P33" s="21">
        <f t="shared" ca="1" si="11"/>
        <v>26</v>
      </c>
      <c r="Q33" s="19">
        <f t="shared" ca="1" si="12"/>
        <v>43060.502702265294</v>
      </c>
      <c r="R33" s="12"/>
    </row>
    <row r="34" spans="3:18">
      <c r="C34" s="19">
        <v>32</v>
      </c>
      <c r="D34" s="20">
        <f t="shared" ca="1" si="0"/>
        <v>0.60501283455860388</v>
      </c>
      <c r="E34" s="19">
        <f t="shared" si="14"/>
        <v>347.31480000000005</v>
      </c>
      <c r="F34" s="21">
        <f t="shared" si="2"/>
        <v>30.216387600000001</v>
      </c>
      <c r="G34" s="19">
        <f t="shared" ca="1" si="3"/>
        <v>355.36275191056575</v>
      </c>
      <c r="H34" s="20">
        <f ca="1">IF(J33&gt;0,IF(H33&gt;0,H33,-1),IF(K34=0,IF(M34&lt;B4,B5-M34,-1),-1))</f>
        <v>1262.7072260811437</v>
      </c>
      <c r="I34" s="19">
        <f t="shared" ca="1" si="5"/>
        <v>0.10320120778428865</v>
      </c>
      <c r="J34" s="20">
        <f t="shared" ca="1" si="6"/>
        <v>1</v>
      </c>
      <c r="K34" s="19">
        <f t="shared" si="7"/>
        <v>0</v>
      </c>
      <c r="L34" s="21">
        <f t="shared" ca="1" si="8"/>
        <v>-2656.6314314805495</v>
      </c>
      <c r="M34" s="19">
        <f t="shared" ca="1" si="9"/>
        <v>0</v>
      </c>
      <c r="N34" s="21">
        <f t="shared" ca="1" si="10"/>
        <v>2656.6314314805495</v>
      </c>
      <c r="O34" s="19">
        <f t="shared" ca="1" si="4"/>
        <v>9</v>
      </c>
      <c r="P34" s="21">
        <f t="shared" ca="1" si="11"/>
        <v>27</v>
      </c>
      <c r="Q34" s="19">
        <f t="shared" ca="1" si="12"/>
        <v>45717.134133745843</v>
      </c>
      <c r="R34" s="12"/>
    </row>
    <row r="35" spans="3:18">
      <c r="C35" s="19">
        <v>33</v>
      </c>
      <c r="D35" s="20">
        <f t="shared" ca="1" si="0"/>
        <v>0.94089391323840577</v>
      </c>
      <c r="E35" s="19">
        <f t="shared" si="14"/>
        <v>347.31480000000005</v>
      </c>
      <c r="F35" s="21">
        <f t="shared" si="2"/>
        <v>30.216387600000001</v>
      </c>
      <c r="G35" s="19">
        <f t="shared" ca="1" si="3"/>
        <v>394.52252432392561</v>
      </c>
      <c r="H35" s="20">
        <f ca="1">IF(J34&gt;0,IF(H34&gt;0,H34,-1),IF(K35=0,IF(M35&lt;B4,B5-M35,-1),-1))</f>
        <v>1262.7072260811437</v>
      </c>
      <c r="I35" s="19">
        <f t="shared" ca="1" si="5"/>
        <v>0.10320120778428865</v>
      </c>
      <c r="J35" s="20">
        <f t="shared" ca="1" si="6"/>
        <v>0</v>
      </c>
      <c r="K35" s="19">
        <f t="shared" si="7"/>
        <v>1</v>
      </c>
      <c r="L35" s="21">
        <f t="shared" ca="1" si="8"/>
        <v>-1749.2869573099715</v>
      </c>
      <c r="M35" s="19">
        <f t="shared" ca="1" si="9"/>
        <v>0</v>
      </c>
      <c r="N35" s="21">
        <f t="shared" ca="1" si="10"/>
        <v>1749.2869573099715</v>
      </c>
      <c r="O35" s="19">
        <f t="shared" ca="1" si="4"/>
        <v>10</v>
      </c>
      <c r="P35" s="21">
        <f t="shared" ca="1" si="11"/>
        <v>28</v>
      </c>
      <c r="Q35" s="19">
        <f t="shared" ca="1" si="12"/>
        <v>47466.421091055818</v>
      </c>
      <c r="R35" s="12"/>
    </row>
    <row r="36" spans="3:18">
      <c r="C36" s="19">
        <v>34</v>
      </c>
      <c r="D36" s="20">
        <f t="shared" ca="1" si="0"/>
        <v>0.68486538841127642</v>
      </c>
      <c r="E36" s="19">
        <f t="shared" si="14"/>
        <v>347.31480000000005</v>
      </c>
      <c r="F36" s="21">
        <f t="shared" si="2"/>
        <v>30.216387600000001</v>
      </c>
      <c r="G36" s="19">
        <f t="shared" ca="1" si="3"/>
        <v>361.85939622811804</v>
      </c>
      <c r="H36" s="20">
        <f ca="1">IF(J35&gt;0,IF(H35&gt;0,H35,-1),IF(K36=0,IF(M36&lt;B4,B5-M36,-1),-1))</f>
        <v>1262.7072260811437</v>
      </c>
      <c r="I36" s="19">
        <f t="shared" ca="1" si="5"/>
        <v>0.18109529022089665</v>
      </c>
      <c r="J36" s="20">
        <f t="shared" ca="1" si="6"/>
        <v>1</v>
      </c>
      <c r="K36" s="19">
        <f t="shared" si="7"/>
        <v>0</v>
      </c>
      <c r="L36" s="21">
        <f t="shared" ca="1" si="8"/>
        <v>-2143.8094816338971</v>
      </c>
      <c r="M36" s="19">
        <f t="shared" ca="1" si="9"/>
        <v>0</v>
      </c>
      <c r="N36" s="21">
        <f t="shared" ca="1" si="10"/>
        <v>2143.8094816338971</v>
      </c>
      <c r="O36" s="19">
        <f t="shared" ref="O36:O52" ca="1" si="15">IF(J36=0,O35+1,O35)</f>
        <v>10</v>
      </c>
      <c r="P36" s="21">
        <f t="shared" ca="1" si="11"/>
        <v>29</v>
      </c>
      <c r="Q36" s="19">
        <f t="shared" ca="1" si="12"/>
        <v>49610.230572689718</v>
      </c>
      <c r="R36" s="12"/>
    </row>
    <row r="37" spans="3:18">
      <c r="C37" s="19">
        <v>35</v>
      </c>
      <c r="D37" s="20">
        <f t="shared" ca="1" si="0"/>
        <v>0.57684712028298835</v>
      </c>
      <c r="E37" s="19">
        <f t="shared" si="14"/>
        <v>347.31480000000005</v>
      </c>
      <c r="F37" s="21">
        <f t="shared" si="2"/>
        <v>30.216387600000001</v>
      </c>
      <c r="G37" s="19">
        <f t="shared" ca="1" si="3"/>
        <v>353.17176729814145</v>
      </c>
      <c r="H37" s="20">
        <f ca="1">IF(J36&gt;0,IF(H36&gt;0,H36,-1),IF(K37=0,IF(M37&lt;B4,B5-M37,-1),-1))</f>
        <v>1262.7072260811437</v>
      </c>
      <c r="I37" s="19">
        <f t="shared" ca="1" si="5"/>
        <v>0.18109529022089665</v>
      </c>
      <c r="J37" s="20">
        <f t="shared" ca="1" si="6"/>
        <v>0</v>
      </c>
      <c r="K37" s="19">
        <f t="shared" si="7"/>
        <v>1</v>
      </c>
      <c r="L37" s="21">
        <f t="shared" ca="1" si="8"/>
        <v>-1242.9616517808713</v>
      </c>
      <c r="M37" s="19">
        <f t="shared" ca="1" si="9"/>
        <v>0</v>
      </c>
      <c r="N37" s="21">
        <f t="shared" ca="1" si="10"/>
        <v>1242.9616517808713</v>
      </c>
      <c r="O37" s="19">
        <f t="shared" ca="1" si="15"/>
        <v>11</v>
      </c>
      <c r="P37" s="21">
        <f t="shared" ca="1" si="11"/>
        <v>30</v>
      </c>
      <c r="Q37" s="19">
        <f t="shared" ca="1" si="12"/>
        <v>50853.192224470586</v>
      </c>
      <c r="R37" s="12"/>
    </row>
    <row r="38" spans="3:18">
      <c r="C38" s="19">
        <v>36</v>
      </c>
      <c r="D38" s="20">
        <f t="shared" ca="1" si="0"/>
        <v>0.69744062225123826</v>
      </c>
      <c r="E38" s="19">
        <f t="shared" si="14"/>
        <v>347.31480000000005</v>
      </c>
      <c r="F38" s="21">
        <f t="shared" si="2"/>
        <v>30.216387600000001</v>
      </c>
      <c r="G38" s="19">
        <f t="shared" ca="1" si="3"/>
        <v>362.93829143744819</v>
      </c>
      <c r="H38" s="20">
        <f ca="1">IF(J37&gt;0,IF(H37&gt;0,H37,-1),IF(K38=0,IF(M38&lt;B4,B5-M38,-1),-1))</f>
        <v>1262.7072260811437</v>
      </c>
      <c r="I38" s="19">
        <f t="shared" ca="1" si="5"/>
        <v>0.3964022181532364</v>
      </c>
      <c r="J38" s="20">
        <f t="shared" ca="1" si="6"/>
        <v>1</v>
      </c>
      <c r="K38" s="19">
        <f t="shared" si="7"/>
        <v>0</v>
      </c>
      <c r="L38" s="21">
        <f t="shared" ca="1" si="8"/>
        <v>-1596.1334190790128</v>
      </c>
      <c r="M38" s="19">
        <f t="shared" ca="1" si="9"/>
        <v>0</v>
      </c>
      <c r="N38" s="21">
        <f t="shared" ca="1" si="10"/>
        <v>1596.1334190790128</v>
      </c>
      <c r="O38" s="19">
        <f t="shared" ca="1" si="15"/>
        <v>11</v>
      </c>
      <c r="P38" s="21">
        <f t="shared" ca="1" si="11"/>
        <v>31</v>
      </c>
      <c r="Q38" s="19">
        <f t="shared" ca="1" si="12"/>
        <v>52449.3256435496</v>
      </c>
      <c r="R38" s="12"/>
    </row>
    <row r="39" spans="3:18">
      <c r="C39" s="19">
        <v>37</v>
      </c>
      <c r="D39" s="20">
        <f t="shared" ca="1" si="0"/>
        <v>0.13128107494932972</v>
      </c>
      <c r="E39" s="19">
        <f t="shared" si="14"/>
        <v>347.31480000000005</v>
      </c>
      <c r="F39" s="21">
        <f t="shared" si="2"/>
        <v>30.216387600000001</v>
      </c>
      <c r="G39" s="19">
        <f t="shared" ca="1" si="3"/>
        <v>313.461693308961</v>
      </c>
      <c r="H39" s="20">
        <f ca="1">IF(J38&gt;0,IF(H38&gt;0,H38,-1),IF(K39=0,IF(M39&lt;B4,B5-M39,-1),-1))</f>
        <v>1262.7072260811437</v>
      </c>
      <c r="I39" s="19">
        <f t="shared" ca="1" si="5"/>
        <v>0.3964022181532364</v>
      </c>
      <c r="J39" s="20">
        <f t="shared" ca="1" si="6"/>
        <v>0</v>
      </c>
      <c r="K39" s="19">
        <f t="shared" si="7"/>
        <v>1</v>
      </c>
      <c r="L39" s="21">
        <f t="shared" ca="1" si="8"/>
        <v>-696.36448443531731</v>
      </c>
      <c r="M39" s="19">
        <f t="shared" ca="1" si="9"/>
        <v>0</v>
      </c>
      <c r="N39" s="21">
        <f t="shared" ca="1" si="10"/>
        <v>696.36448443531731</v>
      </c>
      <c r="O39" s="19">
        <f t="shared" ca="1" si="15"/>
        <v>12</v>
      </c>
      <c r="P39" s="21">
        <f t="shared" ca="1" si="11"/>
        <v>32</v>
      </c>
      <c r="Q39" s="19">
        <f t="shared" ca="1" si="12"/>
        <v>53145.690127984919</v>
      </c>
      <c r="R39" s="12"/>
    </row>
    <row r="40" spans="3:18">
      <c r="C40" s="19">
        <v>38</v>
      </c>
      <c r="D40" s="20">
        <f t="shared" ca="1" si="0"/>
        <v>0.78964802277767898</v>
      </c>
      <c r="E40" s="19">
        <f t="shared" si="14"/>
        <v>347.31480000000005</v>
      </c>
      <c r="F40" s="21">
        <f t="shared" si="2"/>
        <v>30.216387600000001</v>
      </c>
      <c r="G40" s="19">
        <f t="shared" ca="1" si="3"/>
        <v>371.64505216079482</v>
      </c>
      <c r="H40" s="20">
        <f ca="1">IF(J39&gt;0,IF(H39&gt;0,H39,-1),IF(K40=0,IF(M40&lt;B4,B5-M40,-1),-1))</f>
        <v>1262.7072260811437</v>
      </c>
      <c r="I40" s="19">
        <f t="shared" ca="1" si="5"/>
        <v>0.63322848737368642</v>
      </c>
      <c r="J40" s="20">
        <f t="shared" ca="1" si="6"/>
        <v>2</v>
      </c>
      <c r="K40" s="19">
        <f t="shared" si="7"/>
        <v>0</v>
      </c>
      <c r="L40" s="21">
        <f t="shared" ca="1" si="8"/>
        <v>-1009.8261777442783</v>
      </c>
      <c r="M40" s="19">
        <f t="shared" ca="1" si="9"/>
        <v>0</v>
      </c>
      <c r="N40" s="21">
        <f t="shared" ca="1" si="10"/>
        <v>1009.8261777442783</v>
      </c>
      <c r="O40" s="19">
        <f t="shared" ca="1" si="15"/>
        <v>12</v>
      </c>
      <c r="P40" s="21">
        <f t="shared" ca="1" si="11"/>
        <v>33</v>
      </c>
      <c r="Q40" s="19">
        <f t="shared" ca="1" si="12"/>
        <v>54155.516305729194</v>
      </c>
      <c r="R40" s="12"/>
    </row>
    <row r="41" spans="3:18">
      <c r="C41" s="19">
        <v>39</v>
      </c>
      <c r="D41" s="20">
        <f t="shared" ca="1" si="0"/>
        <v>0.88630547576397745</v>
      </c>
      <c r="E41" s="19">
        <f t="shared" si="14"/>
        <v>347.31480000000005</v>
      </c>
      <c r="F41" s="21">
        <f t="shared" si="2"/>
        <v>30.216387600000001</v>
      </c>
      <c r="G41" s="19">
        <f t="shared" ca="1" si="3"/>
        <v>383.78936137282176</v>
      </c>
      <c r="H41" s="20">
        <f ca="1">IF(J40&gt;0,IF(H40&gt;0,H40,-1),IF(K41=0,IF(M41&lt;B4,B5-M41,-1),-1))</f>
        <v>1262.7072260811437</v>
      </c>
      <c r="I41" s="19">
        <f t="shared" ca="1" si="5"/>
        <v>0.63322848737368642</v>
      </c>
      <c r="J41" s="20">
        <f t="shared" ca="1" si="6"/>
        <v>1</v>
      </c>
      <c r="K41" s="19">
        <f t="shared" si="7"/>
        <v>1</v>
      </c>
      <c r="L41" s="21">
        <f t="shared" ca="1" si="8"/>
        <v>-1381.4712299050732</v>
      </c>
      <c r="M41" s="19">
        <f t="shared" ca="1" si="9"/>
        <v>0</v>
      </c>
      <c r="N41" s="21">
        <f t="shared" ca="1" si="10"/>
        <v>1381.4712299050732</v>
      </c>
      <c r="O41" s="19">
        <f t="shared" ca="1" si="15"/>
        <v>12</v>
      </c>
      <c r="P41" s="21">
        <f t="shared" ca="1" si="11"/>
        <v>34</v>
      </c>
      <c r="Q41" s="19">
        <f t="shared" ca="1" si="12"/>
        <v>55536.987535634267</v>
      </c>
      <c r="R41" s="12"/>
    </row>
    <row r="42" spans="3:18">
      <c r="C42" s="19">
        <v>40</v>
      </c>
      <c r="D42" s="20">
        <f t="shared" ca="1" si="0"/>
        <v>0.4857490727497572</v>
      </c>
      <c r="E42" s="19">
        <f t="shared" si="14"/>
        <v>347.31480000000005</v>
      </c>
      <c r="F42" s="21">
        <f t="shared" si="2"/>
        <v>30.216387600000001</v>
      </c>
      <c r="G42" s="19">
        <f t="shared" ca="1" si="3"/>
        <v>346.23518727527221</v>
      </c>
      <c r="H42" s="20">
        <f ca="1">IF(J41&gt;0,IF(H41&gt;0,H41,-1),IF(K42=0,IF(M42&lt;B4,B5-M42,-1),-1))</f>
        <v>1262.7072260811437</v>
      </c>
      <c r="I42" s="19">
        <f t="shared" ca="1" si="5"/>
        <v>0.63322848737368642</v>
      </c>
      <c r="J42" s="20">
        <f t="shared" ca="1" si="6"/>
        <v>0</v>
      </c>
      <c r="K42" s="19">
        <f t="shared" si="7"/>
        <v>0</v>
      </c>
      <c r="L42" s="21">
        <f t="shared" ca="1" si="8"/>
        <v>-502.5533651967512</v>
      </c>
      <c r="M42" s="19">
        <f t="shared" ca="1" si="9"/>
        <v>0</v>
      </c>
      <c r="N42" s="21">
        <f t="shared" ca="1" si="10"/>
        <v>502.5533651967512</v>
      </c>
      <c r="O42" s="19">
        <f t="shared" ca="1" si="15"/>
        <v>13</v>
      </c>
      <c r="P42" s="21">
        <f t="shared" ca="1" si="11"/>
        <v>35</v>
      </c>
      <c r="Q42" s="19">
        <f t="shared" ca="1" si="12"/>
        <v>56039.540900831016</v>
      </c>
      <c r="R42" s="12"/>
    </row>
    <row r="43" spans="3:18">
      <c r="C43" s="19">
        <v>41</v>
      </c>
      <c r="D43" s="20">
        <f t="shared" ca="1" si="0"/>
        <v>0.26892101641733046</v>
      </c>
      <c r="E43" s="19">
        <f t="shared" si="14"/>
        <v>347.31480000000005</v>
      </c>
      <c r="F43" s="21">
        <f t="shared" si="2"/>
        <v>30.216387600000001</v>
      </c>
      <c r="G43" s="19">
        <f t="shared" ca="1" si="3"/>
        <v>328.69910219086637</v>
      </c>
      <c r="H43" s="20">
        <f ca="1">IF(J42&gt;0,IF(H42&gt;0,H42,-1),IF(K43=0,IF(M43&lt;B4,B5-M43,-1),-1))</f>
        <v>-1</v>
      </c>
      <c r="I43" s="19">
        <f t="shared" ca="1" si="5"/>
        <v>-1</v>
      </c>
      <c r="J43" s="20">
        <f t="shared" ca="1" si="6"/>
        <v>-1</v>
      </c>
      <c r="K43" s="19">
        <f t="shared" si="7"/>
        <v>1</v>
      </c>
      <c r="L43" s="21">
        <f t="shared" ca="1" si="8"/>
        <v>-848.78855247202341</v>
      </c>
      <c r="M43" s="19">
        <f t="shared" ca="1" si="9"/>
        <v>0</v>
      </c>
      <c r="N43" s="21">
        <f t="shared" ca="1" si="10"/>
        <v>848.78855247202341</v>
      </c>
      <c r="O43" s="19">
        <f t="shared" ca="1" si="15"/>
        <v>13</v>
      </c>
      <c r="P43" s="21">
        <f t="shared" ca="1" si="11"/>
        <v>36</v>
      </c>
      <c r="Q43" s="19">
        <f t="shared" ca="1" si="12"/>
        <v>56888.329453303042</v>
      </c>
      <c r="R43" s="12"/>
    </row>
    <row r="44" spans="3:18">
      <c r="C44" s="19">
        <v>42</v>
      </c>
      <c r="D44" s="20">
        <f t="shared" ca="1" si="0"/>
        <v>0.44966173581653635</v>
      </c>
      <c r="E44" s="19">
        <f t="shared" si="14"/>
        <v>347.31480000000005</v>
      </c>
      <c r="F44" s="21">
        <f t="shared" si="2"/>
        <v>30.216387600000001</v>
      </c>
      <c r="G44" s="19">
        <f t="shared" ca="1" si="3"/>
        <v>343.49194300976558</v>
      </c>
      <c r="H44" s="20">
        <f ca="1">IF(J43&gt;0,IF(H43&gt;0,H43,-1),IF(K44=0,IF(M44&lt;B4,B5-M44,-1),-1))</f>
        <v>1262.7072260811437</v>
      </c>
      <c r="I44" s="19">
        <f t="shared" ca="1" si="5"/>
        <v>0.35055608969645602</v>
      </c>
      <c r="J44" s="20">
        <f t="shared" ca="1" si="6"/>
        <v>1</v>
      </c>
      <c r="K44" s="19">
        <f t="shared" si="7"/>
        <v>0</v>
      </c>
      <c r="L44" s="21">
        <f t="shared" ca="1" si="8"/>
        <v>-1177.4876546628898</v>
      </c>
      <c r="M44" s="19">
        <f t="shared" ca="1" si="9"/>
        <v>0</v>
      </c>
      <c r="N44" s="21">
        <f t="shared" ca="1" si="10"/>
        <v>1177.4876546628898</v>
      </c>
      <c r="O44" s="19">
        <f t="shared" ca="1" si="15"/>
        <v>13</v>
      </c>
      <c r="P44" s="21">
        <f t="shared" ca="1" si="11"/>
        <v>37</v>
      </c>
      <c r="Q44" s="19">
        <f t="shared" ca="1" si="12"/>
        <v>58065.81710796593</v>
      </c>
      <c r="R44" s="12"/>
    </row>
    <row r="45" spans="3:18">
      <c r="C45" s="19">
        <v>43</v>
      </c>
      <c r="D45" s="20">
        <f t="shared" ca="1" si="0"/>
        <v>0.29314468965608509</v>
      </c>
      <c r="E45" s="19">
        <f t="shared" si="14"/>
        <v>347.31480000000005</v>
      </c>
      <c r="F45" s="21">
        <f t="shared" si="2"/>
        <v>30.216387600000001</v>
      </c>
      <c r="G45" s="19">
        <f t="shared" ca="1" si="3"/>
        <v>330.87040630564934</v>
      </c>
      <c r="H45" s="20">
        <f ca="1">IF(J44&gt;0,IF(H44&gt;0,H44,-1),IF(K45=0,IF(M45&lt;B4,B5-M45,-1),-1))</f>
        <v>1262.7072260811437</v>
      </c>
      <c r="I45" s="19">
        <f t="shared" ca="1" si="5"/>
        <v>0.35055608969645602</v>
      </c>
      <c r="J45" s="20">
        <f t="shared" ca="1" si="6"/>
        <v>0</v>
      </c>
      <c r="K45" s="19">
        <f t="shared" si="7"/>
        <v>1</v>
      </c>
      <c r="L45" s="21">
        <f t="shared" ca="1" si="8"/>
        <v>-258.27237159151161</v>
      </c>
      <c r="M45" s="19">
        <f t="shared" ca="1" si="9"/>
        <v>0</v>
      </c>
      <c r="N45" s="21">
        <f t="shared" ca="1" si="10"/>
        <v>258.27237159151161</v>
      </c>
      <c r="O45" s="19">
        <f t="shared" ca="1" si="15"/>
        <v>14</v>
      </c>
      <c r="P45" s="21">
        <f t="shared" ca="1" si="11"/>
        <v>38</v>
      </c>
      <c r="Q45" s="19">
        <f t="shared" ca="1" si="12"/>
        <v>58324.089479557442</v>
      </c>
      <c r="R45" s="12"/>
    </row>
    <row r="46" spans="3:18">
      <c r="C46" s="19">
        <v>44</v>
      </c>
      <c r="D46" s="20">
        <f t="shared" ca="1" si="0"/>
        <v>0.53696838519170864</v>
      </c>
      <c r="E46" s="19">
        <f t="shared" si="14"/>
        <v>347.31480000000005</v>
      </c>
      <c r="F46" s="21">
        <f t="shared" si="2"/>
        <v>30.216387600000001</v>
      </c>
      <c r="G46" s="19">
        <f t="shared" ca="1" si="3"/>
        <v>350.11885115580094</v>
      </c>
      <c r="H46" s="20">
        <f ca="1">IF(J45&gt;0,IF(H45&gt;0,H45,-1),IF(K46=0,IF(M46&lt;B4,B5-M46,-1),-1))</f>
        <v>1262.7072260811437</v>
      </c>
      <c r="I46" s="19">
        <f t="shared" ca="1" si="5"/>
        <v>0.44155625618266092</v>
      </c>
      <c r="J46" s="20">
        <f t="shared" ca="1" si="6"/>
        <v>1</v>
      </c>
      <c r="K46" s="19">
        <f t="shared" si="7"/>
        <v>0</v>
      </c>
      <c r="L46" s="21">
        <f t="shared" ca="1" si="8"/>
        <v>-589.14277789716095</v>
      </c>
      <c r="M46" s="19">
        <f t="shared" ca="1" si="9"/>
        <v>0</v>
      </c>
      <c r="N46" s="21">
        <f t="shared" ca="1" si="10"/>
        <v>589.14277789716095</v>
      </c>
      <c r="O46" s="19">
        <f t="shared" ca="1" si="15"/>
        <v>14</v>
      </c>
      <c r="P46" s="21">
        <f t="shared" ca="1" si="11"/>
        <v>39</v>
      </c>
      <c r="Q46" s="19">
        <f t="shared" ca="1" si="12"/>
        <v>58913.232257454605</v>
      </c>
      <c r="R46" s="12"/>
    </row>
    <row r="47" spans="3:18">
      <c r="C47" s="19">
        <v>45</v>
      </c>
      <c r="D47" s="20">
        <f t="shared" ca="1" si="0"/>
        <v>0.50978490337682403</v>
      </c>
      <c r="E47" s="19">
        <f t="shared" si="14"/>
        <v>347.31480000000005</v>
      </c>
      <c r="F47" s="21">
        <f t="shared" si="2"/>
        <v>30.216387600000001</v>
      </c>
      <c r="G47" s="19">
        <f t="shared" ca="1" si="3"/>
        <v>348.05599515053694</v>
      </c>
      <c r="H47" s="20">
        <f ca="1">IF(J46&gt;0,IF(H46&gt;0,H46,-1),IF(K47=0,IF(M47&lt;B4,B5-M47,-1),-1))</f>
        <v>1262.7072260811437</v>
      </c>
      <c r="I47" s="19">
        <f t="shared" ca="1" si="5"/>
        <v>0.44155625618266092</v>
      </c>
      <c r="J47" s="20">
        <f t="shared" ca="1" si="6"/>
        <v>0</v>
      </c>
      <c r="K47" s="19">
        <f t="shared" si="7"/>
        <v>1</v>
      </c>
      <c r="L47" s="21">
        <f t="shared" ca="1" si="8"/>
        <v>323.44559702818185</v>
      </c>
      <c r="M47" s="19">
        <f t="shared" ca="1" si="9"/>
        <v>323.44559702818185</v>
      </c>
      <c r="N47" s="21">
        <f t="shared" ca="1" si="10"/>
        <v>0</v>
      </c>
      <c r="O47" s="19">
        <f t="shared" ca="1" si="15"/>
        <v>15</v>
      </c>
      <c r="P47" s="21">
        <f t="shared" ca="1" si="11"/>
        <v>39</v>
      </c>
      <c r="Q47" s="19">
        <f t="shared" ca="1" si="12"/>
        <v>58913.232257454605</v>
      </c>
      <c r="R47" s="12"/>
    </row>
    <row r="48" spans="3:18">
      <c r="C48" s="19">
        <v>46</v>
      </c>
      <c r="D48" s="20">
        <f t="shared" ca="1" si="0"/>
        <v>0.59807252157129454</v>
      </c>
      <c r="E48" s="19">
        <f t="shared" si="14"/>
        <v>347.31480000000005</v>
      </c>
      <c r="F48" s="21">
        <f t="shared" si="2"/>
        <v>30.216387600000001</v>
      </c>
      <c r="G48" s="19">
        <f t="shared" ca="1" si="3"/>
        <v>354.81937806058374</v>
      </c>
      <c r="H48" s="20">
        <f ca="1">IF(J47&gt;0,IF(H47&gt;0,H47,-1),IF(K48=0,IF(M48&lt;B4,B5-M48,-1),-1))</f>
        <v>1262.7072260811437</v>
      </c>
      <c r="I48" s="19">
        <f t="shared" ca="1" si="5"/>
        <v>0.6528832786416281</v>
      </c>
      <c r="J48" s="20">
        <f t="shared" ca="1" si="6"/>
        <v>2</v>
      </c>
      <c r="K48" s="19">
        <f t="shared" si="7"/>
        <v>0</v>
      </c>
      <c r="L48" s="21">
        <f t="shared" ca="1" si="8"/>
        <v>-24.610398122355093</v>
      </c>
      <c r="M48" s="19">
        <f t="shared" ca="1" si="9"/>
        <v>0</v>
      </c>
      <c r="N48" s="21">
        <f t="shared" ca="1" si="10"/>
        <v>24.610398122355093</v>
      </c>
      <c r="O48" s="19">
        <f t="shared" ca="1" si="15"/>
        <v>15</v>
      </c>
      <c r="P48" s="21">
        <f t="shared" ca="1" si="11"/>
        <v>40</v>
      </c>
      <c r="Q48" s="19">
        <f t="shared" ca="1" si="12"/>
        <v>58937.842655576962</v>
      </c>
      <c r="R48" s="12"/>
    </row>
    <row r="49" spans="3:18">
      <c r="C49" s="19">
        <v>47</v>
      </c>
      <c r="D49" s="20">
        <f t="shared" ca="1" si="0"/>
        <v>0.85479755349223818</v>
      </c>
      <c r="E49" s="19">
        <f t="shared" si="14"/>
        <v>347.31480000000005</v>
      </c>
      <c r="F49" s="21">
        <f t="shared" si="2"/>
        <v>30.216387600000001</v>
      </c>
      <c r="G49" s="19">
        <f t="shared" ca="1" si="3"/>
        <v>379.26058658285405</v>
      </c>
      <c r="H49" s="20">
        <f ca="1">IF(J48&gt;0,IF(H48&gt;0,H48,-1),IF(K49=0,IF(M49&lt;B4,B5-M49,-1),-1))</f>
        <v>1262.7072260811437</v>
      </c>
      <c r="I49" s="19">
        <f t="shared" ca="1" si="5"/>
        <v>0.6528832786416281</v>
      </c>
      <c r="J49" s="20">
        <f t="shared" ca="1" si="6"/>
        <v>1</v>
      </c>
      <c r="K49" s="19">
        <f t="shared" si="7"/>
        <v>1</v>
      </c>
      <c r="L49" s="21">
        <f t="shared" ca="1" si="8"/>
        <v>-379.42977618293884</v>
      </c>
      <c r="M49" s="19">
        <f t="shared" ca="1" si="9"/>
        <v>0</v>
      </c>
      <c r="N49" s="21">
        <f t="shared" ca="1" si="10"/>
        <v>379.42977618293884</v>
      </c>
      <c r="O49" s="19">
        <f t="shared" ca="1" si="15"/>
        <v>15</v>
      </c>
      <c r="P49" s="21">
        <f ca="1">IF(M49=0,P48+1,P48)</f>
        <v>41</v>
      </c>
      <c r="Q49" s="19">
        <f t="shared" ca="1" si="12"/>
        <v>59317.272431759899</v>
      </c>
      <c r="R49" s="12"/>
    </row>
    <row r="50" spans="3:18">
      <c r="C50" s="19">
        <v>48</v>
      </c>
      <c r="D50" s="20">
        <f t="shared" ca="1" si="0"/>
        <v>0.97136053342908191</v>
      </c>
      <c r="E50" s="19">
        <f t="shared" si="14"/>
        <v>347.31480000000005</v>
      </c>
      <c r="F50" s="21">
        <f t="shared" si="2"/>
        <v>30.216387600000001</v>
      </c>
      <c r="G50" s="19">
        <f t="shared" ca="1" si="3"/>
        <v>404.76147793099932</v>
      </c>
      <c r="H50" s="20">
        <f ca="1">IF(J49&gt;0,IF(H49&gt;0,H49,-1),IF(K50=0,IF(M50&lt;B4,B5-M50,-1),-1))</f>
        <v>1262.7072260811437</v>
      </c>
      <c r="I50" s="19">
        <f t="shared" ca="1" si="5"/>
        <v>0.6528832786416281</v>
      </c>
      <c r="J50" s="20">
        <f t="shared" ca="1" si="6"/>
        <v>0</v>
      </c>
      <c r="K50" s="19">
        <f t="shared" si="7"/>
        <v>0</v>
      </c>
      <c r="L50" s="21">
        <f t="shared" ca="1" si="8"/>
        <v>504.0168633153508</v>
      </c>
      <c r="M50" s="19">
        <f t="shared" ca="1" si="9"/>
        <v>504.0168633153508</v>
      </c>
      <c r="N50" s="21">
        <f t="shared" ca="1" si="10"/>
        <v>0</v>
      </c>
      <c r="O50" s="19">
        <f t="shared" ca="1" si="15"/>
        <v>16</v>
      </c>
      <c r="P50" s="21">
        <f ca="1">IF(M50=0,P49+1,P49)</f>
        <v>41</v>
      </c>
      <c r="Q50" s="19">
        <f t="shared" ca="1" si="12"/>
        <v>59317.272431759899</v>
      </c>
      <c r="R50" s="12"/>
    </row>
    <row r="51" spans="3:18">
      <c r="C51" s="19">
        <v>49</v>
      </c>
      <c r="D51" s="20">
        <f t="shared" ca="1" si="0"/>
        <v>5.481134540390542E-2</v>
      </c>
      <c r="E51" s="19">
        <f t="shared" si="14"/>
        <v>347.31480000000005</v>
      </c>
      <c r="F51" s="21">
        <f t="shared" si="2"/>
        <v>30.216387600000001</v>
      </c>
      <c r="G51" s="19">
        <f t="shared" ca="1" si="3"/>
        <v>298.97186315232278</v>
      </c>
      <c r="H51" s="20">
        <f ca="1">IF(J50&gt;0,IF(H50&gt;0,H50,-1),IF(K51=0,IF(M51&lt;B4,B5-M51,-1),-1))</f>
        <v>-1</v>
      </c>
      <c r="I51" s="19">
        <f t="shared" ca="1" si="5"/>
        <v>-1</v>
      </c>
      <c r="J51" s="20">
        <f t="shared" ca="1" si="6"/>
        <v>-1</v>
      </c>
      <c r="K51" s="19">
        <f t="shared" si="7"/>
        <v>1</v>
      </c>
      <c r="L51" s="21">
        <f t="shared" ca="1" si="8"/>
        <v>99.255385384351484</v>
      </c>
      <c r="M51" s="19">
        <f t="shared" ca="1" si="9"/>
        <v>99.255385384351484</v>
      </c>
      <c r="N51" s="21">
        <f t="shared" ca="1" si="10"/>
        <v>0</v>
      </c>
      <c r="O51" s="19">
        <f t="shared" ca="1" si="15"/>
        <v>16</v>
      </c>
      <c r="P51" s="21">
        <f ca="1">IF(M51=0,P50+1,P50)</f>
        <v>41</v>
      </c>
      <c r="Q51" s="19">
        <f t="shared" ca="1" si="12"/>
        <v>59317.272431759899</v>
      </c>
      <c r="R51" s="12"/>
    </row>
    <row r="52" spans="3:18">
      <c r="C52" s="19">
        <v>50</v>
      </c>
      <c r="D52" s="20">
        <f t="shared" ca="1" si="0"/>
        <v>0.60993363896103725</v>
      </c>
      <c r="E52" s="19">
        <f t="shared" si="14"/>
        <v>347.31480000000005</v>
      </c>
      <c r="F52" s="21">
        <f t="shared" si="2"/>
        <v>30.216387600000001</v>
      </c>
      <c r="G52" s="19">
        <f t="shared" ca="1" si="3"/>
        <v>355.74958611990547</v>
      </c>
      <c r="H52" s="20">
        <f ca="1">IF(J51&gt;0,IF(H51&gt;0,H51,-1),IF(K52=0,IF(M52&lt;B4,B5-M52,-1),-1))</f>
        <v>1262.7072260811437</v>
      </c>
      <c r="I52" s="19">
        <f t="shared" ca="1" si="5"/>
        <v>0.74855621115711279</v>
      </c>
      <c r="J52" s="20">
        <f t="shared" ca="1" si="6"/>
        <v>2</v>
      </c>
      <c r="K52" s="19">
        <f t="shared" si="7"/>
        <v>0</v>
      </c>
      <c r="L52" s="21">
        <f t="shared" ca="1" si="8"/>
        <v>-199.7164777679713</v>
      </c>
      <c r="M52" s="19">
        <f t="shared" ca="1" si="9"/>
        <v>0</v>
      </c>
      <c r="N52" s="21">
        <f t="shared" ca="1" si="10"/>
        <v>199.7164777679713</v>
      </c>
      <c r="O52" s="19">
        <f t="shared" ca="1" si="15"/>
        <v>16</v>
      </c>
      <c r="P52" s="21">
        <f t="shared" ca="1" si="11"/>
        <v>42</v>
      </c>
      <c r="Q52" s="19">
        <f t="shared" ca="1" si="12"/>
        <v>59516.98890952787</v>
      </c>
      <c r="R52" s="12"/>
    </row>
    <row r="55" spans="3:18">
      <c r="F55" s="12"/>
      <c r="K55" s="24" t="s">
        <v>89</v>
      </c>
      <c r="L55" s="24"/>
      <c r="M55" s="8">
        <f ca="1">SUM(M3:M52)</f>
        <v>4386.2778276040954</v>
      </c>
    </row>
    <row r="56" spans="3:18">
      <c r="F56" s="12"/>
      <c r="K56" s="24" t="s">
        <v>82</v>
      </c>
      <c r="L56" s="24"/>
      <c r="M56" s="8">
        <f ca="1">AVERAGE(M3:M52)</f>
        <v>87.725556552081912</v>
      </c>
    </row>
    <row r="57" spans="3:18">
      <c r="F57" s="12"/>
      <c r="K57" s="24" t="s">
        <v>76</v>
      </c>
      <c r="L57" s="24"/>
      <c r="M57" s="8">
        <f ca="1">SUM(M60:M62)+SUM(G3:G52)*B12</f>
        <v>3807473.1619353867</v>
      </c>
    </row>
    <row r="58" spans="3:18">
      <c r="F58" s="12"/>
      <c r="K58" s="24" t="s">
        <v>65</v>
      </c>
      <c r="L58" s="24"/>
      <c r="M58" s="8">
        <f ca="1">B11*SUM(G3:G52)</f>
        <v>2642578.6688720789</v>
      </c>
    </row>
    <row r="59" spans="3:18">
      <c r="F59" s="22"/>
      <c r="K59" s="24" t="s">
        <v>59</v>
      </c>
      <c r="L59" s="24"/>
      <c r="M59" s="8">
        <f ca="1">M58-M57</f>
        <v>-1164894.4930633078</v>
      </c>
    </row>
    <row r="60" spans="3:18">
      <c r="K60" s="24" t="s">
        <v>78</v>
      </c>
      <c r="L60" s="24"/>
      <c r="M60" s="8">
        <f ca="1">O52*B9</f>
        <v>14400</v>
      </c>
    </row>
    <row r="61" spans="3:18">
      <c r="K61" s="24" t="s">
        <v>79</v>
      </c>
      <c r="L61" s="24"/>
      <c r="M61" s="8">
        <f ca="1">Q52*B8</f>
        <v>1666475.6894667803</v>
      </c>
    </row>
    <row r="62" spans="3:18">
      <c r="K62" s="24" t="s">
        <v>80</v>
      </c>
      <c r="L62" s="24"/>
      <c r="M62" s="8">
        <f ca="1">SUM(M3:M52)*B7</f>
        <v>1523.7929173096627</v>
      </c>
    </row>
    <row r="66" spans="13:14">
      <c r="N66" t="s">
        <v>85</v>
      </c>
    </row>
    <row r="72" spans="13:14">
      <c r="M72" t="s">
        <v>86</v>
      </c>
    </row>
    <row r="76" spans="13:14">
      <c r="N7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Folha1</vt:lpstr>
      <vt:lpstr>Folha2</vt:lpstr>
      <vt:lpstr>Folha3</vt:lpstr>
      <vt:lpstr>Folha4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2019-04-23T13:37:25Z</dcterms:created>
  <dcterms:modified xsi:type="dcterms:W3CDTF">2019-05-11T19:18:45Z</dcterms:modified>
</cp:coreProperties>
</file>