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\Downloads\Telegram Desktop\"/>
    </mc:Choice>
  </mc:AlternateContent>
  <xr:revisionPtr revIDLastSave="0" documentId="13_ncr:1_{FBC2E6DE-6CB5-47C1-919A-F29484F552EF}" xr6:coauthVersionLast="37" xr6:coauthVersionMax="47" xr10:uidLastSave="{00000000-0000-0000-0000-000000000000}"/>
  <bookViews>
    <workbookView xWindow="0" yWindow="0" windowWidth="23040" windowHeight="9060" activeTab="1" xr2:uid="{00000000-000D-0000-FFFF-FFFF00000000}"/>
  </bookViews>
  <sheets>
    <sheet name="Information" sheetId="11" r:id="rId1"/>
    <sheet name="Correl_regression" sheetId="6" r:id="rId2"/>
    <sheet name="Chi^2_test" sheetId="8" r:id="rId3"/>
    <sheet name="Fisher" sheetId="9" r:id="rId4"/>
    <sheet name="Distribution" sheetId="10" r:id="rId5"/>
    <sheet name="HT" sheetId="15" r:id="rId6"/>
    <sheet name="Proba" sheetId="13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0" l="1"/>
  <c r="K17" i="13"/>
  <c r="L15" i="13"/>
  <c r="L12" i="13"/>
  <c r="K11" i="13"/>
  <c r="C24" i="13"/>
  <c r="C21" i="13"/>
  <c r="C23" i="13"/>
  <c r="D14" i="13"/>
  <c r="D13" i="13"/>
  <c r="D12" i="13"/>
  <c r="D11" i="13"/>
  <c r="G8" i="13"/>
  <c r="F8" i="13"/>
  <c r="E8" i="13"/>
  <c r="L39" i="9"/>
  <c r="D8" i="13"/>
  <c r="G9" i="13"/>
  <c r="E37" i="15"/>
  <c r="E36" i="15"/>
  <c r="F35" i="15"/>
  <c r="E33" i="15"/>
  <c r="F32" i="15"/>
  <c r="E27" i="15"/>
  <c r="F25" i="15"/>
  <c r="E24" i="15"/>
  <c r="H23" i="15"/>
  <c r="S59" i="6"/>
  <c r="D29" i="10"/>
  <c r="D30" i="10"/>
  <c r="D31" i="10"/>
  <c r="D32" i="10"/>
  <c r="D33" i="10"/>
  <c r="D34" i="10"/>
  <c r="D35" i="10"/>
  <c r="D36" i="10"/>
  <c r="D37" i="10"/>
  <c r="D28" i="10"/>
  <c r="O18" i="10"/>
  <c r="K16" i="10"/>
  <c r="F17" i="10"/>
  <c r="J9" i="10"/>
  <c r="J10" i="10"/>
  <c r="J11" i="10"/>
  <c r="J12" i="10"/>
  <c r="J13" i="10"/>
  <c r="J14" i="10"/>
  <c r="J15" i="10"/>
  <c r="J8" i="10"/>
  <c r="I8" i="10"/>
  <c r="I10" i="10"/>
  <c r="I11" i="10"/>
  <c r="I14" i="10"/>
  <c r="I15" i="10"/>
  <c r="I16" i="10"/>
  <c r="H8" i="10"/>
  <c r="H9" i="10"/>
  <c r="I9" i="10"/>
  <c r="H10" i="10"/>
  <c r="H11" i="10"/>
  <c r="H12" i="10"/>
  <c r="I12" i="10"/>
  <c r="H13" i="10"/>
  <c r="I13" i="10"/>
  <c r="H14" i="10"/>
  <c r="H15" i="10"/>
  <c r="H16" i="10"/>
  <c r="H7" i="10"/>
  <c r="I7" i="10"/>
  <c r="G9" i="10"/>
  <c r="G10" i="10"/>
  <c r="G11" i="10"/>
  <c r="G12" i="10"/>
  <c r="G13" i="10"/>
  <c r="G14" i="10"/>
  <c r="G15" i="10"/>
  <c r="G16" i="10"/>
  <c r="G8" i="10"/>
  <c r="G7" i="10"/>
  <c r="N39" i="9"/>
  <c r="E29" i="10"/>
  <c r="E28" i="10"/>
  <c r="F28" i="10"/>
  <c r="E36" i="10"/>
  <c r="I17" i="10"/>
  <c r="E35" i="10"/>
  <c r="E34" i="10"/>
  <c r="F19" i="10"/>
  <c r="E33" i="10"/>
  <c r="H17" i="10"/>
  <c r="E32" i="10"/>
  <c r="E31" i="10"/>
  <c r="E30" i="10"/>
  <c r="E37" i="10"/>
  <c r="N59" i="8"/>
  <c r="H66" i="8"/>
  <c r="H63" i="8"/>
  <c r="F29" i="10"/>
  <c r="F30" i="10"/>
  <c r="F31" i="10"/>
  <c r="F32" i="10"/>
  <c r="F33" i="10"/>
  <c r="F34" i="10"/>
  <c r="F35" i="10"/>
  <c r="F36" i="10"/>
  <c r="F37" i="10"/>
  <c r="F20" i="10"/>
  <c r="K13" i="10"/>
  <c r="I56" i="8"/>
  <c r="I53" i="8"/>
  <c r="I52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I46" i="8"/>
  <c r="J46" i="8"/>
  <c r="K46" i="8"/>
  <c r="H46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I37" i="8"/>
  <c r="J37" i="8"/>
  <c r="K37" i="8"/>
  <c r="H37" i="8"/>
  <c r="L26" i="8"/>
  <c r="L27" i="8"/>
  <c r="L28" i="8"/>
  <c r="L29" i="8"/>
  <c r="L25" i="8"/>
  <c r="I30" i="8"/>
  <c r="L30" i="8"/>
  <c r="J30" i="8"/>
  <c r="K30" i="8"/>
  <c r="H30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I25" i="8"/>
  <c r="J25" i="8"/>
  <c r="K25" i="8"/>
  <c r="H25" i="8"/>
  <c r="K15" i="8"/>
  <c r="L15" i="8"/>
  <c r="L11" i="8"/>
  <c r="L12" i="8"/>
  <c r="L13" i="8"/>
  <c r="L14" i="8"/>
  <c r="L10" i="8"/>
  <c r="I15" i="8"/>
  <c r="J15" i="8"/>
  <c r="H15" i="8"/>
  <c r="Q59" i="6"/>
  <c r="V56" i="6"/>
  <c r="T58" i="6"/>
  <c r="S55" i="6"/>
  <c r="Q56" i="6"/>
  <c r="Q51" i="6"/>
  <c r="Q50" i="6"/>
  <c r="Q49" i="6"/>
  <c r="O34" i="6"/>
  <c r="N34" i="6"/>
  <c r="T32" i="6"/>
  <c r="T31" i="6"/>
  <c r="K10" i="10"/>
  <c r="K8" i="10"/>
  <c r="K11" i="10"/>
  <c r="K9" i="10"/>
  <c r="K12" i="10"/>
  <c r="M13" i="10"/>
  <c r="N13" i="10"/>
  <c r="O13" i="10"/>
  <c r="K14" i="10"/>
  <c r="M14" i="10"/>
  <c r="N14" i="10"/>
  <c r="O14" i="10"/>
  <c r="K7" i="10"/>
  <c r="M7" i="10"/>
  <c r="N7" i="10"/>
  <c r="O7" i="10"/>
  <c r="K15" i="10"/>
  <c r="M11" i="10"/>
  <c r="N11" i="10"/>
  <c r="O11" i="10"/>
  <c r="M15" i="10"/>
  <c r="N15" i="10"/>
  <c r="O15" i="10"/>
  <c r="M8" i="10"/>
  <c r="N8" i="10"/>
  <c r="O8" i="10"/>
  <c r="M10" i="10"/>
  <c r="N10" i="10"/>
  <c r="O10" i="10"/>
  <c r="M9" i="10"/>
  <c r="N9" i="10"/>
  <c r="O9" i="10"/>
  <c r="M12" i="10"/>
  <c r="N12" i="10"/>
  <c r="O12" i="10"/>
  <c r="O17" i="10"/>
</calcChain>
</file>

<file path=xl/sharedStrings.xml><?xml version="1.0" encoding="utf-8"?>
<sst xmlns="http://schemas.openxmlformats.org/spreadsheetml/2006/main" count="259" uniqueCount="217">
  <si>
    <t>Y</t>
  </si>
  <si>
    <t>X</t>
  </si>
  <si>
    <t xml:space="preserve">                         X </t>
  </si>
  <si>
    <t xml:space="preserve"> Y</t>
  </si>
  <si>
    <t>Local TV</t>
  </si>
  <si>
    <t>National TV</t>
  </si>
  <si>
    <t>Radio</t>
  </si>
  <si>
    <t>Local newspaper</t>
  </si>
  <si>
    <t>Internet</t>
  </si>
  <si>
    <t>N</t>
  </si>
  <si>
    <t>x</t>
  </si>
  <si>
    <r>
      <t>n</t>
    </r>
    <r>
      <rPr>
        <vertAlign val="subscript"/>
        <sz val="12"/>
        <color indexed="8"/>
        <rFont val="Arial Armenian"/>
        <family val="2"/>
      </rPr>
      <t>i</t>
    </r>
  </si>
  <si>
    <t>[2;4)</t>
  </si>
  <si>
    <t>[4;6)</t>
  </si>
  <si>
    <t>[6;8)</t>
  </si>
  <si>
    <t>[8;10)</t>
  </si>
  <si>
    <t>[10;12)</t>
  </si>
  <si>
    <t>[12;14)</t>
  </si>
  <si>
    <t>[14;16)</t>
  </si>
  <si>
    <t>[16;18)</t>
  </si>
  <si>
    <t>[18;20)</t>
  </si>
  <si>
    <t>[20;22)</t>
  </si>
  <si>
    <t xml:space="preserve">Թվով  6 խնդիր (see sheets),  առաջին չորս խնդիրներից յուրաքանչյուրը 3 միավոր  է, վերջին երկուսը՝ 4 ական միավոր: </t>
  </si>
  <si>
    <t>X-mileage of the car during the year (km)</t>
  </si>
  <si>
    <t>Y-Car expenses per year (monetary unit)</t>
  </si>
  <si>
    <t xml:space="preserve">a) At the 0,05 level of significance is there evidence linear relationship. </t>
  </si>
  <si>
    <t>c) To interpret the coefficient of determination.</t>
  </si>
  <si>
    <t>X-Age group</t>
  </si>
  <si>
    <t>Y-Media</t>
  </si>
  <si>
    <t>Under 36</t>
  </si>
  <si>
    <t>36- 50</t>
  </si>
  <si>
    <t>50-65</t>
  </si>
  <si>
    <t>65 and over</t>
  </si>
  <si>
    <t>a) At the 0,05 of significance to test the independence.</t>
  </si>
  <si>
    <t>A sporting goods manufacturing company wanted</t>
  </si>
  <si>
    <t>to compare the distance traveled by golf balls produced using</t>
  </si>
  <si>
    <t>four different designs. Ten balls were manufactured with</t>
  </si>
  <si>
    <t>each design and were brought to the local golf course for the</t>
  </si>
  <si>
    <t>club professional to test. The order in which the balls were</t>
  </si>
  <si>
    <t>hit with the same club from the first tee was randomized so</t>
  </si>
  <si>
    <t>that the pro did not know which type of ball was being hit.</t>
  </si>
  <si>
    <t>All 40 balls were hit in a short period of time, during which</t>
  </si>
  <si>
    <t>the environmental conditions were essentially the same. The</t>
  </si>
  <si>
    <t>results (distance traveled in yards) for the four designs are</t>
  </si>
  <si>
    <t>stored in Golfball and shown in the following table.</t>
  </si>
  <si>
    <t>Design</t>
  </si>
  <si>
    <t>difference in the variation of the distances traveled by the</t>
  </si>
  <si>
    <t>golf balls with different designs?</t>
  </si>
  <si>
    <t>a) At the 0.05 level of significance, is there evidence of a</t>
  </si>
  <si>
    <t>difference in the mean distances traveled by the golf balls</t>
  </si>
  <si>
    <t>with different designs?</t>
  </si>
  <si>
    <t>b) At the 0.05 level of significance, is there evidence of a</t>
  </si>
  <si>
    <t>a. At the 0.05 level of significance to fit normality of X</t>
  </si>
  <si>
    <t>6 problems (see sheets), each of the first four problems is 3 points, the last two are 4 points each.</t>
  </si>
  <si>
    <t>Յուրաքանչյուրը լուծել համապատասխան տեղում:</t>
  </si>
  <si>
    <t>Solve each in the corresponding place.</t>
  </si>
  <si>
    <t xml:space="preserve">The critical region for testing </t>
  </si>
  <si>
    <t>What would be the value of the constant "m" and the sample size</t>
  </si>
  <si>
    <t>b) To determine regression line, where Y is dependent variable.</t>
  </si>
  <si>
    <t>d) To interpret SSReg and SSRes.</t>
  </si>
  <si>
    <t>e) To construct a 90%  confidence interval estimate of the mean annual expenses for 4035 km.</t>
  </si>
  <si>
    <t>b) To find the percentage of people getting news from "Radio"-ով.</t>
  </si>
  <si>
    <t>c)  For the people "65 and over" to find the percentage getting news from "National TV".</t>
  </si>
  <si>
    <t>b. To find median.</t>
  </si>
  <si>
    <t xml:space="preserve">A normal population has a standard deviation of 15. </t>
  </si>
  <si>
    <t xml:space="preserve">Ho : μ = 9 versus the alternative Ha : μ = m is  </t>
  </si>
  <si>
    <t xml:space="preserve">"n" which would allow the probability of Type I error to be 0.026 </t>
  </si>
  <si>
    <t>and the probability of Type II error to be 0.175.</t>
  </si>
  <si>
    <t>How many "n" products do we need to insure in order to make a profit with 95% confidence?</t>
  </si>
  <si>
    <t>The probability of complete damage of the product during the year is 0.008, and the probability of first-degree partial damage is 0.01, and second-degree partial damage is 0.04.</t>
  </si>
  <si>
    <t>Suppose the one-year insurance premium is 800 u.m., and in case of a full injury the owner is paid 10 000 m.u., in case of partial damages 6 000 m.u. and 4 000 m.u., respectively.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</si>
  <si>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</si>
  <si>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</si>
  <si>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</si>
  <si>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</si>
  <si>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</si>
  <si>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</si>
  <si>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</si>
  <si>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</si>
  <si>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</si>
  <si>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</si>
  <si>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</si>
  <si>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</si>
  <si>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</si>
  <si>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</si>
  <si>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</si>
  <si>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</si>
  <si>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</si>
  <si>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</si>
  <si>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</si>
  <si>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</si>
  <si>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</si>
  <si>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</si>
  <si>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</si>
  <si>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</si>
  <si>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</si>
  <si>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</si>
  <si>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</si>
  <si>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</si>
  <si>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</si>
  <si>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a)</t>
  </si>
  <si>
    <t>We can answer this question by comparing critical F to F statistics</t>
  </si>
  <si>
    <t>As F is bigger we have evidence to reject H0 and conclude that there is a significant linear relationship between X and Y</t>
  </si>
  <si>
    <t>H0:</t>
  </si>
  <si>
    <t>We can reach the same conslusion using t statistics as p-value is less than our significance level, it is almost 0</t>
  </si>
  <si>
    <t>In our case α is</t>
  </si>
  <si>
    <t>β</t>
  </si>
  <si>
    <t xml:space="preserve">β is </t>
  </si>
  <si>
    <t>b)</t>
  </si>
  <si>
    <t>c)</t>
  </si>
  <si>
    <t>It states that 80.59% of variation of Y is due to X</t>
  </si>
  <si>
    <t>And only 19.4% of variation is due to other factors</t>
  </si>
  <si>
    <t>d)</t>
  </si>
  <si>
    <t>SSR is the regression sum of squares describes how well regression describes modeled data</t>
  </si>
  <si>
    <t xml:space="preserve">SSResidual measures the variation of modeling errors </t>
  </si>
  <si>
    <t>SST is the sum of the previous two and represents total sum of squares</t>
  </si>
  <si>
    <t>If we divide Sum of squares by according degree of freedom we will get mean squared errors</t>
  </si>
  <si>
    <t>e)</t>
  </si>
  <si>
    <t>y=0.702*4035+222.158</t>
  </si>
  <si>
    <t>α</t>
  </si>
  <si>
    <t>μ</t>
  </si>
  <si>
    <t>t</t>
  </si>
  <si>
    <t>Sx</t>
  </si>
  <si>
    <t>expected probabilities</t>
  </si>
  <si>
    <t>expected frequencies</t>
  </si>
  <si>
    <t>difference between expected and observed values</t>
  </si>
  <si>
    <t>χ^2 stat</t>
  </si>
  <si>
    <r>
      <rPr>
        <sz val="11"/>
        <color theme="1"/>
        <rFont val="Calibri"/>
        <family val="2"/>
      </rPr>
      <t>χ</t>
    </r>
    <r>
      <rPr>
        <sz val="8.8000000000000007"/>
        <color theme="1"/>
        <rFont val="Calibri"/>
        <family val="2"/>
        <charset val="204"/>
      </rPr>
      <t>^2 crit</t>
    </r>
  </si>
  <si>
    <t>(c1-1)*(c2-1)</t>
  </si>
  <si>
    <t>as CHI^2stat is bigger than critical value we have evidence to reject H0</t>
  </si>
  <si>
    <t xml:space="preserve">H0: </t>
  </si>
  <si>
    <t>There is no difference between population proportions</t>
  </si>
  <si>
    <t>H1:</t>
  </si>
  <si>
    <t xml:space="preserve">There is difference between population proportions </t>
  </si>
  <si>
    <t>p-value</t>
  </si>
  <si>
    <t>p-value is less than our confidence level alpha so we reject H0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</si>
  <si>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</si>
  <si>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</si>
  <si>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</si>
  <si>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</si>
  <si>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</si>
  <si>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</si>
  <si>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</si>
  <si>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</si>
  <si>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</si>
  <si>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</si>
  <si>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</si>
  <si>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Source of Variation</t>
  </si>
  <si>
    <t>F crit</t>
  </si>
  <si>
    <t>Between Groups</t>
  </si>
  <si>
    <t>Within Groups</t>
  </si>
  <si>
    <t>σμ</t>
  </si>
  <si>
    <t>H0: σ^2 1=σ^2 2=σ^2 3=σ^2 4</t>
  </si>
  <si>
    <t>H1: not all variaances are equal</t>
  </si>
  <si>
    <t>Fstat</t>
  </si>
  <si>
    <t>Fcrit</t>
  </si>
  <si>
    <t>xi</t>
  </si>
  <si>
    <t>ni*xi</t>
  </si>
  <si>
    <t>ni*xi^2</t>
  </si>
  <si>
    <t>&gt;=20</t>
  </si>
  <si>
    <t>Mean</t>
  </si>
  <si>
    <t>S</t>
  </si>
  <si>
    <t>F(x) or P(x&lt;X)</t>
  </si>
  <si>
    <t>P(x&lt;4)</t>
  </si>
  <si>
    <t>P(4&lt;x&lt;6)</t>
  </si>
  <si>
    <t>…</t>
  </si>
  <si>
    <t>P(X&gt;=20)</t>
  </si>
  <si>
    <t>Expected frequency</t>
  </si>
  <si>
    <r>
      <rPr>
        <sz val="11"/>
        <color theme="1"/>
        <rFont val="Calibri"/>
        <family val="2"/>
      </rPr>
      <t>χ</t>
    </r>
    <r>
      <rPr>
        <sz val="7.35"/>
        <color theme="1"/>
        <rFont val="Calibri"/>
        <family val="2"/>
        <charset val="204"/>
      </rPr>
      <t xml:space="preserve"> stat</t>
    </r>
  </si>
  <si>
    <r>
      <rPr>
        <sz val="11"/>
        <color theme="1"/>
        <rFont val="Calibri"/>
        <family val="2"/>
      </rPr>
      <t>χ</t>
    </r>
    <r>
      <rPr>
        <sz val="7.35"/>
        <color theme="1"/>
        <rFont val="Calibri"/>
        <family val="2"/>
        <charset val="204"/>
      </rPr>
      <t xml:space="preserve"> crit</t>
    </r>
  </si>
  <si>
    <t>(fo-fe)^2/fe</t>
  </si>
  <si>
    <t>X is from normal distribution</t>
  </si>
  <si>
    <t>Ha:</t>
  </si>
  <si>
    <t>X does not have normal distribution</t>
  </si>
  <si>
    <t>We don’t have evidence to reject H0</t>
  </si>
  <si>
    <t>fi</t>
  </si>
  <si>
    <t>Fi</t>
  </si>
  <si>
    <t>we get Type I error when we reject H0 when it is ture</t>
  </si>
  <si>
    <t>P(X &gt; m-4 | μ=9)</t>
  </si>
  <si>
    <t>P(reject H0| H0 true) =</t>
  </si>
  <si>
    <t>P(X-9)/(15/sqrt(n))</t>
  </si>
  <si>
    <t>&gt;</t>
  </si>
  <si>
    <t>as right part is Z ~N(0, 1)</t>
  </si>
  <si>
    <t>=</t>
  </si>
  <si>
    <t>Z=</t>
  </si>
  <si>
    <t>(m-13)*sqrt(n)=</t>
  </si>
  <si>
    <t>we get Type I error when we accept H0 when H1 is true</t>
  </si>
  <si>
    <t>P((X-m)/(15/sqrt(n)) &lt;= (m-4-m)/(15/sqrt(n))</t>
  </si>
  <si>
    <t>P(Z&lt;=(m-13)/(15/sqrt(n))</t>
  </si>
  <si>
    <t>P(Z&gt;(m-13)/(15/sqrt(n))</t>
  </si>
  <si>
    <t>(m-9-4)/(15/sqrt(n))</t>
  </si>
  <si>
    <t xml:space="preserve">similarly we get that </t>
  </si>
  <si>
    <t>P(Z&lt;=2*sqrt(n)/15)=</t>
  </si>
  <si>
    <t>Z</t>
  </si>
  <si>
    <t>2*sqrt(n)/15</t>
  </si>
  <si>
    <t>n</t>
  </si>
  <si>
    <t>m</t>
  </si>
  <si>
    <t>the sample size should be</t>
  </si>
  <si>
    <t>P</t>
  </si>
  <si>
    <t>E(x)</t>
  </si>
  <si>
    <t>E(x^2)</t>
  </si>
  <si>
    <t>Var(x)</t>
  </si>
  <si>
    <t>norm.</t>
  </si>
  <si>
    <t>find the probability of lossing if insuring 1 product</t>
  </si>
  <si>
    <t>probability of profit if insuring one product</t>
  </si>
  <si>
    <t>P(X&lt;0)</t>
  </si>
  <si>
    <t>P(Z &lt;(n*E(x)/sqrt(n)*S)</t>
  </si>
  <si>
    <t xml:space="preserve">if we are making profit </t>
  </si>
  <si>
    <t>n*E(x)/(sqrt(n)*S)</t>
  </si>
  <si>
    <t>to calculate the median we take two lines that connect the bar charts</t>
  </si>
  <si>
    <t xml:space="preserve">and take the point where they intersect </t>
  </si>
  <si>
    <t xml:space="preserve">median </t>
  </si>
  <si>
    <t xml:space="preserve">F is more than F crit so we reject H0 there is difference in mean distances </t>
  </si>
  <si>
    <t>we cannt reject H0 there is difference in variations and the assumptions to use annova are not satisfied</t>
  </si>
  <si>
    <t>B)</t>
  </si>
  <si>
    <r>
      <t xml:space="preserve">H0: </t>
    </r>
    <r>
      <rPr>
        <sz val="11"/>
        <color theme="1"/>
        <rFont val="Calibri"/>
        <family val="2"/>
      </rPr>
      <t>μ1=μ2=μ3=μ4</t>
    </r>
  </si>
  <si>
    <t>For the residuals as we do not see any obvious pattern in residual plot we can say that the data is appropriate for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</si>
</sst>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sz val="14"/>
      <name val="Arial Narrow"/>
      <family val="2"/>
    </font>
    <font>
      <sz val="14"/>
      <color theme="1"/>
      <name val="Calibri"/>
      <family val="2"/>
      <charset val="204"/>
      <scheme val="minor"/>
    </font>
    <font>
      <sz val="14"/>
      <color indexed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8"/>
      <name val="Arial Armenian"/>
      <family val="2"/>
    </font>
    <font>
      <sz val="14"/>
      <name val="Arial Armenian"/>
      <family val="2"/>
    </font>
    <font>
      <sz val="12"/>
      <color indexed="8"/>
      <name val="Arial Armenian"/>
      <family val="2"/>
    </font>
    <font>
      <vertAlign val="subscript"/>
      <sz val="12"/>
      <color indexed="8"/>
      <name val="Arial Armenian"/>
      <family val="2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  <charset val="204"/>
    </font>
    <font>
      <sz val="7.35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2" fontId="0" fillId="0" borderId="0" xfId="0" applyNumberFormat="1"/>
    <xf numFmtId="0" fontId="8" fillId="0" borderId="1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2" fontId="2" fillId="0" borderId="1" xfId="0" applyNumberFormat="1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0" fillId="0" borderId="1" xfId="0" applyBorder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Correl_regression!$H$6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Correl_regression!$G$7:$G$47</c:f>
              <c:numCache>
                <c:formatCode>General</c:formatCode>
                <c:ptCount val="41"/>
                <c:pt idx="0">
                  <c:v>40</c:v>
                </c:pt>
                <c:pt idx="1">
                  <c:v>1300</c:v>
                </c:pt>
                <c:pt idx="2">
                  <c:v>400</c:v>
                </c:pt>
                <c:pt idx="3">
                  <c:v>1500</c:v>
                </c:pt>
                <c:pt idx="4">
                  <c:v>500</c:v>
                </c:pt>
                <c:pt idx="5">
                  <c:v>500</c:v>
                </c:pt>
                <c:pt idx="6">
                  <c:v>100</c:v>
                </c:pt>
                <c:pt idx="7">
                  <c:v>500</c:v>
                </c:pt>
                <c:pt idx="8">
                  <c:v>1001</c:v>
                </c:pt>
                <c:pt idx="9">
                  <c:v>3000</c:v>
                </c:pt>
                <c:pt idx="10">
                  <c:v>500</c:v>
                </c:pt>
                <c:pt idx="11">
                  <c:v>1525</c:v>
                </c:pt>
                <c:pt idx="12">
                  <c:v>800</c:v>
                </c:pt>
                <c:pt idx="13">
                  <c:v>2000</c:v>
                </c:pt>
                <c:pt idx="14">
                  <c:v>5000</c:v>
                </c:pt>
                <c:pt idx="15">
                  <c:v>1500</c:v>
                </c:pt>
                <c:pt idx="16">
                  <c:v>1500</c:v>
                </c:pt>
                <c:pt idx="17">
                  <c:v>700</c:v>
                </c:pt>
                <c:pt idx="18">
                  <c:v>2050</c:v>
                </c:pt>
                <c:pt idx="19">
                  <c:v>2000</c:v>
                </c:pt>
                <c:pt idx="20">
                  <c:v>1050</c:v>
                </c:pt>
                <c:pt idx="21">
                  <c:v>1500</c:v>
                </c:pt>
                <c:pt idx="22">
                  <c:v>1000</c:v>
                </c:pt>
                <c:pt idx="23">
                  <c:v>1000</c:v>
                </c:pt>
                <c:pt idx="24">
                  <c:v>2000</c:v>
                </c:pt>
                <c:pt idx="25">
                  <c:v>1500</c:v>
                </c:pt>
                <c:pt idx="26">
                  <c:v>3000</c:v>
                </c:pt>
                <c:pt idx="27">
                  <c:v>100</c:v>
                </c:pt>
                <c:pt idx="28">
                  <c:v>800</c:v>
                </c:pt>
                <c:pt idx="29">
                  <c:v>500</c:v>
                </c:pt>
                <c:pt idx="30">
                  <c:v>4000</c:v>
                </c:pt>
                <c:pt idx="31">
                  <c:v>2000</c:v>
                </c:pt>
                <c:pt idx="32">
                  <c:v>1000</c:v>
                </c:pt>
                <c:pt idx="33">
                  <c:v>500</c:v>
                </c:pt>
                <c:pt idx="34">
                  <c:v>1000</c:v>
                </c:pt>
                <c:pt idx="35">
                  <c:v>1500</c:v>
                </c:pt>
                <c:pt idx="36">
                  <c:v>300</c:v>
                </c:pt>
                <c:pt idx="37">
                  <c:v>2500</c:v>
                </c:pt>
                <c:pt idx="38">
                  <c:v>6000</c:v>
                </c:pt>
                <c:pt idx="39">
                  <c:v>6100</c:v>
                </c:pt>
                <c:pt idx="40">
                  <c:v>3700</c:v>
                </c:pt>
              </c:numCache>
            </c:numRef>
          </c:xVal>
          <c:yVal>
            <c:numRef>
              <c:f>Correl_regression!$H$7:$H$47</c:f>
              <c:numCache>
                <c:formatCode>General</c:formatCode>
                <c:ptCount val="41"/>
                <c:pt idx="0">
                  <c:v>5</c:v>
                </c:pt>
                <c:pt idx="1">
                  <c:v>500</c:v>
                </c:pt>
                <c:pt idx="2">
                  <c:v>100</c:v>
                </c:pt>
                <c:pt idx="3">
                  <c:v>2000</c:v>
                </c:pt>
                <c:pt idx="4">
                  <c:v>400</c:v>
                </c:pt>
                <c:pt idx="5">
                  <c:v>600</c:v>
                </c:pt>
                <c:pt idx="6">
                  <c:v>12</c:v>
                </c:pt>
                <c:pt idx="7">
                  <c:v>1000</c:v>
                </c:pt>
                <c:pt idx="8">
                  <c:v>1200</c:v>
                </c:pt>
                <c:pt idx="9">
                  <c:v>2100</c:v>
                </c:pt>
                <c:pt idx="10">
                  <c:v>200</c:v>
                </c:pt>
                <c:pt idx="11">
                  <c:v>1500</c:v>
                </c:pt>
                <c:pt idx="12">
                  <c:v>1000</c:v>
                </c:pt>
                <c:pt idx="13">
                  <c:v>1500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550</c:v>
                </c:pt>
                <c:pt idx="18">
                  <c:v>2000</c:v>
                </c:pt>
                <c:pt idx="19">
                  <c:v>2500</c:v>
                </c:pt>
                <c:pt idx="20">
                  <c:v>600</c:v>
                </c:pt>
                <c:pt idx="21">
                  <c:v>1500</c:v>
                </c:pt>
                <c:pt idx="22">
                  <c:v>800</c:v>
                </c:pt>
                <c:pt idx="23">
                  <c:v>1000</c:v>
                </c:pt>
                <c:pt idx="24">
                  <c:v>1500</c:v>
                </c:pt>
                <c:pt idx="25">
                  <c:v>1000</c:v>
                </c:pt>
                <c:pt idx="26">
                  <c:v>2000</c:v>
                </c:pt>
                <c:pt idx="27">
                  <c:v>8</c:v>
                </c:pt>
                <c:pt idx="28">
                  <c:v>400</c:v>
                </c:pt>
                <c:pt idx="29">
                  <c:v>500</c:v>
                </c:pt>
                <c:pt idx="30">
                  <c:v>2000</c:v>
                </c:pt>
                <c:pt idx="31">
                  <c:v>2500</c:v>
                </c:pt>
                <c:pt idx="32">
                  <c:v>800</c:v>
                </c:pt>
                <c:pt idx="33">
                  <c:v>500</c:v>
                </c:pt>
                <c:pt idx="34">
                  <c:v>800</c:v>
                </c:pt>
                <c:pt idx="35">
                  <c:v>3000</c:v>
                </c:pt>
                <c:pt idx="36">
                  <c:v>500</c:v>
                </c:pt>
                <c:pt idx="37">
                  <c:v>2000</c:v>
                </c:pt>
                <c:pt idx="38">
                  <c:v>5000</c:v>
                </c:pt>
                <c:pt idx="39">
                  <c:v>4950</c:v>
                </c:pt>
                <c:pt idx="4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6-4C78-97B2-1799E39E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90975"/>
        <c:axId val="184993055"/>
      </c:scatterChart>
      <c:valAx>
        <c:axId val="1849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3055"/>
        <c:crosses val="autoZero"/>
        <c:crossBetween val="midCat"/>
      </c:valAx>
      <c:valAx>
        <c:axId val="1849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Correl_regression!$G$7:$G$47</c:f>
              <c:numCache>
                <c:formatCode>General</c:formatCode>
                <c:ptCount val="41"/>
                <c:pt idx="0">
                  <c:v>40</c:v>
                </c:pt>
                <c:pt idx="1">
                  <c:v>1300</c:v>
                </c:pt>
                <c:pt idx="2">
                  <c:v>400</c:v>
                </c:pt>
                <c:pt idx="3">
                  <c:v>1500</c:v>
                </c:pt>
                <c:pt idx="4">
                  <c:v>500</c:v>
                </c:pt>
                <c:pt idx="5">
                  <c:v>500</c:v>
                </c:pt>
                <c:pt idx="6">
                  <c:v>100</c:v>
                </c:pt>
                <c:pt idx="7">
                  <c:v>500</c:v>
                </c:pt>
                <c:pt idx="8">
                  <c:v>1001</c:v>
                </c:pt>
                <c:pt idx="9">
                  <c:v>3000</c:v>
                </c:pt>
                <c:pt idx="10">
                  <c:v>500</c:v>
                </c:pt>
                <c:pt idx="11">
                  <c:v>1525</c:v>
                </c:pt>
                <c:pt idx="12">
                  <c:v>800</c:v>
                </c:pt>
                <c:pt idx="13">
                  <c:v>2000</c:v>
                </c:pt>
                <c:pt idx="14">
                  <c:v>5000</c:v>
                </c:pt>
                <c:pt idx="15">
                  <c:v>1500</c:v>
                </c:pt>
                <c:pt idx="16">
                  <c:v>1500</c:v>
                </c:pt>
                <c:pt idx="17">
                  <c:v>700</c:v>
                </c:pt>
                <c:pt idx="18">
                  <c:v>2050</c:v>
                </c:pt>
                <c:pt idx="19">
                  <c:v>2000</c:v>
                </c:pt>
                <c:pt idx="20">
                  <c:v>1050</c:v>
                </c:pt>
                <c:pt idx="21">
                  <c:v>1500</c:v>
                </c:pt>
                <c:pt idx="22">
                  <c:v>1000</c:v>
                </c:pt>
                <c:pt idx="23">
                  <c:v>1000</c:v>
                </c:pt>
                <c:pt idx="24">
                  <c:v>2000</c:v>
                </c:pt>
                <c:pt idx="25">
                  <c:v>1500</c:v>
                </c:pt>
                <c:pt idx="26">
                  <c:v>3000</c:v>
                </c:pt>
                <c:pt idx="27">
                  <c:v>100</c:v>
                </c:pt>
                <c:pt idx="28">
                  <c:v>800</c:v>
                </c:pt>
                <c:pt idx="29">
                  <c:v>500</c:v>
                </c:pt>
                <c:pt idx="30">
                  <c:v>4000</c:v>
                </c:pt>
                <c:pt idx="31">
                  <c:v>2000</c:v>
                </c:pt>
                <c:pt idx="32">
                  <c:v>1000</c:v>
                </c:pt>
                <c:pt idx="33">
                  <c:v>500</c:v>
                </c:pt>
                <c:pt idx="34">
                  <c:v>1000</c:v>
                </c:pt>
                <c:pt idx="35">
                  <c:v>1500</c:v>
                </c:pt>
                <c:pt idx="36">
                  <c:v>300</c:v>
                </c:pt>
                <c:pt idx="37">
                  <c:v>2500</c:v>
                </c:pt>
                <c:pt idx="38">
                  <c:v>6000</c:v>
                </c:pt>
                <c:pt idx="39">
                  <c:v>6100</c:v>
                </c:pt>
                <c:pt idx="40">
                  <c:v>3700</c:v>
                </c:pt>
              </c:numCache>
            </c:numRef>
          </c:xVal>
          <c:yVal>
            <c:numRef>
              <c:f>Correl_regression!$M$53:$M$93</c:f>
              <c:numCache>
                <c:formatCode>General</c:formatCode>
                <c:ptCount val="41"/>
                <c:pt idx="0">
                  <c:v>-245.27085265170581</c:v>
                </c:pt>
                <c:pt idx="1">
                  <c:v>-635.82531064722252</c:v>
                </c:pt>
                <c:pt idx="2">
                  <c:v>-403.28641207899631</c:v>
                </c:pt>
                <c:pt idx="3">
                  <c:v>723.61048967094939</c:v>
                </c:pt>
                <c:pt idx="4">
                  <c:v>-173.56851191991029</c:v>
                </c:pt>
                <c:pt idx="5">
                  <c:v>26.431488080089707</c:v>
                </c:pt>
                <c:pt idx="6">
                  <c:v>-280.44011255625423</c:v>
                </c:pt>
                <c:pt idx="7">
                  <c:v>426.43148808008971</c:v>
                </c:pt>
                <c:pt idx="8">
                  <c:v>274.31816787711045</c:v>
                </c:pt>
                <c:pt idx="9">
                  <c:v>-230.62100794276103</c:v>
                </c:pt>
                <c:pt idx="10">
                  <c:v>-373.56851191991029</c:v>
                </c:pt>
                <c:pt idx="11">
                  <c:v>206.03996471072082</c:v>
                </c:pt>
                <c:pt idx="12">
                  <c:v>215.58518855734758</c:v>
                </c:pt>
                <c:pt idx="13">
                  <c:v>-127.8000095336206</c:v>
                </c:pt>
                <c:pt idx="14">
                  <c:v>-736.26300476104143</c:v>
                </c:pt>
                <c:pt idx="15">
                  <c:v>723.61048967094939</c:v>
                </c:pt>
                <c:pt idx="16">
                  <c:v>-276.38951032905061</c:v>
                </c:pt>
                <c:pt idx="17">
                  <c:v>-164.13271160173838</c:v>
                </c:pt>
                <c:pt idx="18">
                  <c:v>337.05894054592227</c:v>
                </c:pt>
                <c:pt idx="19">
                  <c:v>872.1999904663794</c:v>
                </c:pt>
                <c:pt idx="20">
                  <c:v>-360.12006104493742</c:v>
                </c:pt>
                <c:pt idx="21">
                  <c:v>223.61048967094939</c:v>
                </c:pt>
                <c:pt idx="22">
                  <c:v>-124.97901112448039</c:v>
                </c:pt>
                <c:pt idx="23">
                  <c:v>75.020988875519606</c:v>
                </c:pt>
                <c:pt idx="24">
                  <c:v>-127.8000095336206</c:v>
                </c:pt>
                <c:pt idx="25">
                  <c:v>-276.38951032905061</c:v>
                </c:pt>
                <c:pt idx="26">
                  <c:v>-330.62100794276103</c:v>
                </c:pt>
                <c:pt idx="27">
                  <c:v>-284.44011255625423</c:v>
                </c:pt>
                <c:pt idx="28">
                  <c:v>-384.41481144265242</c:v>
                </c:pt>
                <c:pt idx="29">
                  <c:v>-73.568511919910293</c:v>
                </c:pt>
                <c:pt idx="30">
                  <c:v>-1033.442006351901</c:v>
                </c:pt>
                <c:pt idx="31">
                  <c:v>872.1999904663794</c:v>
                </c:pt>
                <c:pt idx="32">
                  <c:v>-124.97901112448039</c:v>
                </c:pt>
                <c:pt idx="33">
                  <c:v>-73.568511919910293</c:v>
                </c:pt>
                <c:pt idx="34">
                  <c:v>-124.97901112448039</c:v>
                </c:pt>
                <c:pt idx="35">
                  <c:v>1723.6104896709494</c:v>
                </c:pt>
                <c:pt idx="36">
                  <c:v>66.995687761917736</c:v>
                </c:pt>
                <c:pt idx="37">
                  <c:v>20.789491261809189</c:v>
                </c:pt>
                <c:pt idx="38">
                  <c:v>560.91599682981814</c:v>
                </c:pt>
                <c:pt idx="39">
                  <c:v>440.63389698890387</c:v>
                </c:pt>
                <c:pt idx="40">
                  <c:v>-822.5957068291591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E18-9990-75F44562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02367"/>
        <c:axId val="2089700703"/>
      </c:scatterChart>
      <c:valAx>
        <c:axId val="208970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700703"/>
        <c:crosses val="autoZero"/>
        <c:crossBetween val="midCat"/>
      </c:valAx>
      <c:valAx>
        <c:axId val="2089700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702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12</xdr:row>
      <xdr:rowOff>224790</xdr:rowOff>
    </xdr:from>
    <xdr:to>
      <xdr:col>17</xdr:col>
      <xdr:colOff>335280</xdr:colOff>
      <xdr:row>24</xdr:row>
      <xdr:rowOff>224790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601980</xdr:colOff>
      <xdr:row>13</xdr:row>
      <xdr:rowOff>7620</xdr:rowOff>
    </xdr:from>
    <xdr:to>
      <xdr:col>23</xdr:col>
      <xdr:colOff>601981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0</xdr:colOff>
      <xdr:row>38</xdr:row>
      <xdr:rowOff>0</xdr:rowOff>
    </xdr:from>
    <xdr:ext cx="62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0972800" y="8682446"/>
              <a:ext cx="62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0: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D037C64-788D-4589-89B9-143A129BA88B}"/>
                </a:ext>
              </a:extLst>
            </xdr:cNvPr>
            <xdr:cNvSpPr txBox="1"/>
          </xdr:nvSpPr>
          <xdr:spPr>
            <a:xfrm>
              <a:off x="10972800" y="8682446"/>
              <a:ext cx="62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𝐻0:𝑅=0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18</xdr:col>
      <xdr:colOff>0</xdr:colOff>
      <xdr:row>39</xdr:row>
      <xdr:rowOff>20782</xdr:rowOff>
    </xdr:from>
    <xdr:ext cx="62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0972800" y="8859982"/>
              <a:ext cx="62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1: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32F721-FAAA-498E-A16D-6568D0215789}"/>
                </a:ext>
              </a:extLst>
            </xdr:cNvPr>
            <xdr:cNvSpPr txBox="1"/>
          </xdr:nvSpPr>
          <xdr:spPr>
            <a:xfrm>
              <a:off x="10972800" y="8859982"/>
              <a:ext cx="62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𝐻1:𝑅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34636</xdr:colOff>
      <xdr:row>28</xdr:row>
      <xdr:rowOff>13854</xdr:rowOff>
    </xdr:from>
    <xdr:ext cx="1865454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0397836" y="6317672"/>
              <a:ext cx="186545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l-GR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α</m:t>
                  </m:r>
                  <m:acc>
                    <m:accPr>
                      <m:chr m:val="̂"/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β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CA562AB-C9EA-4853-8C83-53D46FB60721}"/>
                </a:ext>
              </a:extLst>
            </xdr:cNvPr>
            <xdr:cNvSpPr txBox="1"/>
          </xdr:nvSpPr>
          <xdr:spPr>
            <a:xfrm>
              <a:off x="10397836" y="6317672"/>
              <a:ext cx="186545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𝑦 ̂=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en-US" sz="1800" b="0" i="0">
                  <a:latin typeface="Cambria Math" panose="02040503050406030204" pitchFamily="18" charset="0"/>
                </a:rPr>
                <a:t>𝑥 ̂</a:t>
              </a:r>
              <a:r>
                <a:rPr lang="en-US" sz="1800"/>
                <a:t>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34637</xdr:colOff>
      <xdr:row>26</xdr:row>
      <xdr:rowOff>96981</xdr:rowOff>
    </xdr:from>
    <xdr:ext cx="172404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0397837" y="5943599"/>
              <a:ext cx="17240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𝑦𝑖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l-GR" sz="1600" b="0" i="1">
                      <a:latin typeface="Cambria Math" panose="02040503050406030204" pitchFamily="18" charset="0"/>
                    </a:rPr>
                    <m:t>α</m:t>
                  </m:r>
                </m:oMath>
              </a14:m>
              <a:r>
                <a:rPr lang="en-US" sz="1600"/>
                <a:t>xi+</a:t>
              </a:r>
              <a:r>
                <a:rPr lang="el-GR" sz="1600"/>
                <a:t>β</a:t>
              </a:r>
              <a:r>
                <a:rPr lang="en-US" sz="1600"/>
                <a:t>+</a:t>
              </a:r>
              <a:r>
                <a:rPr lang="el-GR" sz="1600"/>
                <a:t>ε</a:t>
              </a:r>
              <a:endParaRPr lang="en-US" sz="16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5C43C0D-CD41-4D1A-9016-E63D79E52A0A}"/>
                </a:ext>
              </a:extLst>
            </xdr:cNvPr>
            <xdr:cNvSpPr txBox="1"/>
          </xdr:nvSpPr>
          <xdr:spPr>
            <a:xfrm>
              <a:off x="10397837" y="5943599"/>
              <a:ext cx="17240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𝑦𝑖=</a:t>
              </a:r>
              <a:r>
                <a:rPr lang="el-GR" sz="1600" b="0" i="0">
                  <a:latin typeface="Cambria Math" panose="02040503050406030204" pitchFamily="18" charset="0"/>
                </a:rPr>
                <a:t>α</a:t>
              </a:r>
              <a:r>
                <a:rPr lang="en-US" sz="1600"/>
                <a:t>xi+</a:t>
              </a:r>
              <a:r>
                <a:rPr lang="el-GR" sz="1600"/>
                <a:t>β</a:t>
              </a:r>
              <a:r>
                <a:rPr lang="en-US" sz="1600"/>
                <a:t>+</a:t>
              </a:r>
              <a:r>
                <a:rPr lang="el-GR" sz="1600"/>
                <a:t>ε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12</xdr:col>
      <xdr:colOff>381000</xdr:colOff>
      <xdr:row>30</xdr:row>
      <xdr:rowOff>62346</xdr:rowOff>
    </xdr:from>
    <xdr:ext cx="1267428" cy="5204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7696200" y="6830291"/>
              <a:ext cx="1267428" cy="5204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𝑆𝑆𝑅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𝑆𝑆𝑇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FC872F1-E28E-4385-80CF-D1EB48DDAFE2}"/>
                </a:ext>
              </a:extLst>
            </xdr:cNvPr>
            <xdr:cNvSpPr txBox="1"/>
          </xdr:nvSpPr>
          <xdr:spPr>
            <a:xfrm>
              <a:off x="7696200" y="6830291"/>
              <a:ext cx="1267428" cy="5204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𝑟^2=𝑆𝑆𝑅/𝑆𝑆𝑇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142875</xdr:colOff>
      <xdr:row>51</xdr:row>
      <xdr:rowOff>138112</xdr:rowOff>
    </xdr:from>
    <xdr:ext cx="1493550" cy="600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9810750" y="10844212"/>
              <a:ext cx="1493550" cy="60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χ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𝑓𝑒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ADDDCE3-71ED-454D-A4C8-EAB4302DDB25}"/>
                </a:ext>
              </a:extLst>
            </xdr:cNvPr>
            <xdr:cNvSpPr txBox="1"/>
          </xdr:nvSpPr>
          <xdr:spPr>
            <a:xfrm>
              <a:off x="9810750" y="10844212"/>
              <a:ext cx="1493550" cy="60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χ^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𝑠𝑡𝑎𝑡=∑▒〖(𝑓0−𝑓𝑒)〗^2/𝑓𝑒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6</xdr:row>
          <xdr:rowOff>30480</xdr:rowOff>
        </xdr:from>
        <xdr:to>
          <xdr:col>4</xdr:col>
          <xdr:colOff>579120</xdr:colOff>
          <xdr:row>8</xdr:row>
          <xdr:rowOff>22860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8"/>
  <sheetViews>
    <sheetView topLeftCell="C1" zoomScale="145" zoomScaleNormal="145" workbookViewId="0">
      <selection activeCell="K10" sqref="K10"/>
    </sheetView>
  </sheetViews>
  <sheetFormatPr defaultRowHeight="14.4"/>
  <sheetData>
    <row r="3" spans="4:13" ht="18">
      <c r="D3" s="2" t="s">
        <v>22</v>
      </c>
      <c r="E3" s="2"/>
      <c r="F3" s="2"/>
      <c r="G3" s="2"/>
      <c r="H3" s="2"/>
      <c r="I3" s="2"/>
      <c r="J3" s="2"/>
      <c r="K3" s="2"/>
      <c r="L3" s="2"/>
      <c r="M3" s="2"/>
    </row>
    <row r="4" spans="4:13" ht="18">
      <c r="D4" s="2" t="s">
        <v>54</v>
      </c>
      <c r="E4" s="2"/>
      <c r="F4" s="2"/>
      <c r="G4" s="2"/>
      <c r="H4" s="2"/>
      <c r="I4" s="2"/>
      <c r="J4" s="2"/>
      <c r="K4" s="2"/>
      <c r="L4" s="2"/>
      <c r="M4" s="2"/>
    </row>
    <row r="7" spans="4:13">
      <c r="D7" t="s">
        <v>53</v>
      </c>
    </row>
    <row r="8" spans="4:13">
      <c r="D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V93"/>
  <sheetViews>
    <sheetView tabSelected="1" topLeftCell="I52" zoomScale="66" zoomScaleNormal="220" workbookViewId="0">
      <selection activeCell="O68" sqref="O68"/>
    </sheetView>
  </sheetViews>
  <sheetFormatPr defaultRowHeight="14.4"/>
  <cols>
    <col min="5" max="5" width="9" bestFit="1" customWidth="1"/>
    <col min="7" max="8" width="9" bestFit="1" customWidth="1"/>
    <col min="12" max="12" width="9" bestFit="1" customWidth="1"/>
    <col min="13" max="14" width="11.6640625" bestFit="1" customWidth="1"/>
    <col min="15" max="15" width="9" bestFit="1" customWidth="1"/>
    <col min="16" max="16" width="11.44140625" bestFit="1" customWidth="1"/>
    <col min="17" max="17" width="11" bestFit="1" customWidth="1"/>
    <col min="20" max="20" width="9" bestFit="1" customWidth="1"/>
  </cols>
  <sheetData>
    <row r="2" spans="5:22" ht="18">
      <c r="G2" s="2" t="s">
        <v>23</v>
      </c>
      <c r="H2" s="2"/>
      <c r="I2" s="2"/>
      <c r="J2" s="2"/>
      <c r="K2" s="2"/>
      <c r="L2" s="2"/>
    </row>
    <row r="3" spans="5:22" ht="18">
      <c r="G3" s="2" t="s">
        <v>24</v>
      </c>
      <c r="H3" s="2"/>
      <c r="I3" s="2"/>
      <c r="J3" s="2"/>
      <c r="K3" s="2"/>
      <c r="L3" s="2"/>
    </row>
    <row r="6" spans="5:22" ht="18">
      <c r="E6" s="3" t="s">
        <v>9</v>
      </c>
      <c r="F6" s="3"/>
      <c r="G6" s="3" t="s">
        <v>1</v>
      </c>
      <c r="H6" s="3" t="s">
        <v>0</v>
      </c>
    </row>
    <row r="7" spans="5:22" ht="18">
      <c r="E7" s="3">
        <v>1</v>
      </c>
      <c r="F7" s="3"/>
      <c r="G7" s="3">
        <v>40</v>
      </c>
      <c r="H7" s="3">
        <v>5</v>
      </c>
      <c r="K7" s="2" t="s">
        <v>25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5:22" ht="18">
      <c r="E8" s="3">
        <v>2</v>
      </c>
      <c r="F8" s="3"/>
      <c r="G8" s="3">
        <v>1300</v>
      </c>
      <c r="H8" s="3">
        <v>500</v>
      </c>
      <c r="K8" s="2" t="s">
        <v>58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5:22" ht="18">
      <c r="E9" s="3">
        <v>3</v>
      </c>
      <c r="F9" s="3"/>
      <c r="G9" s="3">
        <v>400</v>
      </c>
      <c r="H9" s="3">
        <v>100</v>
      </c>
      <c r="K9" s="2" t="s">
        <v>26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5:22" ht="18">
      <c r="E10" s="3">
        <v>4</v>
      </c>
      <c r="F10" s="3"/>
      <c r="G10" s="3">
        <v>1500</v>
      </c>
      <c r="H10" s="3">
        <v>2000</v>
      </c>
      <c r="K10" s="2" t="s">
        <v>59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5:22" ht="21.6" customHeight="1">
      <c r="E11" s="3">
        <v>5</v>
      </c>
      <c r="F11" s="3"/>
      <c r="G11" s="3">
        <v>500</v>
      </c>
      <c r="H11" s="3">
        <v>400</v>
      </c>
      <c r="K11" s="2" t="s">
        <v>60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5:22" ht="18">
      <c r="E12" s="3">
        <v>6</v>
      </c>
      <c r="F12" s="3"/>
      <c r="G12" s="3">
        <v>500</v>
      </c>
      <c r="H12" s="3">
        <v>600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5:22" ht="18">
      <c r="E13" s="3">
        <v>7</v>
      </c>
      <c r="F13" s="3"/>
      <c r="G13" s="3">
        <v>100</v>
      </c>
      <c r="H13" s="3">
        <v>12</v>
      </c>
    </row>
    <row r="14" spans="5:22" ht="18">
      <c r="E14" s="3">
        <v>8</v>
      </c>
      <c r="F14" s="3"/>
      <c r="G14" s="3">
        <v>500</v>
      </c>
      <c r="H14" s="3">
        <v>1000</v>
      </c>
    </row>
    <row r="15" spans="5:22" ht="18">
      <c r="E15" s="3">
        <v>9</v>
      </c>
      <c r="F15" s="3"/>
      <c r="G15" s="3">
        <v>1001</v>
      </c>
      <c r="H15" s="3">
        <v>1200</v>
      </c>
    </row>
    <row r="16" spans="5:22" ht="18">
      <c r="E16" s="3">
        <v>10</v>
      </c>
      <c r="F16" s="3"/>
      <c r="G16" s="3">
        <v>3000</v>
      </c>
      <c r="H16" s="3">
        <v>2100</v>
      </c>
    </row>
    <row r="17" spans="5:22" ht="18">
      <c r="E17" s="3">
        <v>11</v>
      </c>
      <c r="F17" s="3"/>
      <c r="G17" s="3">
        <v>500</v>
      </c>
      <c r="H17" s="3">
        <v>200</v>
      </c>
    </row>
    <row r="18" spans="5:22" ht="18">
      <c r="E18" s="3">
        <v>12</v>
      </c>
      <c r="F18" s="3"/>
      <c r="G18" s="3">
        <v>1525</v>
      </c>
      <c r="H18" s="3">
        <v>1500</v>
      </c>
    </row>
    <row r="19" spans="5:22" ht="18">
      <c r="E19" s="3">
        <v>13</v>
      </c>
      <c r="F19" s="3"/>
      <c r="G19" s="3">
        <v>800</v>
      </c>
      <c r="H19" s="3">
        <v>1000</v>
      </c>
    </row>
    <row r="20" spans="5:22" ht="18">
      <c r="E20" s="3">
        <v>14</v>
      </c>
      <c r="F20" s="3"/>
      <c r="G20" s="3">
        <v>2000</v>
      </c>
      <c r="H20" s="3">
        <v>1500</v>
      </c>
    </row>
    <row r="21" spans="5:22" ht="18">
      <c r="E21" s="3">
        <v>15</v>
      </c>
      <c r="F21" s="3"/>
      <c r="G21" s="3">
        <v>5000</v>
      </c>
      <c r="H21" s="3">
        <v>3000</v>
      </c>
    </row>
    <row r="22" spans="5:22" ht="18">
      <c r="E22" s="3">
        <v>16</v>
      </c>
      <c r="F22" s="3"/>
      <c r="G22" s="3">
        <v>1500</v>
      </c>
      <c r="H22" s="3">
        <v>2000</v>
      </c>
    </row>
    <row r="23" spans="5:22" ht="18">
      <c r="E23" s="3">
        <v>17</v>
      </c>
      <c r="F23" s="3"/>
      <c r="G23" s="3">
        <v>1500</v>
      </c>
      <c r="H23" s="3">
        <v>1000</v>
      </c>
    </row>
    <row r="24" spans="5:22" ht="18">
      <c r="E24" s="3">
        <v>18</v>
      </c>
      <c r="F24" s="3"/>
      <c r="G24" s="3">
        <v>700</v>
      </c>
      <c r="H24" s="3">
        <v>550</v>
      </c>
    </row>
    <row r="25" spans="5:22" ht="18">
      <c r="E25" s="3">
        <v>19</v>
      </c>
      <c r="F25" s="3"/>
      <c r="G25" s="3">
        <v>2050</v>
      </c>
      <c r="H25" s="3">
        <v>2000</v>
      </c>
    </row>
    <row r="26" spans="5:22" ht="18">
      <c r="E26" s="3">
        <v>20</v>
      </c>
      <c r="F26" s="3"/>
      <c r="G26" s="3">
        <v>2000</v>
      </c>
      <c r="H26" s="3">
        <v>2500</v>
      </c>
    </row>
    <row r="27" spans="5:22" ht="18">
      <c r="E27" s="3">
        <v>21</v>
      </c>
      <c r="F27" s="3"/>
      <c r="G27" s="3">
        <v>1050</v>
      </c>
      <c r="H27" s="3">
        <v>600</v>
      </c>
    </row>
    <row r="28" spans="5:22" ht="18">
      <c r="E28" s="3">
        <v>22</v>
      </c>
      <c r="F28" s="3"/>
      <c r="G28" s="3">
        <v>1500</v>
      </c>
      <c r="H28" s="3">
        <v>1500</v>
      </c>
      <c r="Q28" t="s">
        <v>108</v>
      </c>
      <c r="V28" s="22"/>
    </row>
    <row r="29" spans="5:22" ht="18">
      <c r="E29" s="3">
        <v>23</v>
      </c>
      <c r="F29" s="3"/>
      <c r="G29" s="3">
        <v>1000</v>
      </c>
      <c r="H29" s="3">
        <v>800</v>
      </c>
      <c r="K29" t="s">
        <v>71</v>
      </c>
    </row>
    <row r="30" spans="5:22" ht="18.600000000000001" thickBot="1">
      <c r="E30" s="3">
        <v>24</v>
      </c>
      <c r="F30" s="3"/>
      <c r="G30" s="3">
        <v>1000</v>
      </c>
      <c r="H30" s="3">
        <v>1000</v>
      </c>
      <c r="N30" t="s">
        <v>109</v>
      </c>
    </row>
    <row r="31" spans="5:22" ht="18">
      <c r="E31" s="3">
        <v>25</v>
      </c>
      <c r="F31" s="3"/>
      <c r="G31" s="3">
        <v>2000</v>
      </c>
      <c r="H31" s="3">
        <v>1500</v>
      </c>
      <c r="K31" s="20" t="s">
        <v>72</v>
      </c>
      <c r="L31" s="20"/>
      <c r="R31" t="s">
        <v>105</v>
      </c>
      <c r="S31" s="22"/>
      <c r="T31">
        <f>L46</f>
        <v>0.70282099840914025</v>
      </c>
    </row>
    <row r="32" spans="5:22" ht="18">
      <c r="E32" s="3">
        <v>26</v>
      </c>
      <c r="F32" s="3"/>
      <c r="G32" s="3">
        <v>1500</v>
      </c>
      <c r="H32" s="3">
        <v>1000</v>
      </c>
      <c r="K32" s="17" t="s">
        <v>73</v>
      </c>
      <c r="L32" s="17">
        <v>0.89777113425383515</v>
      </c>
      <c r="S32" t="s">
        <v>107</v>
      </c>
      <c r="T32">
        <f>L45</f>
        <v>222.15801271534019</v>
      </c>
    </row>
    <row r="33" spans="5:19" ht="18">
      <c r="E33" s="3">
        <v>27</v>
      </c>
      <c r="F33" s="3"/>
      <c r="G33" s="3">
        <v>3000</v>
      </c>
      <c r="H33" s="3">
        <v>2000</v>
      </c>
      <c r="K33" s="17" t="s">
        <v>74</v>
      </c>
      <c r="L33" s="17">
        <v>0.80599300949941777</v>
      </c>
    </row>
    <row r="34" spans="5:19" ht="18">
      <c r="E34" s="3">
        <v>28</v>
      </c>
      <c r="F34" s="3"/>
      <c r="G34" s="3">
        <v>100</v>
      </c>
      <c r="H34" s="3">
        <v>8</v>
      </c>
      <c r="K34" s="17" t="s">
        <v>75</v>
      </c>
      <c r="L34" s="17">
        <v>0.80101847128145409</v>
      </c>
      <c r="N34">
        <f>M40/M42</f>
        <v>0.80599300949941788</v>
      </c>
      <c r="O34">
        <f>1-N34</f>
        <v>0.19400699050058212</v>
      </c>
    </row>
    <row r="35" spans="5:19" ht="18">
      <c r="E35" s="3">
        <v>29</v>
      </c>
      <c r="F35" s="3"/>
      <c r="G35" s="3">
        <v>800</v>
      </c>
      <c r="H35" s="3">
        <v>400</v>
      </c>
      <c r="K35" s="17" t="s">
        <v>76</v>
      </c>
      <c r="L35" s="17">
        <v>519.42452449640064</v>
      </c>
      <c r="N35" t="s">
        <v>110</v>
      </c>
    </row>
    <row r="36" spans="5:19" ht="18.600000000000001" thickBot="1">
      <c r="E36" s="3">
        <v>30</v>
      </c>
      <c r="F36" s="3"/>
      <c r="G36" s="3">
        <v>500</v>
      </c>
      <c r="H36" s="3">
        <v>500</v>
      </c>
      <c r="K36" s="18" t="s">
        <v>77</v>
      </c>
      <c r="L36" s="18">
        <v>41</v>
      </c>
      <c r="N36" t="s">
        <v>111</v>
      </c>
    </row>
    <row r="37" spans="5:19" ht="18">
      <c r="E37" s="3">
        <v>31</v>
      </c>
      <c r="F37" s="3"/>
      <c r="G37" s="3">
        <v>4000</v>
      </c>
      <c r="H37" s="3">
        <v>2000</v>
      </c>
    </row>
    <row r="38" spans="5:19" ht="18.600000000000001" thickBot="1">
      <c r="E38" s="3">
        <v>32</v>
      </c>
      <c r="F38" s="3"/>
      <c r="G38" s="3">
        <v>2000</v>
      </c>
      <c r="H38" s="3">
        <v>2500</v>
      </c>
      <c r="K38" t="s">
        <v>78</v>
      </c>
      <c r="R38" t="s">
        <v>100</v>
      </c>
    </row>
    <row r="39" spans="5:19" ht="18">
      <c r="E39" s="3">
        <v>33</v>
      </c>
      <c r="F39" s="3"/>
      <c r="G39" s="3">
        <v>1000</v>
      </c>
      <c r="H39" s="3">
        <v>800</v>
      </c>
      <c r="K39" s="19"/>
      <c r="L39" s="19" t="s">
        <v>83</v>
      </c>
      <c r="M39" s="19" t="s">
        <v>84</v>
      </c>
      <c r="N39" s="19" t="s">
        <v>85</v>
      </c>
      <c r="O39" s="19" t="s">
        <v>86</v>
      </c>
      <c r="P39" s="19" t="s">
        <v>87</v>
      </c>
      <c r="R39" s="21"/>
    </row>
    <row r="40" spans="5:19" ht="18">
      <c r="E40" s="3">
        <v>34</v>
      </c>
      <c r="F40" s="3"/>
      <c r="G40" s="3">
        <v>500</v>
      </c>
      <c r="H40" s="3">
        <v>500</v>
      </c>
      <c r="K40" s="17" t="s">
        <v>79</v>
      </c>
      <c r="L40" s="17">
        <v>1</v>
      </c>
      <c r="M40" s="17">
        <v>43714287.590228021</v>
      </c>
      <c r="N40" s="17">
        <v>43714287.590228021</v>
      </c>
      <c r="O40" s="17">
        <v>162.0236842464858</v>
      </c>
      <c r="P40" s="17">
        <v>1.821302695029907E-15</v>
      </c>
    </row>
    <row r="41" spans="5:19" ht="18">
      <c r="E41" s="3">
        <v>35</v>
      </c>
      <c r="F41" s="3"/>
      <c r="G41" s="3">
        <v>1000</v>
      </c>
      <c r="H41" s="3">
        <v>800</v>
      </c>
      <c r="K41" s="17" t="s">
        <v>80</v>
      </c>
      <c r="L41" s="17">
        <v>39</v>
      </c>
      <c r="M41" s="17">
        <v>10522271.629284162</v>
      </c>
      <c r="N41" s="17">
        <v>269801.83664831187</v>
      </c>
      <c r="O41" s="17"/>
      <c r="P41" s="17"/>
      <c r="R41" t="s">
        <v>101</v>
      </c>
    </row>
    <row r="42" spans="5:19" ht="18.600000000000001" thickBot="1">
      <c r="E42" s="3">
        <v>36</v>
      </c>
      <c r="F42" s="3"/>
      <c r="G42" s="3">
        <v>1500</v>
      </c>
      <c r="H42" s="3">
        <v>3000</v>
      </c>
      <c r="K42" s="18" t="s">
        <v>81</v>
      </c>
      <c r="L42" s="18">
        <v>40</v>
      </c>
      <c r="M42" s="18">
        <v>54236559.219512179</v>
      </c>
      <c r="N42" s="18"/>
      <c r="O42" s="18"/>
      <c r="P42" s="18"/>
      <c r="R42" t="s">
        <v>102</v>
      </c>
    </row>
    <row r="43" spans="5:19" ht="18.600000000000001" thickBot="1">
      <c r="E43" s="3">
        <v>37</v>
      </c>
      <c r="F43" s="3"/>
      <c r="G43" s="3">
        <v>300</v>
      </c>
      <c r="H43" s="3">
        <v>500</v>
      </c>
      <c r="R43" t="s">
        <v>104</v>
      </c>
    </row>
    <row r="44" spans="5:19" ht="18">
      <c r="E44" s="3">
        <v>38</v>
      </c>
      <c r="F44" s="3"/>
      <c r="G44" s="3">
        <v>2500</v>
      </c>
      <c r="H44" s="3">
        <v>2000</v>
      </c>
      <c r="K44" s="19"/>
      <c r="L44" s="19" t="s">
        <v>88</v>
      </c>
      <c r="M44" s="19" t="s">
        <v>76</v>
      </c>
      <c r="N44" s="19" t="s">
        <v>89</v>
      </c>
      <c r="O44" s="19" t="s">
        <v>90</v>
      </c>
      <c r="P44" s="19" t="s">
        <v>91</v>
      </c>
      <c r="Q44" s="19" t="s">
        <v>92</v>
      </c>
      <c r="R44" s="19" t="s">
        <v>93</v>
      </c>
      <c r="S44" s="19" t="s">
        <v>94</v>
      </c>
    </row>
    <row r="45" spans="5:19" ht="18">
      <c r="E45" s="3">
        <v>39</v>
      </c>
      <c r="F45" s="3"/>
      <c r="G45" s="3">
        <v>6000</v>
      </c>
      <c r="H45" s="3">
        <v>5000</v>
      </c>
      <c r="K45" s="17" t="s">
        <v>82</v>
      </c>
      <c r="L45" s="17">
        <v>222.15801271534019</v>
      </c>
      <c r="M45" s="17">
        <v>121.80089580367256</v>
      </c>
      <c r="N45" s="17">
        <v>1.8239439968769231</v>
      </c>
      <c r="O45" s="17">
        <v>7.5830098792540407E-2</v>
      </c>
      <c r="P45" s="17">
        <v>-24.207553279091741</v>
      </c>
      <c r="Q45" s="17">
        <v>468.5235787097721</v>
      </c>
      <c r="R45" s="17">
        <v>-24.207553279091741</v>
      </c>
      <c r="S45" s="17">
        <v>468.5235787097721</v>
      </c>
    </row>
    <row r="46" spans="5:19" ht="18.600000000000001" thickBot="1">
      <c r="E46" s="3">
        <v>40</v>
      </c>
      <c r="F46" s="2"/>
      <c r="G46" s="3">
        <v>6100</v>
      </c>
      <c r="H46" s="3">
        <v>4950</v>
      </c>
      <c r="K46" s="18" t="s">
        <v>95</v>
      </c>
      <c r="L46" s="18">
        <v>0.70282099840914025</v>
      </c>
      <c r="M46" s="18">
        <v>5.5214796631527202E-2</v>
      </c>
      <c r="N46" s="18">
        <v>12.728852432426331</v>
      </c>
      <c r="O46" s="18">
        <v>1.8213026950299264E-15</v>
      </c>
      <c r="P46" s="18">
        <v>0.59113853061087396</v>
      </c>
      <c r="Q46" s="18">
        <v>0.81450346620740655</v>
      </c>
      <c r="R46" s="18">
        <v>0.59113853061087396</v>
      </c>
      <c r="S46" s="18">
        <v>0.81450346620740655</v>
      </c>
    </row>
    <row r="47" spans="5:19" ht="18">
      <c r="E47" s="3">
        <v>41</v>
      </c>
      <c r="G47" s="3">
        <v>3700</v>
      </c>
      <c r="H47" s="3">
        <v>2000</v>
      </c>
    </row>
    <row r="48" spans="5:19">
      <c r="R48" t="s">
        <v>112</v>
      </c>
    </row>
    <row r="49" spans="11:22">
      <c r="Q49">
        <f>M40</f>
        <v>43714287.590228021</v>
      </c>
      <c r="R49" t="s">
        <v>113</v>
      </c>
    </row>
    <row r="50" spans="11:22">
      <c r="K50" t="s">
        <v>96</v>
      </c>
      <c r="Q50">
        <f>M41</f>
        <v>10522271.629284162</v>
      </c>
      <c r="R50" t="s">
        <v>114</v>
      </c>
    </row>
    <row r="51" spans="11:22" ht="15" thickBot="1">
      <c r="Q51">
        <f>M42</f>
        <v>54236559.219512179</v>
      </c>
      <c r="R51" t="s">
        <v>115</v>
      </c>
    </row>
    <row r="52" spans="11:22">
      <c r="K52" s="19" t="s">
        <v>97</v>
      </c>
      <c r="L52" s="19" t="s">
        <v>98</v>
      </c>
      <c r="M52" s="19" t="s">
        <v>99</v>
      </c>
      <c r="R52" t="s">
        <v>116</v>
      </c>
    </row>
    <row r="53" spans="11:22">
      <c r="K53" s="17">
        <v>1</v>
      </c>
      <c r="L53" s="17">
        <v>250.27085265170581</v>
      </c>
      <c r="M53" s="17">
        <v>-245.27085265170581</v>
      </c>
    </row>
    <row r="54" spans="11:22">
      <c r="K54" s="17">
        <v>2</v>
      </c>
      <c r="L54" s="17">
        <v>1135.8253106472225</v>
      </c>
      <c r="M54" s="17">
        <v>-635.82531064722252</v>
      </c>
      <c r="Q54" t="s">
        <v>117</v>
      </c>
    </row>
    <row r="55" spans="11:22" ht="18">
      <c r="K55" s="17">
        <v>3</v>
      </c>
      <c r="L55" s="17">
        <v>503.28641207899631</v>
      </c>
      <c r="M55" s="17">
        <v>-403.28641207899631</v>
      </c>
      <c r="Q55" t="s">
        <v>118</v>
      </c>
      <c r="S55">
        <f>4035</f>
        <v>4035</v>
      </c>
      <c r="V55" s="3" t="s">
        <v>122</v>
      </c>
    </row>
    <row r="56" spans="11:22">
      <c r="K56" s="17">
        <v>4</v>
      </c>
      <c r="L56" s="17">
        <v>1276.3895103290506</v>
      </c>
      <c r="M56" s="17">
        <v>723.61048967094939</v>
      </c>
      <c r="Q56">
        <f>L46*S55+L45</f>
        <v>3058.0407412962213</v>
      </c>
      <c r="V56">
        <f>SQRT(_xlfn.VAR.S(G7:G47))</f>
        <v>1487.4315130780178</v>
      </c>
    </row>
    <row r="57" spans="11:22">
      <c r="K57" s="17">
        <v>5</v>
      </c>
      <c r="L57" s="17">
        <v>573.56851191991029</v>
      </c>
      <c r="M57" s="17">
        <v>-173.56851191991029</v>
      </c>
    </row>
    <row r="58" spans="11:22">
      <c r="K58" s="17">
        <v>6</v>
      </c>
      <c r="L58" s="17">
        <v>573.56851191991029</v>
      </c>
      <c r="M58" s="17">
        <v>26.431488080089707</v>
      </c>
      <c r="Q58" s="22" t="s">
        <v>119</v>
      </c>
      <c r="R58">
        <v>0.1</v>
      </c>
      <c r="S58" t="s">
        <v>121</v>
      </c>
      <c r="T58">
        <f>_xlfn.T.INV(1-0.1/2, L36-1)</f>
        <v>1.6838510133356521</v>
      </c>
    </row>
    <row r="59" spans="11:22">
      <c r="K59" s="17">
        <v>7</v>
      </c>
      <c r="L59" s="17">
        <v>292.44011255625423</v>
      </c>
      <c r="M59" s="17">
        <v>-280.44011255625423</v>
      </c>
      <c r="Q59">
        <f>Q56-T58*V56/SQRT(L36)</f>
        <v>2666.8858975526373</v>
      </c>
      <c r="R59" s="22" t="s">
        <v>120</v>
      </c>
      <c r="S59">
        <f>Q56+T58*V56/SQRT(L36)</f>
        <v>3449.1955850398053</v>
      </c>
    </row>
    <row r="60" spans="11:22">
      <c r="K60" s="17">
        <v>8</v>
      </c>
      <c r="L60" s="17">
        <v>573.56851191991029</v>
      </c>
      <c r="M60" s="17">
        <v>426.43148808008971</v>
      </c>
    </row>
    <row r="61" spans="11:22">
      <c r="K61" s="17">
        <v>9</v>
      </c>
      <c r="L61" s="17">
        <v>925.68183212288955</v>
      </c>
      <c r="M61" s="17">
        <v>274.31816787711045</v>
      </c>
    </row>
    <row r="62" spans="11:22">
      <c r="K62" s="17">
        <v>10</v>
      </c>
      <c r="L62" s="17">
        <v>2330.621007942761</v>
      </c>
      <c r="M62" s="17">
        <v>-230.62100794276103</v>
      </c>
    </row>
    <row r="63" spans="11:22">
      <c r="K63" s="17">
        <v>11</v>
      </c>
      <c r="L63" s="17">
        <v>573.56851191991029</v>
      </c>
      <c r="M63" s="17">
        <v>-373.56851191991029</v>
      </c>
    </row>
    <row r="64" spans="11:22">
      <c r="K64" s="17">
        <v>12</v>
      </c>
      <c r="L64" s="17">
        <v>1293.9600352892792</v>
      </c>
      <c r="M64" s="17">
        <v>206.03996471072082</v>
      </c>
    </row>
    <row r="65" spans="11:15">
      <c r="K65" s="17">
        <v>13</v>
      </c>
      <c r="L65" s="17">
        <v>784.41481144265242</v>
      </c>
      <c r="M65" s="17">
        <v>215.58518855734758</v>
      </c>
    </row>
    <row r="66" spans="11:15">
      <c r="K66" s="17">
        <v>14</v>
      </c>
      <c r="L66" s="17">
        <v>1627.8000095336206</v>
      </c>
      <c r="M66" s="17">
        <v>-127.8000095336206</v>
      </c>
    </row>
    <row r="67" spans="11:15">
      <c r="K67" s="17">
        <v>15</v>
      </c>
      <c r="L67" s="17">
        <v>3736.2630047610414</v>
      </c>
      <c r="M67" s="17">
        <v>-736.26300476104143</v>
      </c>
    </row>
    <row r="68" spans="11:15">
      <c r="K68" s="17">
        <v>16</v>
      </c>
      <c r="L68" s="17">
        <v>1276.3895103290506</v>
      </c>
      <c r="M68" s="17">
        <v>723.61048967094939</v>
      </c>
      <c r="O68" t="s">
        <v>216</v>
      </c>
    </row>
    <row r="69" spans="11:15">
      <c r="K69" s="17">
        <v>17</v>
      </c>
      <c r="L69" s="17">
        <v>1276.3895103290506</v>
      </c>
      <c r="M69" s="17">
        <v>-276.38951032905061</v>
      </c>
    </row>
    <row r="70" spans="11:15">
      <c r="K70" s="17">
        <v>18</v>
      </c>
      <c r="L70" s="17">
        <v>714.13271160173838</v>
      </c>
      <c r="M70" s="17">
        <v>-164.13271160173838</v>
      </c>
    </row>
    <row r="71" spans="11:15">
      <c r="K71" s="17">
        <v>19</v>
      </c>
      <c r="L71" s="17">
        <v>1662.9410594540777</v>
      </c>
      <c r="M71" s="17">
        <v>337.05894054592227</v>
      </c>
    </row>
    <row r="72" spans="11:15">
      <c r="K72" s="17">
        <v>20</v>
      </c>
      <c r="L72" s="17">
        <v>1627.8000095336206</v>
      </c>
      <c r="M72" s="17">
        <v>872.1999904663794</v>
      </c>
    </row>
    <row r="73" spans="11:15">
      <c r="K73" s="17">
        <v>21</v>
      </c>
      <c r="L73" s="17">
        <v>960.12006104493742</v>
      </c>
      <c r="M73" s="17">
        <v>-360.12006104493742</v>
      </c>
    </row>
    <row r="74" spans="11:15">
      <c r="K74" s="17">
        <v>22</v>
      </c>
      <c r="L74" s="17">
        <v>1276.3895103290506</v>
      </c>
      <c r="M74" s="17">
        <v>223.61048967094939</v>
      </c>
    </row>
    <row r="75" spans="11:15">
      <c r="K75" s="17">
        <v>23</v>
      </c>
      <c r="L75" s="17">
        <v>924.97901112448039</v>
      </c>
      <c r="M75" s="17">
        <v>-124.97901112448039</v>
      </c>
    </row>
    <row r="76" spans="11:15">
      <c r="K76" s="17">
        <v>24</v>
      </c>
      <c r="L76" s="17">
        <v>924.97901112448039</v>
      </c>
      <c r="M76" s="17">
        <v>75.020988875519606</v>
      </c>
    </row>
    <row r="77" spans="11:15">
      <c r="K77" s="17">
        <v>25</v>
      </c>
      <c r="L77" s="17">
        <v>1627.8000095336206</v>
      </c>
      <c r="M77" s="17">
        <v>-127.8000095336206</v>
      </c>
    </row>
    <row r="78" spans="11:15">
      <c r="K78" s="17">
        <v>26</v>
      </c>
      <c r="L78" s="17">
        <v>1276.3895103290506</v>
      </c>
      <c r="M78" s="17">
        <v>-276.38951032905061</v>
      </c>
    </row>
    <row r="79" spans="11:15">
      <c r="K79" s="17">
        <v>27</v>
      </c>
      <c r="L79" s="17">
        <v>2330.621007942761</v>
      </c>
      <c r="M79" s="17">
        <v>-330.62100794276103</v>
      </c>
    </row>
    <row r="80" spans="11:15">
      <c r="K80" s="17">
        <v>28</v>
      </c>
      <c r="L80" s="17">
        <v>292.44011255625423</v>
      </c>
      <c r="M80" s="17">
        <v>-284.44011255625423</v>
      </c>
    </row>
    <row r="81" spans="11:13">
      <c r="K81" s="17">
        <v>29</v>
      </c>
      <c r="L81" s="17">
        <v>784.41481144265242</v>
      </c>
      <c r="M81" s="17">
        <v>-384.41481144265242</v>
      </c>
    </row>
    <row r="82" spans="11:13">
      <c r="K82" s="17">
        <v>30</v>
      </c>
      <c r="L82" s="17">
        <v>573.56851191991029</v>
      </c>
      <c r="M82" s="17">
        <v>-73.568511919910293</v>
      </c>
    </row>
    <row r="83" spans="11:13">
      <c r="K83" s="17">
        <v>31</v>
      </c>
      <c r="L83" s="17">
        <v>3033.442006351901</v>
      </c>
      <c r="M83" s="17">
        <v>-1033.442006351901</v>
      </c>
    </row>
    <row r="84" spans="11:13">
      <c r="K84" s="17">
        <v>32</v>
      </c>
      <c r="L84" s="17">
        <v>1627.8000095336206</v>
      </c>
      <c r="M84" s="17">
        <v>872.1999904663794</v>
      </c>
    </row>
    <row r="85" spans="11:13">
      <c r="K85" s="17">
        <v>33</v>
      </c>
      <c r="L85" s="17">
        <v>924.97901112448039</v>
      </c>
      <c r="M85" s="17">
        <v>-124.97901112448039</v>
      </c>
    </row>
    <row r="86" spans="11:13">
      <c r="K86" s="17">
        <v>34</v>
      </c>
      <c r="L86" s="17">
        <v>573.56851191991029</v>
      </c>
      <c r="M86" s="17">
        <v>-73.568511919910293</v>
      </c>
    </row>
    <row r="87" spans="11:13">
      <c r="K87" s="17">
        <v>35</v>
      </c>
      <c r="L87" s="17">
        <v>924.97901112448039</v>
      </c>
      <c r="M87" s="17">
        <v>-124.97901112448039</v>
      </c>
    </row>
    <row r="88" spans="11:13">
      <c r="K88" s="17">
        <v>36</v>
      </c>
      <c r="L88" s="17">
        <v>1276.3895103290506</v>
      </c>
      <c r="M88" s="17">
        <v>1723.6104896709494</v>
      </c>
    </row>
    <row r="89" spans="11:13">
      <c r="K89" s="17">
        <v>37</v>
      </c>
      <c r="L89" s="17">
        <v>433.00431223808226</v>
      </c>
      <c r="M89" s="17">
        <v>66.995687761917736</v>
      </c>
    </row>
    <row r="90" spans="11:13">
      <c r="K90" s="17">
        <v>38</v>
      </c>
      <c r="L90" s="17">
        <v>1979.2105087381908</v>
      </c>
      <c r="M90" s="17">
        <v>20.789491261809189</v>
      </c>
    </row>
    <row r="91" spans="11:13">
      <c r="K91" s="17">
        <v>39</v>
      </c>
      <c r="L91" s="17">
        <v>4439.0840031701819</v>
      </c>
      <c r="M91" s="17">
        <v>560.91599682981814</v>
      </c>
    </row>
    <row r="92" spans="11:13">
      <c r="K92" s="17">
        <v>40</v>
      </c>
      <c r="L92" s="17">
        <v>4509.3661030110961</v>
      </c>
      <c r="M92" s="17">
        <v>440.63389698890387</v>
      </c>
    </row>
    <row r="93" spans="11:13" ht="15" thickBot="1">
      <c r="K93" s="18">
        <v>41</v>
      </c>
      <c r="L93" s="18">
        <v>2822.5957068291591</v>
      </c>
      <c r="M93" s="18">
        <v>-822.5957068291591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3:O66"/>
  <sheetViews>
    <sheetView topLeftCell="B28" zoomScale="67" zoomScaleNormal="115" workbookViewId="0">
      <selection activeCell="N61" sqref="N61"/>
    </sheetView>
  </sheetViews>
  <sheetFormatPr defaultRowHeight="14.4"/>
  <cols>
    <col min="7" max="7" width="37.109375" customWidth="1"/>
    <col min="8" max="8" width="13.44140625" customWidth="1"/>
    <col min="9" max="9" width="21.33203125" customWidth="1"/>
    <col min="10" max="11" width="15.5546875" customWidth="1"/>
    <col min="14" max="14" width="11" bestFit="1" customWidth="1"/>
  </cols>
  <sheetData>
    <row r="3" spans="7:12" ht="18">
      <c r="G3" s="2" t="s">
        <v>27</v>
      </c>
      <c r="H3" s="2"/>
      <c r="I3" s="2"/>
      <c r="J3" s="2"/>
      <c r="K3" s="2"/>
      <c r="L3" s="2"/>
    </row>
    <row r="4" spans="7:12" ht="18">
      <c r="G4" s="2" t="s">
        <v>28</v>
      </c>
      <c r="H4" s="2"/>
      <c r="I4" s="2"/>
      <c r="J4" s="2"/>
      <c r="K4" s="2"/>
      <c r="L4" s="2"/>
    </row>
    <row r="5" spans="7:12" ht="18">
      <c r="G5" s="2"/>
      <c r="H5" s="2"/>
      <c r="I5" s="2"/>
      <c r="J5" s="2"/>
      <c r="K5" s="2"/>
      <c r="L5" s="2"/>
    </row>
    <row r="6" spans="7:12" ht="18">
      <c r="G6" s="2"/>
      <c r="H6" s="2"/>
      <c r="I6" s="2"/>
      <c r="J6" s="2"/>
      <c r="K6" s="2"/>
      <c r="L6" s="2"/>
    </row>
    <row r="7" spans="7:12" ht="18">
      <c r="G7" s="2"/>
      <c r="H7" s="2"/>
      <c r="I7" s="2"/>
      <c r="J7" s="2"/>
      <c r="K7" s="2"/>
      <c r="L7" s="2"/>
    </row>
    <row r="8" spans="7:12" ht="18">
      <c r="G8" s="1" t="s">
        <v>2</v>
      </c>
      <c r="H8" s="26" t="s">
        <v>29</v>
      </c>
      <c r="I8" s="26" t="s">
        <v>30</v>
      </c>
      <c r="J8" s="26" t="s">
        <v>31</v>
      </c>
      <c r="K8" s="26" t="s">
        <v>32</v>
      </c>
      <c r="L8" s="2"/>
    </row>
    <row r="9" spans="7:12" ht="18">
      <c r="G9" s="1" t="s">
        <v>3</v>
      </c>
      <c r="H9" s="26"/>
      <c r="I9" s="26"/>
      <c r="J9" s="26"/>
      <c r="K9" s="26"/>
      <c r="L9" s="2"/>
    </row>
    <row r="10" spans="7:12" ht="18">
      <c r="G10" s="5" t="s">
        <v>4</v>
      </c>
      <c r="H10" s="4">
        <v>107</v>
      </c>
      <c r="I10" s="4">
        <v>124</v>
      </c>
      <c r="J10" s="4">
        <v>134</v>
      </c>
      <c r="K10" s="4">
        <v>150</v>
      </c>
      <c r="L10" s="2">
        <f>SUM(H10:K10)</f>
        <v>515</v>
      </c>
    </row>
    <row r="11" spans="7:12" ht="18">
      <c r="G11" s="5" t="s">
        <v>5</v>
      </c>
      <c r="H11" s="4">
        <v>73</v>
      </c>
      <c r="I11" s="4">
        <v>102</v>
      </c>
      <c r="J11" s="4">
        <v>127</v>
      </c>
      <c r="K11" s="4">
        <v>180</v>
      </c>
      <c r="L11" s="2">
        <f t="shared" ref="L11:L15" si="0">SUM(H11:K11)</f>
        <v>482</v>
      </c>
    </row>
    <row r="12" spans="7:12" ht="18">
      <c r="G12" s="5" t="s">
        <v>6</v>
      </c>
      <c r="H12" s="4">
        <v>80</v>
      </c>
      <c r="I12" s="4">
        <v>97</v>
      </c>
      <c r="J12" s="4">
        <v>109</v>
      </c>
      <c r="K12" s="4">
        <v>109</v>
      </c>
      <c r="L12" s="2">
        <f t="shared" si="0"/>
        <v>395</v>
      </c>
    </row>
    <row r="13" spans="7:12" ht="18">
      <c r="G13" s="5" t="s">
        <v>7</v>
      </c>
      <c r="H13" s="4">
        <v>59</v>
      </c>
      <c r="I13" s="4">
        <v>72</v>
      </c>
      <c r="J13" s="4">
        <v>112</v>
      </c>
      <c r="K13" s="4">
        <v>120</v>
      </c>
      <c r="L13" s="2">
        <f t="shared" si="0"/>
        <v>363</v>
      </c>
    </row>
    <row r="14" spans="7:12" ht="18">
      <c r="G14" s="5" t="s">
        <v>8</v>
      </c>
      <c r="H14" s="4">
        <v>100</v>
      </c>
      <c r="I14" s="4">
        <v>85</v>
      </c>
      <c r="J14" s="4">
        <v>81</v>
      </c>
      <c r="K14" s="4">
        <v>50</v>
      </c>
      <c r="L14" s="2">
        <f t="shared" si="0"/>
        <v>316</v>
      </c>
    </row>
    <row r="15" spans="7:12" ht="18">
      <c r="G15" s="2"/>
      <c r="H15" s="2">
        <f>SUM(H10:H14)</f>
        <v>419</v>
      </c>
      <c r="I15" s="2">
        <f t="shared" ref="I15:J15" si="1">SUM(I10:I14)</f>
        <v>480</v>
      </c>
      <c r="J15" s="2">
        <f t="shared" si="1"/>
        <v>563</v>
      </c>
      <c r="K15" s="2">
        <f>SUM(K10:K14)</f>
        <v>609</v>
      </c>
      <c r="L15" s="2">
        <f t="shared" si="0"/>
        <v>2071</v>
      </c>
    </row>
    <row r="16" spans="7:12" ht="18">
      <c r="L16" s="2"/>
    </row>
    <row r="17" spans="7:12" ht="18">
      <c r="G17" s="2" t="s">
        <v>33</v>
      </c>
      <c r="H17" s="2"/>
      <c r="I17" s="2"/>
      <c r="J17" s="2"/>
      <c r="K17" s="2"/>
      <c r="L17" s="2"/>
    </row>
    <row r="18" spans="7:12" ht="18">
      <c r="G18" s="2" t="s">
        <v>61</v>
      </c>
      <c r="H18" s="2"/>
      <c r="I18" s="2"/>
      <c r="J18" s="2"/>
      <c r="K18" s="2"/>
      <c r="L18" s="2"/>
    </row>
    <row r="19" spans="7:12" ht="18">
      <c r="G19" s="2" t="s">
        <v>62</v>
      </c>
      <c r="H19" s="2"/>
      <c r="I19" s="2"/>
      <c r="J19" s="2"/>
      <c r="K19" s="2"/>
    </row>
    <row r="21" spans="7:12">
      <c r="H21" t="s">
        <v>123</v>
      </c>
    </row>
    <row r="23" spans="7:12" ht="18">
      <c r="G23" s="1" t="s">
        <v>2</v>
      </c>
      <c r="H23" s="26" t="s">
        <v>29</v>
      </c>
      <c r="I23" s="26" t="s">
        <v>30</v>
      </c>
      <c r="J23" s="26" t="s">
        <v>31</v>
      </c>
      <c r="K23" s="26" t="s">
        <v>32</v>
      </c>
    </row>
    <row r="24" spans="7:12" ht="18">
      <c r="G24" s="1" t="s">
        <v>3</v>
      </c>
      <c r="H24" s="26"/>
      <c r="I24" s="26"/>
      <c r="J24" s="26"/>
      <c r="K24" s="26"/>
    </row>
    <row r="25" spans="7:12" ht="18">
      <c r="G25" s="5" t="s">
        <v>4</v>
      </c>
      <c r="H25" s="23">
        <f t="shared" ref="H25:K29" si="2">H$15/$L$15*$L10/$L$15</f>
        <v>5.031078042853869E-2</v>
      </c>
      <c r="I25" s="23">
        <f t="shared" si="2"/>
        <v>5.76352615887794E-2</v>
      </c>
      <c r="J25" s="23">
        <f t="shared" si="2"/>
        <v>6.7601358905172521E-2</v>
      </c>
      <c r="K25" s="23">
        <f t="shared" si="2"/>
        <v>7.3124738140763867E-2</v>
      </c>
      <c r="L25">
        <f>SUM(H25:K25)</f>
        <v>0.24867213906325447</v>
      </c>
    </row>
    <row r="26" spans="7:12" ht="18">
      <c r="G26" s="5" t="s">
        <v>5</v>
      </c>
      <c r="H26" s="23">
        <f t="shared" si="2"/>
        <v>4.7086982847680869E-2</v>
      </c>
      <c r="I26" s="23">
        <f t="shared" si="2"/>
        <v>5.3942128321925575E-2</v>
      </c>
      <c r="J26" s="23">
        <f t="shared" si="2"/>
        <v>6.3269621344258536E-2</v>
      </c>
      <c r="K26" s="23">
        <f t="shared" si="2"/>
        <v>6.8439075308443065E-2</v>
      </c>
      <c r="L26">
        <f t="shared" ref="L26:L30" si="3">SUM(H26:K26)</f>
        <v>0.23273780782230805</v>
      </c>
    </row>
    <row r="27" spans="7:12" ht="18">
      <c r="G27" s="5" t="s">
        <v>6</v>
      </c>
      <c r="H27" s="23">
        <f t="shared" si="2"/>
        <v>3.8587880134510262E-2</v>
      </c>
      <c r="I27" s="23">
        <f t="shared" si="2"/>
        <v>4.4205686072947309E-2</v>
      </c>
      <c r="J27" s="23">
        <f t="shared" si="2"/>
        <v>5.1849585956394453E-2</v>
      </c>
      <c r="K27" s="23">
        <f t="shared" si="2"/>
        <v>5.6085964205051894E-2</v>
      </c>
      <c r="L27">
        <f t="shared" si="3"/>
        <v>0.19072911636890394</v>
      </c>
    </row>
    <row r="28" spans="7:12" ht="18">
      <c r="G28" s="5" t="s">
        <v>7</v>
      </c>
      <c r="H28" s="23">
        <f t="shared" si="2"/>
        <v>3.5461773389436006E-2</v>
      </c>
      <c r="I28" s="23">
        <f t="shared" si="2"/>
        <v>4.0624465935392082E-2</v>
      </c>
      <c r="J28" s="23">
        <f t="shared" si="2"/>
        <v>4.7649113170053638E-2</v>
      </c>
      <c r="K28" s="23">
        <f t="shared" si="2"/>
        <v>5.1542291155528705E-2</v>
      </c>
      <c r="L28">
        <f t="shared" si="3"/>
        <v>0.17527764365041043</v>
      </c>
    </row>
    <row r="29" spans="7:12" ht="18">
      <c r="G29" s="5" t="s">
        <v>8</v>
      </c>
      <c r="H29" s="23">
        <f t="shared" si="2"/>
        <v>3.0870304107608205E-2</v>
      </c>
      <c r="I29" s="23">
        <f t="shared" si="2"/>
        <v>3.5364548858357846E-2</v>
      </c>
      <c r="J29" s="23">
        <f t="shared" si="2"/>
        <v>4.1479668765115559E-2</v>
      </c>
      <c r="K29" s="23">
        <f t="shared" si="2"/>
        <v>4.4868771364041514E-2</v>
      </c>
      <c r="L29">
        <f t="shared" si="3"/>
        <v>0.15258329309512314</v>
      </c>
    </row>
    <row r="30" spans="7:12">
      <c r="H30">
        <f>SUM(H25:H29)</f>
        <v>0.20231772090777406</v>
      </c>
      <c r="I30">
        <f t="shared" ref="I30:K30" si="4">SUM(I25:I29)</f>
        <v>0.23177209077740221</v>
      </c>
      <c r="J30">
        <f t="shared" si="4"/>
        <v>0.27184934814099471</v>
      </c>
      <c r="K30">
        <f t="shared" si="4"/>
        <v>0.29406084017382905</v>
      </c>
      <c r="L30">
        <f t="shared" si="3"/>
        <v>1</v>
      </c>
    </row>
    <row r="33" spans="7:11">
      <c r="H33" t="s">
        <v>124</v>
      </c>
    </row>
    <row r="35" spans="7:11" ht="18">
      <c r="G35" s="1" t="s">
        <v>2</v>
      </c>
      <c r="H35" s="26" t="s">
        <v>29</v>
      </c>
      <c r="I35" s="26" t="s">
        <v>30</v>
      </c>
      <c r="J35" s="26" t="s">
        <v>31</v>
      </c>
      <c r="K35" s="26" t="s">
        <v>32</v>
      </c>
    </row>
    <row r="36" spans="7:11" ht="18">
      <c r="G36" s="1" t="s">
        <v>3</v>
      </c>
      <c r="H36" s="26"/>
      <c r="I36" s="26"/>
      <c r="J36" s="26"/>
      <c r="K36" s="26"/>
    </row>
    <row r="37" spans="7:11" ht="18">
      <c r="G37" s="5" t="s">
        <v>4</v>
      </c>
      <c r="H37">
        <f>H25*$L$15</f>
        <v>104.19362626750363</v>
      </c>
      <c r="I37">
        <f t="shared" ref="I37:K37" si="5">I25*$L$15</f>
        <v>119.36262675036214</v>
      </c>
      <c r="J37">
        <f t="shared" si="5"/>
        <v>140.00241429261229</v>
      </c>
      <c r="K37">
        <f t="shared" si="5"/>
        <v>151.44133268952197</v>
      </c>
    </row>
    <row r="38" spans="7:11" ht="18">
      <c r="G38" s="5" t="s">
        <v>5</v>
      </c>
      <c r="H38">
        <f t="shared" ref="H38:K38" si="6">H26*$L$15</f>
        <v>97.517141477547085</v>
      </c>
      <c r="I38">
        <f t="shared" si="6"/>
        <v>111.71414775470787</v>
      </c>
      <c r="J38">
        <f t="shared" si="6"/>
        <v>131.03138580395944</v>
      </c>
      <c r="K38">
        <f t="shared" si="6"/>
        <v>141.7373249637856</v>
      </c>
    </row>
    <row r="39" spans="7:11" ht="18">
      <c r="G39" s="5" t="s">
        <v>6</v>
      </c>
      <c r="H39">
        <f t="shared" ref="H39:K39" si="7">H27*$L$15</f>
        <v>79.915499758570746</v>
      </c>
      <c r="I39">
        <f t="shared" si="7"/>
        <v>91.549975857073875</v>
      </c>
      <c r="J39">
        <f t="shared" si="7"/>
        <v>107.38049251569291</v>
      </c>
      <c r="K39">
        <f t="shared" si="7"/>
        <v>116.15403186866247</v>
      </c>
    </row>
    <row r="40" spans="7:11" ht="18">
      <c r="G40" s="5" t="s">
        <v>7</v>
      </c>
      <c r="H40">
        <f t="shared" ref="H40:K40" si="8">H28*$L$15</f>
        <v>73.441332689521971</v>
      </c>
      <c r="I40">
        <f t="shared" si="8"/>
        <v>84.133268952197</v>
      </c>
      <c r="J40">
        <f t="shared" si="8"/>
        <v>98.681313375181077</v>
      </c>
      <c r="K40">
        <f t="shared" si="8"/>
        <v>106.74408498309995</v>
      </c>
    </row>
    <row r="41" spans="7:11" ht="18">
      <c r="G41" s="5" t="s">
        <v>8</v>
      </c>
      <c r="H41">
        <f t="shared" ref="H41:K41" si="9">H29*$L$15</f>
        <v>63.932399806856594</v>
      </c>
      <c r="I41">
        <f t="shared" si="9"/>
        <v>73.239980685659106</v>
      </c>
      <c r="J41">
        <f t="shared" si="9"/>
        <v>85.90439401255432</v>
      </c>
      <c r="K41">
        <f t="shared" si="9"/>
        <v>92.92322549492998</v>
      </c>
    </row>
    <row r="44" spans="7:11">
      <c r="H44" t="s">
        <v>125</v>
      </c>
    </row>
    <row r="46" spans="7:11">
      <c r="H46">
        <f>(H10-H37)^2/H37</f>
        <v>7.5587478894588736E-2</v>
      </c>
      <c r="I46">
        <f t="shared" ref="I46:K46" si="10">(I10-I37)^2/I37</f>
        <v>0.18016720343657791</v>
      </c>
      <c r="J46">
        <f t="shared" si="10"/>
        <v>0.25734540023612612</v>
      </c>
      <c r="K46">
        <f t="shared" si="10"/>
        <v>1.3717786848480198E-2</v>
      </c>
    </row>
    <row r="47" spans="7:11">
      <c r="H47">
        <f t="shared" ref="H47:K47" si="11">(H11-H38)^2/H38</f>
        <v>6.1639442781293807</v>
      </c>
      <c r="I47">
        <f t="shared" si="11"/>
        <v>0.84469754723899027</v>
      </c>
      <c r="J47">
        <f t="shared" si="11"/>
        <v>0.12403189816431437</v>
      </c>
      <c r="K47">
        <f t="shared" si="11"/>
        <v>10.329193818925329</v>
      </c>
    </row>
    <row r="48" spans="7:11">
      <c r="H48">
        <f t="shared" ref="H48:K48" si="12">(H12-H39)^2/H39</f>
        <v>8.9348009124304921E-5</v>
      </c>
      <c r="I48">
        <f t="shared" si="12"/>
        <v>0.32444315665193674</v>
      </c>
      <c r="J48">
        <f t="shared" si="12"/>
        <v>2.4425334902830546E-2</v>
      </c>
      <c r="K48">
        <f t="shared" si="12"/>
        <v>0.44062329266115041</v>
      </c>
    </row>
    <row r="49" spans="8:15">
      <c r="H49">
        <f t="shared" ref="H49:K49" si="13">(H13-H40)^2/H40</f>
        <v>2.8397100408175251</v>
      </c>
      <c r="I49">
        <f t="shared" si="13"/>
        <v>1.7497978778168393</v>
      </c>
      <c r="J49">
        <f t="shared" si="13"/>
        <v>1.7975785621712697</v>
      </c>
      <c r="K49">
        <f t="shared" si="13"/>
        <v>1.6461734902041327</v>
      </c>
    </row>
    <row r="50" spans="8:15">
      <c r="H50">
        <f t="shared" ref="H50:K50" si="14">(H14-H41)^2/H41</f>
        <v>20.347613848728432</v>
      </c>
      <c r="I50">
        <f t="shared" si="14"/>
        <v>1.8882863291190162</v>
      </c>
      <c r="J50">
        <f t="shared" si="14"/>
        <v>0.27999825744493906</v>
      </c>
      <c r="K50">
        <f t="shared" si="14"/>
        <v>19.827155988995788</v>
      </c>
    </row>
    <row r="52" spans="8:15">
      <c r="H52" s="22" t="s">
        <v>126</v>
      </c>
      <c r="I52">
        <f>SUM(H46:K50)</f>
        <v>69.15458093939678</v>
      </c>
    </row>
    <row r="53" spans="8:15">
      <c r="H53" s="22" t="s">
        <v>127</v>
      </c>
      <c r="I53">
        <f>_xlfn.CHISQ.INV(1-0.05, 3*4)</f>
        <v>21.026069817483062</v>
      </c>
      <c r="N53" t="s">
        <v>130</v>
      </c>
      <c r="O53" t="s">
        <v>131</v>
      </c>
    </row>
    <row r="54" spans="8:15">
      <c r="N54" t="s">
        <v>132</v>
      </c>
      <c r="O54" t="s">
        <v>133</v>
      </c>
    </row>
    <row r="55" spans="8:15">
      <c r="H55" t="s">
        <v>83</v>
      </c>
      <c r="I55" t="s">
        <v>128</v>
      </c>
    </row>
    <row r="56" spans="8:15">
      <c r="I56">
        <f>3*4</f>
        <v>12</v>
      </c>
    </row>
    <row r="58" spans="8:15">
      <c r="H58" t="s">
        <v>129</v>
      </c>
      <c r="N58" t="s">
        <v>134</v>
      </c>
    </row>
    <row r="59" spans="8:15">
      <c r="N59">
        <f>_xlfn.CHISQ.TEST(H10:K14, H37:K41)</f>
        <v>4.6086960780476357E-10</v>
      </c>
    </row>
    <row r="60" spans="8:15">
      <c r="N60" t="s">
        <v>135</v>
      </c>
    </row>
    <row r="62" spans="8:15">
      <c r="H62" t="s">
        <v>108</v>
      </c>
    </row>
    <row r="63" spans="8:15">
      <c r="H63">
        <f>L12/L15</f>
        <v>0.19072911636890391</v>
      </c>
    </row>
    <row r="65" spans="8:8">
      <c r="H65" t="s">
        <v>109</v>
      </c>
    </row>
    <row r="66" spans="8:8">
      <c r="H66">
        <f>K11/K15</f>
        <v>0.29556650246305421</v>
      </c>
    </row>
  </sheetData>
  <mergeCells count="12">
    <mergeCell ref="H35:H36"/>
    <mergeCell ref="I35:I36"/>
    <mergeCell ref="J35:J36"/>
    <mergeCell ref="K35:K36"/>
    <mergeCell ref="H8:H9"/>
    <mergeCell ref="I8:I9"/>
    <mergeCell ref="J8:J9"/>
    <mergeCell ref="K8:K9"/>
    <mergeCell ref="H23:H24"/>
    <mergeCell ref="I23:I24"/>
    <mergeCell ref="J23:J24"/>
    <mergeCell ref="K23:K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41"/>
  <sheetViews>
    <sheetView topLeftCell="A17" zoomScale="70" zoomScaleNormal="130" workbookViewId="0">
      <selection activeCell="P28" sqref="P28"/>
    </sheetView>
  </sheetViews>
  <sheetFormatPr defaultRowHeight="14.4"/>
  <cols>
    <col min="7" max="7" width="9" bestFit="1" customWidth="1"/>
    <col min="12" max="12" width="9" bestFit="1" customWidth="1"/>
    <col min="13" max="13" width="7.5546875" customWidth="1"/>
    <col min="14" max="16" width="9" bestFit="1" customWidth="1"/>
    <col min="17" max="17" width="12.33203125" bestFit="1" customWidth="1"/>
  </cols>
  <sheetData>
    <row r="3" spans="3:22">
      <c r="C3" t="s">
        <v>34</v>
      </c>
    </row>
    <row r="4" spans="3:22" ht="18">
      <c r="C4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3:22" ht="18">
      <c r="C5" t="s">
        <v>36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3:22" ht="18">
      <c r="C6" t="s">
        <v>37</v>
      </c>
      <c r="E6" s="2"/>
      <c r="F6" s="2"/>
      <c r="G6" s="2"/>
      <c r="H6" s="2"/>
      <c r="I6" s="2"/>
      <c r="J6" s="2"/>
      <c r="K6" s="2"/>
      <c r="S6" s="2"/>
      <c r="T6" s="2"/>
      <c r="U6" s="2"/>
      <c r="V6" s="2"/>
    </row>
    <row r="7" spans="3:22" ht="18">
      <c r="C7" t="s">
        <v>38</v>
      </c>
      <c r="E7" s="2"/>
      <c r="F7" s="2"/>
      <c r="G7" s="2"/>
      <c r="H7" s="2"/>
      <c r="I7" s="2"/>
      <c r="J7" s="2"/>
      <c r="T7" s="2"/>
      <c r="U7" s="2"/>
      <c r="V7" s="2"/>
    </row>
    <row r="8" spans="3:22" ht="18">
      <c r="C8" t="s">
        <v>39</v>
      </c>
      <c r="E8" s="2"/>
      <c r="F8" s="2"/>
      <c r="G8" s="2"/>
      <c r="H8" s="2"/>
      <c r="I8" s="2"/>
      <c r="J8" s="2"/>
      <c r="T8" s="2"/>
      <c r="U8" s="2"/>
      <c r="V8" s="2"/>
    </row>
    <row r="9" spans="3:22" ht="18">
      <c r="C9" t="s">
        <v>40</v>
      </c>
      <c r="E9" s="2"/>
      <c r="F9" s="2"/>
      <c r="G9" s="2"/>
      <c r="H9" s="2"/>
      <c r="I9" s="2"/>
      <c r="J9" s="2"/>
      <c r="T9" s="2"/>
      <c r="U9" s="2"/>
      <c r="V9" s="2"/>
    </row>
    <row r="10" spans="3:22" ht="18">
      <c r="C10" t="s">
        <v>41</v>
      </c>
      <c r="E10" s="2"/>
      <c r="F10" s="2"/>
      <c r="G10" s="14"/>
      <c r="H10" s="14"/>
      <c r="I10" s="14"/>
      <c r="J10" s="2"/>
      <c r="T10" s="2"/>
      <c r="U10" s="2"/>
      <c r="V10" s="2"/>
    </row>
    <row r="11" spans="3:22" ht="18">
      <c r="C11" t="s">
        <v>42</v>
      </c>
      <c r="E11" s="2"/>
      <c r="F11" s="2"/>
      <c r="G11" s="14"/>
      <c r="H11" s="14"/>
      <c r="I11" s="14"/>
      <c r="J11" s="2"/>
      <c r="T11" s="2"/>
      <c r="U11" s="2"/>
      <c r="V11" s="2"/>
    </row>
    <row r="12" spans="3:22" ht="18">
      <c r="C12" t="s">
        <v>43</v>
      </c>
      <c r="E12" s="2"/>
      <c r="F12" s="2"/>
      <c r="G12" s="14"/>
      <c r="H12" s="14"/>
      <c r="I12" s="14"/>
      <c r="J12" s="2"/>
      <c r="T12" s="2"/>
      <c r="U12" s="2"/>
      <c r="V12" s="2"/>
    </row>
    <row r="13" spans="3:22" ht="18">
      <c r="C13" t="s">
        <v>44</v>
      </c>
      <c r="E13" s="2"/>
      <c r="F13" s="2"/>
      <c r="G13" s="14"/>
      <c r="H13" s="14"/>
      <c r="I13" s="14"/>
      <c r="J13" s="2"/>
      <c r="T13" s="2"/>
      <c r="U13" s="2"/>
      <c r="V13" s="2"/>
    </row>
    <row r="14" spans="3:22" ht="18">
      <c r="E14" s="2"/>
      <c r="F14" s="2"/>
      <c r="G14" s="14"/>
      <c r="H14" s="14"/>
      <c r="I14" s="14"/>
      <c r="J14" s="2"/>
      <c r="T14" s="2"/>
      <c r="U14" s="2"/>
      <c r="V14" s="2"/>
    </row>
    <row r="15" spans="3:22" ht="18">
      <c r="E15" s="2"/>
      <c r="F15" s="2" t="s">
        <v>45</v>
      </c>
      <c r="G15" s="14"/>
      <c r="H15" s="14"/>
      <c r="I15" s="14"/>
      <c r="J15" s="2"/>
      <c r="T15" s="2"/>
      <c r="U15" s="2"/>
      <c r="V15" s="2"/>
    </row>
    <row r="16" spans="3:22" ht="18">
      <c r="D16" s="15">
        <v>1</v>
      </c>
      <c r="E16" s="3">
        <v>2</v>
      </c>
      <c r="F16" s="3">
        <v>3</v>
      </c>
      <c r="G16" s="14">
        <v>4</v>
      </c>
      <c r="H16" s="14"/>
      <c r="I16" s="14"/>
      <c r="J16" s="2"/>
      <c r="T16" s="2"/>
      <c r="U16" s="2"/>
      <c r="V16" s="2"/>
    </row>
    <row r="17" spans="4:22" ht="18">
      <c r="D17" s="5">
        <v>203.32</v>
      </c>
      <c r="E17" s="5">
        <v>217.08</v>
      </c>
      <c r="F17" s="5">
        <v>226.78</v>
      </c>
      <c r="G17" s="5">
        <v>230.56</v>
      </c>
      <c r="H17" s="2"/>
      <c r="I17" s="2"/>
      <c r="J17" s="2"/>
      <c r="K17" s="2"/>
      <c r="L17" t="s">
        <v>136</v>
      </c>
      <c r="S17" s="2"/>
      <c r="T17" s="2"/>
      <c r="U17" s="2"/>
      <c r="V17" s="2"/>
    </row>
    <row r="18" spans="4:22" ht="18.600000000000001" thickBot="1">
      <c r="D18" s="5">
        <v>207.94</v>
      </c>
      <c r="E18" s="5">
        <v>221.43</v>
      </c>
      <c r="F18" s="5">
        <v>224.78</v>
      </c>
      <c r="G18" s="5">
        <v>227.97</v>
      </c>
      <c r="H18" s="2"/>
      <c r="I18" s="2"/>
      <c r="J18" s="2"/>
      <c r="K18" s="2"/>
      <c r="L18" t="s">
        <v>137</v>
      </c>
      <c r="S18" s="2"/>
      <c r="T18" s="2"/>
      <c r="U18" s="2"/>
      <c r="V18" s="2"/>
    </row>
    <row r="19" spans="4:22" ht="18">
      <c r="D19" s="5">
        <v>206.19</v>
      </c>
      <c r="E19" s="5">
        <v>218.14</v>
      </c>
      <c r="F19" s="5">
        <v>229.75</v>
      </c>
      <c r="G19" s="5">
        <v>231.84</v>
      </c>
      <c r="H19" s="2"/>
      <c r="I19" s="2"/>
      <c r="J19" s="2"/>
      <c r="K19" s="2"/>
      <c r="L19" s="19" t="s">
        <v>138</v>
      </c>
      <c r="M19" s="19" t="s">
        <v>139</v>
      </c>
      <c r="N19" s="19" t="s">
        <v>140</v>
      </c>
      <c r="O19" s="19" t="s">
        <v>141</v>
      </c>
      <c r="P19" s="19" t="s">
        <v>142</v>
      </c>
      <c r="S19" s="2"/>
      <c r="T19" s="2"/>
      <c r="U19" s="2"/>
      <c r="V19" s="2"/>
    </row>
    <row r="20" spans="4:22" ht="18">
      <c r="D20" s="5">
        <v>204.45</v>
      </c>
      <c r="E20" s="5">
        <v>224.13</v>
      </c>
      <c r="F20" s="5">
        <v>228.51</v>
      </c>
      <c r="G20" s="5">
        <v>224.87</v>
      </c>
      <c r="H20" s="2"/>
      <c r="I20" s="2"/>
      <c r="J20" s="2"/>
      <c r="K20" s="2"/>
      <c r="L20" s="17" t="s">
        <v>143</v>
      </c>
      <c r="M20" s="17">
        <v>10</v>
      </c>
      <c r="N20" s="17">
        <v>2063.17</v>
      </c>
      <c r="O20" s="17">
        <v>206.31700000000001</v>
      </c>
      <c r="P20" s="17">
        <v>6.3299344444444605</v>
      </c>
      <c r="S20" s="2"/>
      <c r="T20" s="2"/>
      <c r="U20" s="2"/>
      <c r="V20" s="2"/>
    </row>
    <row r="21" spans="4:22" ht="18">
      <c r="D21" s="5">
        <v>209.65</v>
      </c>
      <c r="E21" s="5">
        <v>211.82</v>
      </c>
      <c r="F21" s="5">
        <v>221.45</v>
      </c>
      <c r="G21" s="5">
        <v>229.49</v>
      </c>
      <c r="J21" s="2"/>
      <c r="K21" s="2"/>
      <c r="L21" s="17" t="s">
        <v>144</v>
      </c>
      <c r="M21" s="17">
        <v>10</v>
      </c>
      <c r="N21" s="17">
        <v>2185.3000000000002</v>
      </c>
      <c r="O21" s="17">
        <v>218.53000000000003</v>
      </c>
      <c r="P21" s="17">
        <v>30.720111111111155</v>
      </c>
      <c r="S21" s="2"/>
    </row>
    <row r="22" spans="4:22" ht="18">
      <c r="D22" s="5">
        <v>203.83</v>
      </c>
      <c r="E22" s="16">
        <v>213.91</v>
      </c>
      <c r="F22" s="5">
        <v>223.85</v>
      </c>
      <c r="G22" s="16">
        <v>231.1</v>
      </c>
      <c r="J22" s="2"/>
      <c r="K22" s="2"/>
      <c r="L22" s="17" t="s">
        <v>145</v>
      </c>
      <c r="M22" s="17">
        <v>10</v>
      </c>
      <c r="N22" s="17">
        <v>2265.89</v>
      </c>
      <c r="O22" s="17">
        <v>226.589</v>
      </c>
      <c r="P22" s="17">
        <v>23.175121111111146</v>
      </c>
      <c r="S22" s="2"/>
    </row>
    <row r="23" spans="4:22" ht="18.600000000000001" thickBot="1">
      <c r="D23" s="5">
        <v>206.75</v>
      </c>
      <c r="E23" s="5">
        <v>221.28</v>
      </c>
      <c r="F23" s="5">
        <v>223.97</v>
      </c>
      <c r="G23" s="5">
        <v>221.53</v>
      </c>
      <c r="J23" s="2"/>
      <c r="K23" s="2"/>
      <c r="L23" s="18" t="s">
        <v>146</v>
      </c>
      <c r="M23" s="18">
        <v>10</v>
      </c>
      <c r="N23" s="18">
        <v>2286.27</v>
      </c>
      <c r="O23" s="18">
        <v>228.62700000000001</v>
      </c>
      <c r="P23" s="18">
        <v>16.092645555555524</v>
      </c>
      <c r="S23" s="2"/>
    </row>
    <row r="24" spans="4:22" ht="18">
      <c r="D24" s="5">
        <v>205.69</v>
      </c>
      <c r="E24" s="5">
        <v>229.46</v>
      </c>
      <c r="F24" s="16">
        <v>234.3</v>
      </c>
      <c r="G24" s="5">
        <v>235.45</v>
      </c>
      <c r="J24" s="2"/>
      <c r="K24" s="2"/>
      <c r="S24" s="2"/>
    </row>
    <row r="25" spans="4:22" ht="18">
      <c r="D25" s="5">
        <v>204.49</v>
      </c>
      <c r="E25" s="5">
        <v>213.54</v>
      </c>
      <c r="F25" s="16">
        <v>219.5</v>
      </c>
      <c r="G25" s="5">
        <v>228.35</v>
      </c>
      <c r="J25" s="2"/>
      <c r="K25" s="2"/>
      <c r="S25" s="2"/>
      <c r="T25" t="s">
        <v>215</v>
      </c>
    </row>
    <row r="26" spans="4:22" ht="18.600000000000001" thickBot="1">
      <c r="D26" s="5">
        <v>210.86</v>
      </c>
      <c r="E26" s="5">
        <v>214.51</v>
      </c>
      <c r="F26" s="16">
        <v>233</v>
      </c>
      <c r="G26" s="5">
        <v>225.11</v>
      </c>
      <c r="J26" s="2"/>
      <c r="K26" s="2"/>
      <c r="L26" t="s">
        <v>78</v>
      </c>
      <c r="S26" s="2"/>
    </row>
    <row r="27" spans="4:22" ht="18">
      <c r="K27" s="2"/>
      <c r="L27" s="19" t="s">
        <v>147</v>
      </c>
      <c r="M27" s="19" t="s">
        <v>84</v>
      </c>
      <c r="N27" s="19" t="s">
        <v>83</v>
      </c>
      <c r="O27" s="19" t="s">
        <v>85</v>
      </c>
      <c r="P27" s="19" t="s">
        <v>86</v>
      </c>
      <c r="Q27" s="19" t="s">
        <v>90</v>
      </c>
      <c r="R27" s="19" t="s">
        <v>148</v>
      </c>
      <c r="S27" s="2"/>
      <c r="T27" s="21" t="s">
        <v>214</v>
      </c>
    </row>
    <row r="28" spans="4:22" ht="18">
      <c r="K28" s="2"/>
      <c r="L28" s="17" t="s">
        <v>149</v>
      </c>
      <c r="M28" s="17">
        <v>3072.2444674999988</v>
      </c>
      <c r="N28" s="17">
        <v>3</v>
      </c>
      <c r="O28" s="17">
        <v>1024.0814891666662</v>
      </c>
      <c r="P28" s="17">
        <v>53.674572650732941</v>
      </c>
      <c r="Q28" s="17">
        <v>2.2898453758384215E-13</v>
      </c>
      <c r="R28" s="17">
        <v>2.8662655509401795</v>
      </c>
      <c r="S28" s="2"/>
      <c r="T28" t="s">
        <v>212</v>
      </c>
    </row>
    <row r="29" spans="4:22" ht="18">
      <c r="K29" s="2"/>
      <c r="L29" s="17" t="s">
        <v>150</v>
      </c>
      <c r="M29" s="17">
        <v>686.8603100000006</v>
      </c>
      <c r="N29" s="17">
        <v>36</v>
      </c>
      <c r="O29" s="17">
        <v>19.079453055555572</v>
      </c>
      <c r="P29" s="17"/>
      <c r="Q29" s="17"/>
      <c r="R29" s="17"/>
      <c r="S29" s="2"/>
    </row>
    <row r="30" spans="4:22" ht="18">
      <c r="D30" t="s">
        <v>48</v>
      </c>
      <c r="K30" s="2"/>
      <c r="L30" s="17"/>
      <c r="M30" s="17"/>
      <c r="N30" s="17"/>
      <c r="O30" s="17"/>
      <c r="P30" s="17"/>
      <c r="Q30" s="17"/>
      <c r="R30" s="17"/>
      <c r="S30" s="2"/>
    </row>
    <row r="31" spans="4:22" ht="18.600000000000001" thickBot="1">
      <c r="D31" t="s">
        <v>46</v>
      </c>
      <c r="K31" s="2"/>
      <c r="L31" s="18" t="s">
        <v>81</v>
      </c>
      <c r="M31" s="18">
        <v>3759.1047774999993</v>
      </c>
      <c r="N31" s="18">
        <v>39</v>
      </c>
      <c r="O31" s="18"/>
      <c r="P31" s="18"/>
      <c r="Q31" s="18"/>
      <c r="R31" s="18"/>
    </row>
    <row r="32" spans="4:22" ht="18">
      <c r="D32" t="s">
        <v>47</v>
      </c>
      <c r="K32" s="2"/>
      <c r="L32" s="2"/>
      <c r="M32" s="2"/>
    </row>
    <row r="33" spans="4:14" ht="18">
      <c r="K33" s="2"/>
      <c r="L33" s="2" t="s">
        <v>100</v>
      </c>
      <c r="M33" s="2"/>
    </row>
    <row r="34" spans="4:14">
      <c r="D34" t="s">
        <v>51</v>
      </c>
      <c r="L34" s="24" t="s">
        <v>151</v>
      </c>
    </row>
    <row r="35" spans="4:14">
      <c r="D35" t="s">
        <v>49</v>
      </c>
      <c r="L35" t="s">
        <v>152</v>
      </c>
    </row>
    <row r="36" spans="4:14">
      <c r="D36" t="s">
        <v>50</v>
      </c>
      <c r="L36" t="s">
        <v>153</v>
      </c>
    </row>
    <row r="38" spans="4:14">
      <c r="L38" t="s">
        <v>154</v>
      </c>
      <c r="N38" t="s">
        <v>155</v>
      </c>
    </row>
    <row r="39" spans="4:14">
      <c r="L39">
        <f>MAX(P20:P23)/MIN(P20:P23)</f>
        <v>4.8531483826144539</v>
      </c>
      <c r="N39">
        <f>_xlfn.F.INV.RT(0.05, 4, 9)</f>
        <v>3.6330885114190816</v>
      </c>
    </row>
    <row r="40" spans="4:14">
      <c r="L40" t="s">
        <v>100</v>
      </c>
    </row>
    <row r="41" spans="4:14">
      <c r="L41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37"/>
  <sheetViews>
    <sheetView topLeftCell="C1" zoomScale="66" zoomScaleNormal="59" workbookViewId="0">
      <selection activeCell="W28" sqref="W28"/>
    </sheetView>
  </sheetViews>
  <sheetFormatPr defaultRowHeight="14.4"/>
  <cols>
    <col min="11" max="11" width="15.88671875" bestFit="1" customWidth="1"/>
    <col min="12" max="12" width="10.44140625" bestFit="1" customWidth="1"/>
    <col min="14" max="14" width="22.5546875" bestFit="1" customWidth="1"/>
  </cols>
  <sheetData>
    <row r="2" spans="2:19" ht="18">
      <c r="B2" s="9"/>
      <c r="C2" s="9"/>
      <c r="I2" s="9"/>
      <c r="J2" s="9" t="s">
        <v>52</v>
      </c>
      <c r="K2" s="9"/>
      <c r="L2" s="9"/>
      <c r="M2" s="9"/>
      <c r="N2" s="10"/>
      <c r="O2" s="10"/>
      <c r="P2" s="10"/>
      <c r="Q2" s="10"/>
      <c r="R2" s="8"/>
      <c r="S2" s="2"/>
    </row>
    <row r="3" spans="2:19" ht="18">
      <c r="B3" s="9"/>
      <c r="C3" s="9"/>
      <c r="I3" s="9"/>
      <c r="J3" s="9" t="s">
        <v>63</v>
      </c>
      <c r="K3" s="9"/>
      <c r="L3" s="9"/>
      <c r="M3" s="9"/>
      <c r="N3" s="10"/>
      <c r="O3" s="10"/>
      <c r="P3" s="10"/>
      <c r="Q3" s="10"/>
      <c r="R3" s="8"/>
      <c r="S3" s="2"/>
    </row>
    <row r="4" spans="2:19" ht="18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7"/>
      <c r="P4" s="7"/>
      <c r="Q4" s="7"/>
      <c r="R4" s="8"/>
      <c r="S4" s="2"/>
    </row>
    <row r="5" spans="2:19" ht="18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  <c r="S5" s="2"/>
    </row>
    <row r="6" spans="2:19" ht="18.600000000000001">
      <c r="B6" s="7"/>
      <c r="C6" s="7"/>
      <c r="D6" s="7"/>
      <c r="E6" s="23" t="s">
        <v>10</v>
      </c>
      <c r="F6" s="13" t="s">
        <v>11</v>
      </c>
      <c r="G6" s="7" t="s">
        <v>156</v>
      </c>
      <c r="H6" s="7" t="s">
        <v>157</v>
      </c>
      <c r="I6" s="7" t="s">
        <v>158</v>
      </c>
      <c r="J6" s="7" t="s">
        <v>1</v>
      </c>
      <c r="K6" s="7" t="s">
        <v>162</v>
      </c>
      <c r="L6" s="7"/>
      <c r="M6" s="7"/>
      <c r="N6" s="7" t="s">
        <v>167</v>
      </c>
      <c r="O6" s="7" t="s">
        <v>170</v>
      </c>
      <c r="P6" s="7"/>
      <c r="Q6" s="7"/>
      <c r="R6" s="8"/>
      <c r="S6" s="2"/>
    </row>
    <row r="7" spans="2:19" ht="18">
      <c r="B7" s="7"/>
      <c r="C7" s="7"/>
      <c r="D7" s="7"/>
      <c r="E7" s="23" t="s">
        <v>12</v>
      </c>
      <c r="F7" s="13">
        <v>15</v>
      </c>
      <c r="G7" s="7">
        <f>3</f>
        <v>3</v>
      </c>
      <c r="H7" s="7">
        <f>F7*G7</f>
        <v>45</v>
      </c>
      <c r="I7" s="7">
        <f>H7*G7</f>
        <v>135</v>
      </c>
      <c r="J7" s="7">
        <v>4</v>
      </c>
      <c r="K7" s="7">
        <f>_xlfn.NORM.DIST(J7,  $F$19, $F$20, 1)</f>
        <v>6.2189225835999506E-2</v>
      </c>
      <c r="L7" s="7" t="s">
        <v>163</v>
      </c>
      <c r="M7" s="7">
        <f>K7</f>
        <v>6.2189225835999506E-2</v>
      </c>
      <c r="N7" s="7">
        <f>M7*$F$17</f>
        <v>14.303521942279886</v>
      </c>
      <c r="O7" s="7">
        <f>(F7-N7)^2/N7</f>
        <v>3.3913443615011057E-2</v>
      </c>
      <c r="P7" s="7"/>
      <c r="Q7" s="7"/>
      <c r="R7" s="8"/>
      <c r="S7" s="2"/>
    </row>
    <row r="8" spans="2:19" ht="18">
      <c r="B8" s="8"/>
      <c r="C8" s="8"/>
      <c r="D8" s="8"/>
      <c r="E8" s="23" t="s">
        <v>13</v>
      </c>
      <c r="F8" s="13">
        <v>18</v>
      </c>
      <c r="G8" s="8">
        <f>G7+2</f>
        <v>5</v>
      </c>
      <c r="H8" s="7">
        <f t="shared" ref="H8:H16" si="0">F8*G8</f>
        <v>90</v>
      </c>
      <c r="I8" s="7">
        <f t="shared" ref="I8:I16" si="1">H8*G8</f>
        <v>450</v>
      </c>
      <c r="J8" s="8">
        <f>J7+2</f>
        <v>6</v>
      </c>
      <c r="K8" s="7">
        <f t="shared" ref="K8:K15" si="2">_xlfn.NORM.DIST(J8,  $F$19, $F$20, 1)</f>
        <v>0.1269611653936151</v>
      </c>
      <c r="L8" s="8" t="s">
        <v>164</v>
      </c>
      <c r="M8" s="8">
        <f>K8-K7</f>
        <v>6.4771939557615593E-2</v>
      </c>
      <c r="N8" s="7">
        <f t="shared" ref="N8:N15" si="3">M8*$F$17</f>
        <v>14.897546098251587</v>
      </c>
      <c r="O8" s="7">
        <f t="shared" ref="O8:O15" si="4">(F8-N8)^2/N8</f>
        <v>0.64609433989961562</v>
      </c>
      <c r="P8" s="8"/>
      <c r="Q8" s="8"/>
      <c r="R8" s="8"/>
    </row>
    <row r="9" spans="2:19" ht="18">
      <c r="E9" s="23" t="s">
        <v>14</v>
      </c>
      <c r="F9" s="13">
        <v>26</v>
      </c>
      <c r="G9" s="8">
        <f t="shared" ref="G9:G16" si="5">G8+2</f>
        <v>7</v>
      </c>
      <c r="H9" s="7">
        <f t="shared" si="0"/>
        <v>182</v>
      </c>
      <c r="I9" s="7">
        <f t="shared" si="1"/>
        <v>1274</v>
      </c>
      <c r="J9" s="8">
        <f t="shared" ref="J9:J15" si="6">J8+2</f>
        <v>8</v>
      </c>
      <c r="K9" s="7">
        <f t="shared" si="2"/>
        <v>0.22810692335698954</v>
      </c>
      <c r="L9" t="s">
        <v>165</v>
      </c>
      <c r="M9" s="8">
        <f t="shared" ref="M9:M15" si="7">K9-K8</f>
        <v>0.10114575796337444</v>
      </c>
      <c r="N9" s="7">
        <f t="shared" si="3"/>
        <v>23.263524331576122</v>
      </c>
      <c r="O9" s="7">
        <f t="shared" si="4"/>
        <v>0.3218901391356197</v>
      </c>
    </row>
    <row r="10" spans="2:19" ht="18">
      <c r="E10" s="23" t="s">
        <v>15</v>
      </c>
      <c r="F10" s="13">
        <v>30</v>
      </c>
      <c r="G10" s="8">
        <f t="shared" si="5"/>
        <v>9</v>
      </c>
      <c r="H10" s="7">
        <f t="shared" si="0"/>
        <v>270</v>
      </c>
      <c r="I10" s="7">
        <f t="shared" si="1"/>
        <v>2430</v>
      </c>
      <c r="J10" s="8">
        <f t="shared" si="6"/>
        <v>10</v>
      </c>
      <c r="K10" s="7">
        <f t="shared" si="2"/>
        <v>0.36342551830129577</v>
      </c>
      <c r="M10" s="8">
        <f t="shared" si="7"/>
        <v>0.13531859494430623</v>
      </c>
      <c r="N10" s="7">
        <f t="shared" si="3"/>
        <v>31.123276837190431</v>
      </c>
      <c r="O10" s="7">
        <f t="shared" si="4"/>
        <v>4.0540424440810262E-2</v>
      </c>
    </row>
    <row r="11" spans="2:19" ht="18">
      <c r="E11" s="23" t="s">
        <v>16</v>
      </c>
      <c r="F11" s="13">
        <v>33</v>
      </c>
      <c r="G11" s="8">
        <f t="shared" si="5"/>
        <v>11</v>
      </c>
      <c r="H11" s="7">
        <f t="shared" si="0"/>
        <v>363</v>
      </c>
      <c r="I11" s="7">
        <f t="shared" si="1"/>
        <v>3993</v>
      </c>
      <c r="J11" s="8">
        <f t="shared" si="6"/>
        <v>12</v>
      </c>
      <c r="K11" s="7">
        <f t="shared" si="2"/>
        <v>0.51852856511489653</v>
      </c>
      <c r="M11" s="8">
        <f t="shared" si="7"/>
        <v>0.15510304681360076</v>
      </c>
      <c r="N11" s="7">
        <f t="shared" si="3"/>
        <v>35.673700767128175</v>
      </c>
      <c r="O11" s="7">
        <f t="shared" si="4"/>
        <v>0.20039064180100413</v>
      </c>
    </row>
    <row r="12" spans="2:19" ht="18">
      <c r="E12" s="23" t="s">
        <v>17</v>
      </c>
      <c r="F12" s="13">
        <v>32</v>
      </c>
      <c r="G12" s="8">
        <f t="shared" si="5"/>
        <v>13</v>
      </c>
      <c r="H12" s="7">
        <f t="shared" si="0"/>
        <v>416</v>
      </c>
      <c r="I12" s="7">
        <f t="shared" si="1"/>
        <v>5408</v>
      </c>
      <c r="J12" s="8">
        <f t="shared" si="6"/>
        <v>14</v>
      </c>
      <c r="K12" s="7">
        <f t="shared" si="2"/>
        <v>0.67084196426319687</v>
      </c>
      <c r="M12" s="8">
        <f t="shared" si="7"/>
        <v>0.15231339914830033</v>
      </c>
      <c r="N12" s="7">
        <f t="shared" si="3"/>
        <v>35.032081804109076</v>
      </c>
      <c r="O12" s="7">
        <f t="shared" si="4"/>
        <v>0.26243145121141498</v>
      </c>
    </row>
    <row r="13" spans="2:19" ht="18">
      <c r="E13" s="23" t="s">
        <v>18</v>
      </c>
      <c r="F13" s="13">
        <v>25</v>
      </c>
      <c r="G13" s="8">
        <f t="shared" si="5"/>
        <v>15</v>
      </c>
      <c r="H13" s="7">
        <f t="shared" si="0"/>
        <v>375</v>
      </c>
      <c r="I13" s="7">
        <f t="shared" si="1"/>
        <v>5625</v>
      </c>
      <c r="J13" s="8">
        <f t="shared" si="6"/>
        <v>16</v>
      </c>
      <c r="K13" s="7">
        <f t="shared" si="2"/>
        <v>0.79898959222839339</v>
      </c>
      <c r="M13" s="8">
        <f t="shared" si="7"/>
        <v>0.12814762796519652</v>
      </c>
      <c r="N13" s="7">
        <f t="shared" si="3"/>
        <v>29.4739544319952</v>
      </c>
      <c r="O13" s="7">
        <f t="shared" si="4"/>
        <v>0.6791171610770016</v>
      </c>
    </row>
    <row r="14" spans="2:19" ht="18">
      <c r="E14" s="23" t="s">
        <v>19</v>
      </c>
      <c r="F14" s="13">
        <v>18</v>
      </c>
      <c r="G14" s="8">
        <f t="shared" si="5"/>
        <v>17</v>
      </c>
      <c r="H14" s="7">
        <f t="shared" si="0"/>
        <v>306</v>
      </c>
      <c r="I14" s="7">
        <f t="shared" si="1"/>
        <v>5202</v>
      </c>
      <c r="J14" s="8">
        <f t="shared" si="6"/>
        <v>18</v>
      </c>
      <c r="K14" s="7">
        <f t="shared" si="2"/>
        <v>0.89136052392268816</v>
      </c>
      <c r="M14" s="8">
        <f t="shared" si="7"/>
        <v>9.2370931694294778E-2</v>
      </c>
      <c r="N14" s="7">
        <f t="shared" si="3"/>
        <v>21.245314289687798</v>
      </c>
      <c r="O14" s="7">
        <f t="shared" si="4"/>
        <v>0.49573589240635257</v>
      </c>
    </row>
    <row r="15" spans="2:19" ht="18">
      <c r="E15" s="23" t="s">
        <v>20</v>
      </c>
      <c r="F15" s="13">
        <v>17</v>
      </c>
      <c r="G15" s="8">
        <f t="shared" si="5"/>
        <v>19</v>
      </c>
      <c r="H15" s="7">
        <f t="shared" si="0"/>
        <v>323</v>
      </c>
      <c r="I15" s="7">
        <f t="shared" si="1"/>
        <v>6137</v>
      </c>
      <c r="J15" s="8">
        <f t="shared" si="6"/>
        <v>20</v>
      </c>
      <c r="K15" s="7">
        <f t="shared" si="2"/>
        <v>0.94840424768275688</v>
      </c>
      <c r="M15" s="8">
        <f t="shared" si="7"/>
        <v>5.7043723760068721E-2</v>
      </c>
      <c r="N15" s="7">
        <f t="shared" si="3"/>
        <v>13.120056464815805</v>
      </c>
      <c r="O15" s="7">
        <f t="shared" si="4"/>
        <v>1.1474006896683711</v>
      </c>
    </row>
    <row r="16" spans="2:19" ht="18">
      <c r="E16" s="23" t="s">
        <v>21</v>
      </c>
      <c r="F16" s="13">
        <v>16</v>
      </c>
      <c r="G16" s="8">
        <f t="shared" si="5"/>
        <v>21</v>
      </c>
      <c r="H16" s="7">
        <f t="shared" si="0"/>
        <v>336</v>
      </c>
      <c r="I16" s="7">
        <f t="shared" si="1"/>
        <v>7056</v>
      </c>
      <c r="J16" s="8" t="s">
        <v>159</v>
      </c>
      <c r="K16" s="7">
        <f>1</f>
        <v>1</v>
      </c>
      <c r="L16" t="s">
        <v>166</v>
      </c>
    </row>
    <row r="17" spans="4:15" ht="18">
      <c r="F17">
        <f>SUM(F7:F16)</f>
        <v>230</v>
      </c>
      <c r="H17" s="7">
        <f>SUM(H7:H16)</f>
        <v>2706</v>
      </c>
      <c r="I17" s="7">
        <f>SUM(I7:I16)</f>
        <v>37710</v>
      </c>
      <c r="N17" s="22" t="s">
        <v>168</v>
      </c>
      <c r="O17" s="7">
        <f>SUM(O7:O15)</f>
        <v>3.8275141832552011</v>
      </c>
    </row>
    <row r="18" spans="4:15">
      <c r="N18" s="22" t="s">
        <v>169</v>
      </c>
      <c r="O18">
        <f>_xlfn.CHISQ.INV.RT(0.05, 10-2-1)</f>
        <v>14.067140449340167</v>
      </c>
    </row>
    <row r="19" spans="4:15" ht="15">
      <c r="E19" s="25" t="s">
        <v>160</v>
      </c>
      <c r="F19">
        <f>SUM(H7:H16)/F17</f>
        <v>11.765217391304347</v>
      </c>
    </row>
    <row r="20" spans="4:15" ht="15">
      <c r="E20" s="25" t="s">
        <v>161</v>
      </c>
      <c r="F20">
        <f>SQRT(I17/F17-F19^2)</f>
        <v>5.0533336991020263</v>
      </c>
      <c r="N20" t="s">
        <v>174</v>
      </c>
    </row>
    <row r="23" spans="4:15">
      <c r="E23" t="s">
        <v>103</v>
      </c>
      <c r="F23" t="s">
        <v>171</v>
      </c>
    </row>
    <row r="24" spans="4:15">
      <c r="E24" t="s">
        <v>172</v>
      </c>
      <c r="F24" t="s">
        <v>173</v>
      </c>
    </row>
    <row r="27" spans="4:15" ht="18">
      <c r="D27" s="7" t="s">
        <v>156</v>
      </c>
      <c r="E27" t="s">
        <v>175</v>
      </c>
      <c r="F27" t="s">
        <v>176</v>
      </c>
    </row>
    <row r="28" spans="4:15" ht="18">
      <c r="D28" s="7">
        <f>3</f>
        <v>3</v>
      </c>
      <c r="E28">
        <f>F7/$F$17</f>
        <v>6.5217391304347824E-2</v>
      </c>
      <c r="F28">
        <f>E28</f>
        <v>6.5217391304347824E-2</v>
      </c>
    </row>
    <row r="29" spans="4:15" ht="18">
      <c r="D29" s="8">
        <f>D28+2</f>
        <v>5</v>
      </c>
      <c r="E29">
        <f t="shared" ref="E29:E37" si="8">F8/$F$17</f>
        <v>7.8260869565217397E-2</v>
      </c>
      <c r="F29">
        <f>E29+F28</f>
        <v>0.14347826086956522</v>
      </c>
      <c r="I29" t="s">
        <v>209</v>
      </c>
    </row>
    <row r="30" spans="4:15" ht="18">
      <c r="D30" s="8">
        <f t="shared" ref="D30:D37" si="9">D29+2</f>
        <v>7</v>
      </c>
      <c r="E30">
        <f t="shared" si="8"/>
        <v>0.11304347826086956</v>
      </c>
      <c r="F30">
        <f t="shared" ref="F30:F37" si="10">E30+F29</f>
        <v>0.2565217391304348</v>
      </c>
      <c r="I30" t="s">
        <v>210</v>
      </c>
    </row>
    <row r="31" spans="4:15" ht="18">
      <c r="D31" s="8">
        <f t="shared" si="9"/>
        <v>9</v>
      </c>
      <c r="E31">
        <f t="shared" si="8"/>
        <v>0.13043478260869565</v>
      </c>
      <c r="F31">
        <f t="shared" si="10"/>
        <v>0.38695652173913042</v>
      </c>
    </row>
    <row r="32" spans="4:15" ht="18">
      <c r="D32" s="8">
        <f t="shared" si="9"/>
        <v>11</v>
      </c>
      <c r="E32">
        <f t="shared" si="8"/>
        <v>0.14347826086956522</v>
      </c>
      <c r="F32">
        <f t="shared" si="10"/>
        <v>0.5304347826086957</v>
      </c>
      <c r="I32" t="s">
        <v>211</v>
      </c>
      <c r="J32">
        <f>2/0.147*0.0717+11</f>
        <v>11.975510204081633</v>
      </c>
    </row>
    <row r="33" spans="4:6" ht="18">
      <c r="D33" s="8">
        <f t="shared" si="9"/>
        <v>13</v>
      </c>
      <c r="E33">
        <f t="shared" si="8"/>
        <v>0.1391304347826087</v>
      </c>
      <c r="F33">
        <f t="shared" si="10"/>
        <v>0.66956521739130437</v>
      </c>
    </row>
    <row r="34" spans="4:6" ht="18">
      <c r="D34" s="8">
        <f t="shared" si="9"/>
        <v>15</v>
      </c>
      <c r="E34">
        <f t="shared" si="8"/>
        <v>0.10869565217391304</v>
      </c>
      <c r="F34">
        <f t="shared" si="10"/>
        <v>0.77826086956521745</v>
      </c>
    </row>
    <row r="35" spans="4:6" ht="18">
      <c r="D35" s="8">
        <f t="shared" si="9"/>
        <v>17</v>
      </c>
      <c r="E35">
        <f t="shared" si="8"/>
        <v>7.8260869565217397E-2</v>
      </c>
      <c r="F35">
        <f t="shared" si="10"/>
        <v>0.85652173913043483</v>
      </c>
    </row>
    <row r="36" spans="4:6" ht="18">
      <c r="D36" s="8">
        <f t="shared" si="9"/>
        <v>19</v>
      </c>
      <c r="E36">
        <f t="shared" si="8"/>
        <v>7.3913043478260873E-2</v>
      </c>
      <c r="F36">
        <f t="shared" si="10"/>
        <v>0.93043478260869572</v>
      </c>
    </row>
    <row r="37" spans="4:6" ht="18">
      <c r="D37" s="8">
        <f t="shared" si="9"/>
        <v>21</v>
      </c>
      <c r="E37">
        <f t="shared" si="8"/>
        <v>6.9565217391304349E-2</v>
      </c>
      <c r="F37">
        <f t="shared" si="1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J37"/>
  <sheetViews>
    <sheetView topLeftCell="B4" workbookViewId="0">
      <selection activeCell="J36" sqref="J36"/>
    </sheetView>
  </sheetViews>
  <sheetFormatPr defaultRowHeight="14.4"/>
  <sheetData>
    <row r="4" spans="4:10" ht="18">
      <c r="D4" s="2" t="s">
        <v>64</v>
      </c>
      <c r="E4" s="2"/>
      <c r="F4" s="2"/>
      <c r="G4" s="2"/>
      <c r="H4" s="2"/>
      <c r="I4" s="2"/>
      <c r="J4" s="2"/>
    </row>
    <row r="5" spans="4:10" ht="18">
      <c r="D5" s="2" t="s">
        <v>56</v>
      </c>
      <c r="E5" s="2"/>
      <c r="F5" s="2"/>
      <c r="G5" s="2"/>
      <c r="H5" s="2"/>
      <c r="I5" s="2"/>
      <c r="J5" s="2"/>
    </row>
    <row r="6" spans="4:10" ht="18">
      <c r="D6" s="2" t="s">
        <v>65</v>
      </c>
      <c r="E6" s="2"/>
      <c r="F6" s="2"/>
      <c r="G6" s="2"/>
      <c r="H6" s="2"/>
      <c r="I6" s="2"/>
      <c r="J6" s="2"/>
    </row>
    <row r="10" spans="4:10" ht="18">
      <c r="D10" s="2" t="s">
        <v>57</v>
      </c>
      <c r="E10" s="2"/>
      <c r="F10" s="2"/>
      <c r="G10" s="2"/>
      <c r="H10" s="2"/>
      <c r="I10" s="2"/>
      <c r="J10" s="2"/>
    </row>
    <row r="11" spans="4:10" ht="18">
      <c r="D11" s="2" t="s">
        <v>66</v>
      </c>
      <c r="E11" s="2"/>
      <c r="F11" s="2"/>
      <c r="G11" s="2"/>
      <c r="H11" s="2"/>
      <c r="I11" s="2"/>
      <c r="J11" s="2"/>
    </row>
    <row r="12" spans="4:10" ht="18">
      <c r="D12" s="2" t="s">
        <v>67</v>
      </c>
      <c r="E12" s="2"/>
      <c r="F12" s="2"/>
      <c r="G12" s="2"/>
      <c r="H12" s="2"/>
      <c r="I12" s="2"/>
      <c r="J12" s="2"/>
    </row>
    <row r="15" spans="4:10">
      <c r="D15" s="22" t="s">
        <v>119</v>
      </c>
      <c r="E15">
        <v>2.5999999999999999E-2</v>
      </c>
    </row>
    <row r="16" spans="4:10">
      <c r="D16" t="s">
        <v>177</v>
      </c>
    </row>
    <row r="17" spans="4:9">
      <c r="D17" t="s">
        <v>179</v>
      </c>
      <c r="F17" t="s">
        <v>178</v>
      </c>
    </row>
    <row r="19" spans="4:9">
      <c r="D19" t="s">
        <v>180</v>
      </c>
      <c r="F19" t="s">
        <v>181</v>
      </c>
      <c r="G19" t="s">
        <v>190</v>
      </c>
      <c r="I19" t="s">
        <v>182</v>
      </c>
    </row>
    <row r="21" spans="4:9">
      <c r="D21" t="s">
        <v>189</v>
      </c>
    </row>
    <row r="23" spans="4:9">
      <c r="D23" t="s">
        <v>188</v>
      </c>
      <c r="G23" t="s">
        <v>183</v>
      </c>
      <c r="H23">
        <f>1-E15</f>
        <v>0.97399999999999998</v>
      </c>
    </row>
    <row r="24" spans="4:9">
      <c r="D24" t="s">
        <v>184</v>
      </c>
      <c r="E24">
        <f>_xlfn.NORM.S.INV(H23)</f>
        <v>1.9431337511050664</v>
      </c>
    </row>
    <row r="25" spans="4:9">
      <c r="D25" t="s">
        <v>185</v>
      </c>
      <c r="F25">
        <f>E24*15</f>
        <v>29.147006266575996</v>
      </c>
    </row>
    <row r="27" spans="4:9">
      <c r="D27" s="22" t="s">
        <v>106</v>
      </c>
      <c r="E27">
        <f>0.175</f>
        <v>0.17499999999999999</v>
      </c>
    </row>
    <row r="28" spans="4:9">
      <c r="D28" t="s">
        <v>186</v>
      </c>
    </row>
    <row r="30" spans="4:9">
      <c r="D30" t="s">
        <v>187</v>
      </c>
    </row>
    <row r="31" spans="4:9">
      <c r="D31" t="s">
        <v>191</v>
      </c>
    </row>
    <row r="32" spans="4:9">
      <c r="D32" t="s">
        <v>192</v>
      </c>
      <c r="F32">
        <f>1-E27</f>
        <v>0.82499999999999996</v>
      </c>
    </row>
    <row r="33" spans="4:10">
      <c r="D33" t="s">
        <v>193</v>
      </c>
      <c r="E33">
        <f>_xlfn.NORM.S.INV(F32)</f>
        <v>0.9345892910734801</v>
      </c>
    </row>
    <row r="35" spans="4:10">
      <c r="D35" t="s">
        <v>194</v>
      </c>
      <c r="F35">
        <f>E33</f>
        <v>0.9345892910734801</v>
      </c>
    </row>
    <row r="36" spans="4:10">
      <c r="D36" t="s">
        <v>195</v>
      </c>
      <c r="E36">
        <f>((15*F35)/2)^2</f>
        <v>49.131964293144186</v>
      </c>
      <c r="G36" t="s">
        <v>197</v>
      </c>
      <c r="J36">
        <v>50</v>
      </c>
    </row>
    <row r="37" spans="4:10">
      <c r="D37" t="s">
        <v>196</v>
      </c>
      <c r="E37">
        <f>F25/SQRT(E36)+13</f>
        <v>17.158262393255459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8193" r:id="rId4">
          <objectPr defaultSize="0" autoPict="0" r:id="rId5">
            <anchor moveWithCells="1" sizeWithCells="1">
              <from>
                <xdr:col>3</xdr:col>
                <xdr:colOff>22860</xdr:colOff>
                <xdr:row>6</xdr:row>
                <xdr:rowOff>30480</xdr:rowOff>
              </from>
              <to>
                <xdr:col>4</xdr:col>
                <xdr:colOff>579120</xdr:colOff>
                <xdr:row>8</xdr:row>
                <xdr:rowOff>22860</xdr:rowOff>
              </to>
            </anchor>
          </objectPr>
        </oleObject>
      </mc:Choice>
      <mc:Fallback>
        <oleObject progId="Equation.DSMT4" shapeId="8193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Z24"/>
  <sheetViews>
    <sheetView zoomScale="87" workbookViewId="0">
      <selection activeCell="M15" sqref="M15"/>
    </sheetView>
  </sheetViews>
  <sheetFormatPr defaultRowHeight="14.4"/>
  <cols>
    <col min="10" max="10" width="11.109375" bestFit="1" customWidth="1"/>
  </cols>
  <sheetData>
    <row r="3" spans="3:26" ht="18">
      <c r="C3" s="2" t="s">
        <v>69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1"/>
      <c r="U3" s="11"/>
      <c r="V3" s="11"/>
      <c r="W3" s="11"/>
      <c r="X3" s="11"/>
      <c r="Y3" s="11"/>
      <c r="Z3" s="11"/>
    </row>
    <row r="4" spans="3:26" ht="18">
      <c r="C4" s="2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1"/>
      <c r="U4" s="11"/>
      <c r="V4" s="11"/>
      <c r="W4" s="11"/>
      <c r="X4" s="11"/>
      <c r="Y4" s="11"/>
      <c r="Z4" s="11"/>
    </row>
    <row r="5" spans="3:26" ht="18">
      <c r="C5" s="2" t="s">
        <v>68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1"/>
      <c r="U5" s="11"/>
      <c r="V5" s="11"/>
      <c r="W5" s="11"/>
      <c r="X5" s="11"/>
      <c r="Y5" s="11"/>
      <c r="Z5" s="11"/>
    </row>
    <row r="8" spans="3:26" ht="18">
      <c r="C8" s="2" t="s">
        <v>1</v>
      </c>
      <c r="D8">
        <f>800-10000</f>
        <v>-9200</v>
      </c>
      <c r="E8">
        <f>800-6000</f>
        <v>-5200</v>
      </c>
      <c r="F8">
        <f>800-4000</f>
        <v>-3200</v>
      </c>
      <c r="G8">
        <f>800</f>
        <v>800</v>
      </c>
    </row>
    <row r="9" spans="3:26" ht="18">
      <c r="C9" s="2" t="s">
        <v>198</v>
      </c>
      <c r="D9">
        <v>8.0000000000000002E-3</v>
      </c>
      <c r="E9">
        <v>0.01</v>
      </c>
      <c r="F9">
        <v>0.04</v>
      </c>
      <c r="G9">
        <f>1-SUM(D9:F9)</f>
        <v>0.94199999999999995</v>
      </c>
    </row>
    <row r="11" spans="3:26">
      <c r="C11" t="s">
        <v>199</v>
      </c>
      <c r="D11">
        <f>SUMPRODUCT(D8:G8, D9:G9)</f>
        <v>499.99999999999989</v>
      </c>
      <c r="J11" t="s">
        <v>205</v>
      </c>
      <c r="K11">
        <f>0.05</f>
        <v>0.05</v>
      </c>
    </row>
    <row r="12" spans="3:26">
      <c r="C12" t="s">
        <v>200</v>
      </c>
      <c r="D12">
        <f>SUMPRODUCT(D8:G8, D8:G8, D9:G9)</f>
        <v>1960000</v>
      </c>
      <c r="J12" t="s">
        <v>206</v>
      </c>
      <c r="L12">
        <f>_xlfn.NORM.S.INV(0.05)</f>
        <v>-1.6448536269514726</v>
      </c>
    </row>
    <row r="13" spans="3:26">
      <c r="C13" t="s">
        <v>201</v>
      </c>
      <c r="D13">
        <f>D12-D11^2</f>
        <v>1710000</v>
      </c>
      <c r="J13" t="s">
        <v>207</v>
      </c>
    </row>
    <row r="14" spans="3:26">
      <c r="C14" t="s">
        <v>161</v>
      </c>
      <c r="D14">
        <f>SQRT(D13)</f>
        <v>1307.669683062202</v>
      </c>
    </row>
    <row r="15" spans="3:26">
      <c r="J15" t="s">
        <v>208</v>
      </c>
      <c r="L15">
        <f>_xlfn.NORM.S.INV(D17)</f>
        <v>1.6448536269514715</v>
      </c>
    </row>
    <row r="16" spans="3:26">
      <c r="L16" s="12"/>
    </row>
    <row r="17" spans="3:11">
      <c r="C17" s="22" t="s">
        <v>119</v>
      </c>
      <c r="D17">
        <v>0.95</v>
      </c>
      <c r="J17" t="s">
        <v>195</v>
      </c>
      <c r="K17">
        <f>D14*L15/D11</f>
        <v>4.3018504420786892</v>
      </c>
    </row>
    <row r="18" spans="3:11">
      <c r="C18" t="s">
        <v>202</v>
      </c>
    </row>
    <row r="20" spans="3:11">
      <c r="C20" t="s">
        <v>203</v>
      </c>
    </row>
    <row r="21" spans="3:11">
      <c r="C21">
        <f>_xlfn.NORM.DIST(0, D11, D14, 1)</f>
        <v>0.35109734235659285</v>
      </c>
    </row>
    <row r="22" spans="3:11">
      <c r="C22" t="s">
        <v>204</v>
      </c>
    </row>
    <row r="23" spans="3:11">
      <c r="C23">
        <f>1-C21</f>
        <v>0.64890265764340715</v>
      </c>
    </row>
    <row r="24" spans="3:11">
      <c r="C24">
        <f>_xlfn.NORM.INV(C23, D11, D14)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Correl_regression</vt:lpstr>
      <vt:lpstr>Chi^2_test</vt:lpstr>
      <vt:lpstr>Fisher</vt:lpstr>
      <vt:lpstr>Distribution</vt:lpstr>
      <vt:lpstr>HT</vt:lpstr>
      <vt:lpstr>Proba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304_2</dc:creator>
  <cp:lastModifiedBy>Diana</cp:lastModifiedBy>
  <dcterms:created xsi:type="dcterms:W3CDTF">2016-05-11T10:20:22Z</dcterms:created>
  <dcterms:modified xsi:type="dcterms:W3CDTF">2022-01-08T18:15:15Z</dcterms:modified>
</cp:coreProperties>
</file>