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ser\Documents\դաս բան\Applied Statistics\"/>
    </mc:Choice>
  </mc:AlternateContent>
  <xr:revisionPtr revIDLastSave="0" documentId="13_ncr:1_{C4840017-FB36-4EF3-BE61-26525AF119A6}" xr6:coauthVersionLast="45" xr6:coauthVersionMax="45" xr10:uidLastSave="{00000000-0000-0000-0000-000000000000}"/>
  <bookViews>
    <workbookView xWindow="-120" yWindow="-120" windowWidth="29040" windowHeight="15720" firstSheet="16" activeTab="18" xr2:uid="{00000000-000D-0000-FFFF-FFFF00000000}"/>
  </bookViews>
  <sheets>
    <sheet name="risk value_1" sheetId="1" r:id="rId1"/>
    <sheet name="risk_value_2" sheetId="2" r:id="rId2"/>
    <sheet name="Portfolio_1" sheetId="3" r:id="rId3"/>
    <sheet name="Portfolio_2" sheetId="5" r:id="rId4"/>
    <sheet name="Binom_dist" sheetId="6" r:id="rId5"/>
    <sheet name="insurance" sheetId="7" r:id="rId6"/>
    <sheet name="interval" sheetId="9" r:id="rId7"/>
    <sheet name="T_dist" sheetId="11" r:id="rId8"/>
    <sheet name="filled_orders_corretly" sheetId="12" r:id="rId9"/>
    <sheet name="t-test" sheetId="13" r:id="rId10"/>
    <sheet name="Z_test" sheetId="14" r:id="rId11"/>
    <sheet name="F_test_hypofvars" sheetId="15" r:id="rId12"/>
    <sheet name="anova_1" sheetId="16" r:id="rId13"/>
    <sheet name="anova_2" sheetId="17" r:id="rId14"/>
    <sheet name="chi^2_1" sheetId="19" r:id="rId15"/>
    <sheet name="chi^2_2" sheetId="20" r:id="rId16"/>
    <sheet name="chi_percentages" sheetId="21" r:id="rId17"/>
    <sheet name="goodness_of_fits" sheetId="22" r:id="rId18"/>
    <sheet name="regression" sheetId="23" r:id="rId19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9" l="1"/>
  <c r="K14" i="19"/>
  <c r="E23" i="19"/>
  <c r="E18" i="19"/>
  <c r="E13" i="19"/>
  <c r="H16" i="22"/>
  <c r="H14" i="22"/>
  <c r="E14" i="21"/>
  <c r="K18" i="14"/>
  <c r="H15" i="12"/>
  <c r="R8" i="16"/>
  <c r="E21" i="16"/>
  <c r="I18" i="11"/>
  <c r="I17" i="11"/>
  <c r="C39" i="9"/>
  <c r="C28" i="9"/>
  <c r="C29" i="9"/>
  <c r="K11" i="9"/>
  <c r="K12" i="9"/>
  <c r="K13" i="9"/>
  <c r="K14" i="9"/>
  <c r="K15" i="9"/>
  <c r="C31" i="9"/>
  <c r="C32" i="9"/>
  <c r="F29" i="9"/>
  <c r="H23" i="6"/>
  <c r="H22" i="6"/>
  <c r="O13" i="3"/>
  <c r="O9" i="3"/>
  <c r="L9" i="3"/>
  <c r="J11" i="9"/>
  <c r="L23" i="7"/>
  <c r="L16" i="7"/>
  <c r="H6" i="19"/>
  <c r="R9" i="16"/>
  <c r="R10" i="16"/>
  <c r="R11" i="16"/>
  <c r="R12" i="16"/>
  <c r="R13" i="16"/>
  <c r="R14" i="16"/>
  <c r="R15" i="16"/>
  <c r="R16" i="16"/>
  <c r="R17" i="16"/>
  <c r="R18" i="16"/>
  <c r="R19" i="16"/>
  <c r="K19" i="14"/>
  <c r="M14" i="22"/>
  <c r="I14" i="22"/>
  <c r="J14" i="22"/>
  <c r="K14" i="22"/>
  <c r="L14" i="22"/>
  <c r="M15" i="22"/>
  <c r="H12" i="22"/>
  <c r="E23" i="20"/>
  <c r="E15" i="20"/>
  <c r="K17" i="21"/>
  <c r="J15" i="21"/>
  <c r="K15" i="21"/>
  <c r="L15" i="21"/>
  <c r="J16" i="21"/>
  <c r="K16" i="21"/>
  <c r="L16" i="21"/>
  <c r="J17" i="21"/>
  <c r="L17" i="21"/>
  <c r="J18" i="21"/>
  <c r="K18" i="21"/>
  <c r="L18" i="21"/>
  <c r="J19" i="21"/>
  <c r="K19" i="21"/>
  <c r="L19" i="21"/>
  <c r="J20" i="21"/>
  <c r="K20" i="21"/>
  <c r="L20" i="21"/>
  <c r="K14" i="21"/>
  <c r="L14" i="21"/>
  <c r="J14" i="21"/>
  <c r="F28" i="21"/>
  <c r="F25" i="21"/>
  <c r="G20" i="14"/>
  <c r="G18" i="14"/>
  <c r="G29" i="21"/>
  <c r="E24" i="21"/>
  <c r="F24" i="21"/>
  <c r="G24" i="21"/>
  <c r="E25" i="21"/>
  <c r="G25" i="21"/>
  <c r="E26" i="21"/>
  <c r="F26" i="21"/>
  <c r="G26" i="21"/>
  <c r="E27" i="21"/>
  <c r="F27" i="21"/>
  <c r="G27" i="21"/>
  <c r="E28" i="21"/>
  <c r="G28" i="21"/>
  <c r="E29" i="21"/>
  <c r="F29" i="21"/>
  <c r="G23" i="21"/>
  <c r="F23" i="21"/>
  <c r="E23" i="21"/>
  <c r="G20" i="21"/>
  <c r="E15" i="21"/>
  <c r="F15" i="21"/>
  <c r="G15" i="21"/>
  <c r="E16" i="21"/>
  <c r="F16" i="21"/>
  <c r="G16" i="21"/>
  <c r="E17" i="21"/>
  <c r="F17" i="21"/>
  <c r="G17" i="21"/>
  <c r="E18" i="21"/>
  <c r="F18" i="21"/>
  <c r="G18" i="21"/>
  <c r="E19" i="21"/>
  <c r="F19" i="21"/>
  <c r="G19" i="21"/>
  <c r="E20" i="21"/>
  <c r="F20" i="21"/>
  <c r="F14" i="21"/>
  <c r="G14" i="21"/>
  <c r="H3" i="21"/>
  <c r="H4" i="21"/>
  <c r="H5" i="21"/>
  <c r="H6" i="21"/>
  <c r="H7" i="21"/>
  <c r="H8" i="21"/>
  <c r="H9" i="21"/>
  <c r="H10" i="21"/>
  <c r="G10" i="21"/>
  <c r="F10" i="21"/>
  <c r="E10" i="21"/>
  <c r="K18" i="20"/>
  <c r="K16" i="20"/>
  <c r="K15" i="20"/>
  <c r="H37" i="20"/>
  <c r="G37" i="20"/>
  <c r="E32" i="20"/>
  <c r="F32" i="20"/>
  <c r="G32" i="20"/>
  <c r="E33" i="20"/>
  <c r="F33" i="20"/>
  <c r="G33" i="20"/>
  <c r="E34" i="20"/>
  <c r="F34" i="20"/>
  <c r="G34" i="20"/>
  <c r="E35" i="20"/>
  <c r="F35" i="20"/>
  <c r="G35" i="20"/>
  <c r="E36" i="20"/>
  <c r="F36" i="20"/>
  <c r="G36" i="20"/>
  <c r="E37" i="20"/>
  <c r="F37" i="20"/>
  <c r="F31" i="20"/>
  <c r="G31" i="20"/>
  <c r="E31" i="20"/>
  <c r="H29" i="20"/>
  <c r="G29" i="20"/>
  <c r="E24" i="20"/>
  <c r="F24" i="20"/>
  <c r="G24" i="20"/>
  <c r="E25" i="20"/>
  <c r="F25" i="20"/>
  <c r="G25" i="20"/>
  <c r="E26" i="20"/>
  <c r="F26" i="20"/>
  <c r="G26" i="20"/>
  <c r="E27" i="20"/>
  <c r="F27" i="20"/>
  <c r="G27" i="20"/>
  <c r="E28" i="20"/>
  <c r="F28" i="20"/>
  <c r="G28" i="20"/>
  <c r="E29" i="20"/>
  <c r="F29" i="20"/>
  <c r="F23" i="20"/>
  <c r="G23" i="20"/>
  <c r="H21" i="20"/>
  <c r="E19" i="20"/>
  <c r="G21" i="20"/>
  <c r="E16" i="20"/>
  <c r="F16" i="20"/>
  <c r="G16" i="20"/>
  <c r="E17" i="20"/>
  <c r="F17" i="20"/>
  <c r="G17" i="20"/>
  <c r="E18" i="20"/>
  <c r="F18" i="20"/>
  <c r="G18" i="20"/>
  <c r="F19" i="20"/>
  <c r="G19" i="20"/>
  <c r="E20" i="20"/>
  <c r="F20" i="20"/>
  <c r="G20" i="20"/>
  <c r="E21" i="20"/>
  <c r="F21" i="20"/>
  <c r="F15" i="20"/>
  <c r="G15" i="20"/>
  <c r="H12" i="20"/>
  <c r="F12" i="20"/>
  <c r="G12" i="20"/>
  <c r="E12" i="20"/>
  <c r="H6" i="20"/>
  <c r="H7" i="20"/>
  <c r="H8" i="20"/>
  <c r="H9" i="20"/>
  <c r="H10" i="20"/>
  <c r="H11" i="20"/>
  <c r="H5" i="20"/>
  <c r="F13" i="19"/>
  <c r="F18" i="19"/>
  <c r="F23" i="19"/>
  <c r="G13" i="19"/>
  <c r="G18" i="19"/>
  <c r="G23" i="19"/>
  <c r="K13" i="19"/>
  <c r="H26" i="19"/>
  <c r="E24" i="19"/>
  <c r="F24" i="19"/>
  <c r="G24" i="19"/>
  <c r="E25" i="19"/>
  <c r="F25" i="19"/>
  <c r="G25" i="19"/>
  <c r="E26" i="19"/>
  <c r="F26" i="19"/>
  <c r="G26" i="19"/>
  <c r="H21" i="19"/>
  <c r="E19" i="19"/>
  <c r="F19" i="19"/>
  <c r="G19" i="19"/>
  <c r="E20" i="19"/>
  <c r="F20" i="19"/>
  <c r="G20" i="19"/>
  <c r="E21" i="19"/>
  <c r="F21" i="19"/>
  <c r="G21" i="19"/>
  <c r="H16" i="19"/>
  <c r="E14" i="19"/>
  <c r="F14" i="19"/>
  <c r="G14" i="19"/>
  <c r="E15" i="19"/>
  <c r="F15" i="19"/>
  <c r="G15" i="19"/>
  <c r="E16" i="19"/>
  <c r="F16" i="19"/>
  <c r="G16" i="19"/>
  <c r="H10" i="19"/>
  <c r="F10" i="19"/>
  <c r="G10" i="19"/>
  <c r="E10" i="19"/>
  <c r="H7" i="19"/>
  <c r="H8" i="19"/>
  <c r="H9" i="19"/>
  <c r="S11" i="17"/>
  <c r="Q7" i="17"/>
  <c r="R7" i="17"/>
  <c r="S7" i="17"/>
  <c r="Q8" i="17"/>
  <c r="R8" i="17"/>
  <c r="S8" i="17"/>
  <c r="Q9" i="17"/>
  <c r="R9" i="17"/>
  <c r="S9" i="17"/>
  <c r="Q10" i="17"/>
  <c r="R10" i="17"/>
  <c r="S10" i="17"/>
  <c r="Q11" i="17"/>
  <c r="R11" i="17"/>
  <c r="R6" i="17"/>
  <c r="S6" i="17"/>
  <c r="Q6" i="17"/>
  <c r="F13" i="17"/>
  <c r="G13" i="17"/>
  <c r="E13" i="17"/>
  <c r="T18" i="16"/>
  <c r="S9" i="16"/>
  <c r="T9" i="16"/>
  <c r="S10" i="16"/>
  <c r="T10" i="16"/>
  <c r="S11" i="16"/>
  <c r="T11" i="16"/>
  <c r="S12" i="16"/>
  <c r="T12" i="16"/>
  <c r="S13" i="16"/>
  <c r="T13" i="16"/>
  <c r="S14" i="16"/>
  <c r="T14" i="16"/>
  <c r="S15" i="16"/>
  <c r="T15" i="16"/>
  <c r="S16" i="16"/>
  <c r="T16" i="16"/>
  <c r="S17" i="16"/>
  <c r="T17" i="16"/>
  <c r="S18" i="16"/>
  <c r="S19" i="16"/>
  <c r="T19" i="16"/>
  <c r="T8" i="16"/>
  <c r="S8" i="16"/>
  <c r="F21" i="16"/>
  <c r="G21" i="16"/>
  <c r="G19" i="14"/>
  <c r="H16" i="12"/>
  <c r="D15" i="12"/>
  <c r="C38" i="9"/>
  <c r="J35" i="9"/>
  <c r="F35" i="9"/>
  <c r="C35" i="9"/>
  <c r="J29" i="9"/>
  <c r="J12" i="9"/>
  <c r="J13" i="9"/>
  <c r="J14" i="9"/>
  <c r="J15" i="9"/>
  <c r="I13" i="9"/>
  <c r="I14" i="9"/>
  <c r="I15" i="9"/>
  <c r="I12" i="9"/>
  <c r="I11" i="9"/>
  <c r="H15" i="9"/>
  <c r="H12" i="9"/>
  <c r="H13" i="9"/>
  <c r="H14" i="9"/>
  <c r="H11" i="9"/>
  <c r="G16" i="9"/>
  <c r="N28" i="7"/>
  <c r="L21" i="7"/>
  <c r="L20" i="7"/>
  <c r="L19" i="7"/>
  <c r="N17" i="7"/>
  <c r="M17" i="7"/>
  <c r="N16" i="7"/>
  <c r="M16" i="7"/>
  <c r="I23" i="6"/>
  <c r="J23" i="6"/>
  <c r="K23" i="6"/>
  <c r="L23" i="6"/>
  <c r="L22" i="6"/>
  <c r="I22" i="6"/>
  <c r="J22" i="6"/>
  <c r="K22" i="6"/>
  <c r="E18" i="6"/>
  <c r="E13" i="6"/>
  <c r="E17" i="6"/>
  <c r="O15" i="5"/>
  <c r="O14" i="5"/>
  <c r="K13" i="5"/>
  <c r="J13" i="5"/>
  <c r="K17" i="5"/>
  <c r="K16" i="5"/>
  <c r="M12" i="5"/>
  <c r="M9" i="5"/>
  <c r="M10" i="5"/>
  <c r="M11" i="5"/>
  <c r="M8" i="5"/>
  <c r="K11" i="5"/>
  <c r="K12" i="5"/>
  <c r="J12" i="5"/>
  <c r="K8" i="5"/>
  <c r="K9" i="5"/>
  <c r="K10" i="5"/>
  <c r="J9" i="5"/>
  <c r="J10" i="5"/>
  <c r="J11" i="5"/>
  <c r="J8" i="5"/>
  <c r="H12" i="5"/>
  <c r="G12" i="5"/>
  <c r="H9" i="5"/>
  <c r="H10" i="5"/>
  <c r="H11" i="5"/>
  <c r="H8" i="5"/>
  <c r="G9" i="5"/>
  <c r="G10" i="5"/>
  <c r="G11" i="5"/>
  <c r="G8" i="5"/>
  <c r="J20" i="3"/>
  <c r="I21" i="3"/>
  <c r="M15" i="3"/>
  <c r="L15" i="3"/>
  <c r="O10" i="3"/>
  <c r="O11" i="3"/>
  <c r="O12" i="3"/>
  <c r="M10" i="3"/>
  <c r="M11" i="3"/>
  <c r="M12" i="3"/>
  <c r="M9" i="3"/>
  <c r="M13" i="3"/>
  <c r="L13" i="3"/>
  <c r="L10" i="3"/>
  <c r="L11" i="3"/>
  <c r="L12" i="3"/>
  <c r="J13" i="3"/>
  <c r="I13" i="3"/>
  <c r="J10" i="3"/>
  <c r="J11" i="3"/>
  <c r="J12" i="3"/>
  <c r="J9" i="3"/>
  <c r="I10" i="3"/>
  <c r="I11" i="3"/>
  <c r="I12" i="3"/>
  <c r="I9" i="3"/>
  <c r="J19" i="2"/>
  <c r="J15" i="2"/>
  <c r="J14" i="2"/>
  <c r="L16" i="1"/>
  <c r="L19" i="1"/>
  <c r="L17" i="1"/>
</calcChain>
</file>

<file path=xl/sharedStrings.xml><?xml version="1.0" encoding="utf-8"?>
<sst xmlns="http://schemas.openxmlformats.org/spreadsheetml/2006/main" count="591" uniqueCount="406">
  <si>
    <t>The current price of the stock is 15 currancy. Calculate the 96% value at risk (VAR) in case of buying 1000 such stocks,</t>
  </si>
  <si>
    <t>if after one day the price of the stock is described by a random variable Y        N (mean=16, std.dev.=1).</t>
  </si>
  <si>
    <t>price</t>
  </si>
  <si>
    <t>var</t>
  </si>
  <si>
    <t>n</t>
  </si>
  <si>
    <t>mu</t>
  </si>
  <si>
    <t>sigma</t>
  </si>
  <si>
    <t>μ</t>
  </si>
  <si>
    <t>σ</t>
  </si>
  <si>
    <t>P(-x&lt;=V)=0.96</t>
  </si>
  <si>
    <t>probability of the given loss that won't be exceeded</t>
  </si>
  <si>
    <t>P(x&gt;=v)=</t>
  </si>
  <si>
    <t>4 % percentile</t>
  </si>
  <si>
    <t>E(X)</t>
  </si>
  <si>
    <t>E(X)=</t>
  </si>
  <si>
    <t>V(X)</t>
  </si>
  <si>
    <t>V(X)=</t>
  </si>
  <si>
    <t>n^2*V(Y)</t>
  </si>
  <si>
    <t>X~N(μ, σ) = N(1000,1000)</t>
  </si>
  <si>
    <t>with confidence evel of 96% we can say that our losses will not exceed -554</t>
  </si>
  <si>
    <t>if after one day the price of the stock is described by a random variable Y        N (mean=20, std.dev.=9).</t>
  </si>
  <si>
    <t>VAR</t>
  </si>
  <si>
    <t>P(-x&lt;=v)</t>
  </si>
  <si>
    <t xml:space="preserve">prob that the loss wont exceed </t>
  </si>
  <si>
    <t>P(x&lt;=-V)</t>
  </si>
  <si>
    <t>percentile</t>
  </si>
  <si>
    <t>V(x)=n*V(Y)</t>
  </si>
  <si>
    <t>x is function from N, if N is normal =&gt; X is also normal</t>
  </si>
  <si>
    <t>n*(E(Y)-E(15))</t>
  </si>
  <si>
    <t>The current price of the stock is 17 currancy. Calculate the 95% value at risk (VAR) in case of buying 200such stocks,</t>
  </si>
  <si>
    <t>E(X)=n*(E(Y)-E(17))</t>
  </si>
  <si>
    <t>X~N(μ,σ)~N(600,1800)</t>
  </si>
  <si>
    <t>with conf level of 95 % we can say that the loss won't exceed -2361</t>
  </si>
  <si>
    <t>You are trying to develop a strategy for investing in two</t>
  </si>
  <si>
    <t>different stocks. The anticipated annual return for a $1,000</t>
  </si>
  <si>
    <t>investment in each stock under four different economic conditions</t>
  </si>
  <si>
    <t>has the following probability distribution:</t>
  </si>
  <si>
    <t xml:space="preserve">           Returns</t>
  </si>
  <si>
    <t>a</t>
  </si>
  <si>
    <t>b</t>
  </si>
  <si>
    <t>c</t>
  </si>
  <si>
    <t>Probability</t>
  </si>
  <si>
    <t>Economic Conditions</t>
  </si>
  <si>
    <t>I</t>
  </si>
  <si>
    <t>II</t>
  </si>
  <si>
    <t>E(Y)</t>
  </si>
  <si>
    <t>V(Y)</t>
  </si>
  <si>
    <t>COV(X,Y)</t>
  </si>
  <si>
    <t>Recession</t>
  </si>
  <si>
    <t>Slow growth</t>
  </si>
  <si>
    <t>Moderate growth</t>
  </si>
  <si>
    <t>Fast growth</t>
  </si>
  <si>
    <t>Compute the</t>
  </si>
  <si>
    <t>a. expected return for stock X and for stock Y.</t>
  </si>
  <si>
    <t>b. standard deviation for stock X and for stock Y.</t>
  </si>
  <si>
    <t>c. covariance of stock X and stock Y.</t>
  </si>
  <si>
    <t>d. portofolio risk for w=0.6</t>
  </si>
  <si>
    <t>Z=wX+(1-w)Y</t>
  </si>
  <si>
    <t>expected return</t>
  </si>
  <si>
    <t>risk</t>
  </si>
  <si>
    <t>d</t>
  </si>
  <si>
    <t>sigma_p=sqrt(w^2*sigmax^2+(1-w)*sigmay^2+2w(1-w)*sigmaxy</t>
  </si>
  <si>
    <t xml:space="preserve">c </t>
  </si>
  <si>
    <t>exp return</t>
  </si>
  <si>
    <t>return</t>
  </si>
  <si>
    <t>the mean of the first one &gt; the second one, and the std &lt; the second one=&gt;we choose the first one</t>
  </si>
  <si>
    <t>after we can also check the variation (sigma/mean) which one is lesser we choose that one</t>
  </si>
  <si>
    <t>Given the following probbility distributions for variables X and Y</t>
  </si>
  <si>
    <t>P</t>
  </si>
  <si>
    <t>X</t>
  </si>
  <si>
    <t>Y</t>
  </si>
  <si>
    <t>d. portofolio risk for w=0.7</t>
  </si>
  <si>
    <t>portfolio risk</t>
  </si>
  <si>
    <t>variation=sigma/mean</t>
  </si>
  <si>
    <t>2nd one is &lt; =&gt; we choose that one</t>
  </si>
  <si>
    <t>Find a stock price distribution law at the end of the year for the risk-neutral probability.</t>
  </si>
  <si>
    <t>S0</t>
  </si>
  <si>
    <t>u</t>
  </si>
  <si>
    <t>i</t>
  </si>
  <si>
    <t>p</t>
  </si>
  <si>
    <t>q</t>
  </si>
  <si>
    <t>In each of the four periods of the year, the stock price may rise 1.127 times or fall by the same amount.</t>
  </si>
  <si>
    <t>The price of the stock is 30 currency and the non-risk interest rate is 12%.</t>
  </si>
  <si>
    <t>k</t>
  </si>
  <si>
    <t>s</t>
  </si>
  <si>
    <t>S=S0*u^k*d^(n-k)</t>
  </si>
  <si>
    <t>p_4=(1+i)^1/4-d/u-d</t>
  </si>
  <si>
    <t>risk neutral probability</t>
  </si>
  <si>
    <t>Find the probabilities of the following events:</t>
  </si>
  <si>
    <t>a) At the end of the year, the company will suffer losses due to the product</t>
  </si>
  <si>
    <t>fd</t>
  </si>
  <si>
    <t>pd</t>
  </si>
  <si>
    <t>nd</t>
  </si>
  <si>
    <t>Xi</t>
  </si>
  <si>
    <t>damage</t>
  </si>
  <si>
    <t>partial damage</t>
  </si>
  <si>
    <t>full damage</t>
  </si>
  <si>
    <t>V</t>
  </si>
  <si>
    <t>nA</t>
  </si>
  <si>
    <t>117500 of "A" products are insured in the insurance company.</t>
  </si>
  <si>
    <t>The probability of complete damage to the product during the year is 0.004, and the probability of partial damage is 0.006.</t>
  </si>
  <si>
    <t>Suppose that the one-year insurance premium is 1200 drams (AMD),</t>
  </si>
  <si>
    <t>and in case of full damage, the owner is paid 25,000 AMD, in case of partial 15,000 AMD.</t>
  </si>
  <si>
    <t>b) At the end of the year, the company will receive a profit of not less than 2,000,000 AMD due to the given product.</t>
  </si>
  <si>
    <t>one-year ins</t>
  </si>
  <si>
    <t>partial damage prob</t>
  </si>
  <si>
    <t>E(X)=mu</t>
  </si>
  <si>
    <t>complete damage prob</t>
  </si>
  <si>
    <t>it is almost 0 that we will have a loss</t>
  </si>
  <si>
    <t>P(X(n)&gt;=2000000=1-P(x(n)&lt;2000000)</t>
  </si>
  <si>
    <t>again almost 0 that the company will receive profit of not less than 2000000</t>
  </si>
  <si>
    <t xml:space="preserve">Let X be the amount of the salary (m. u.) of randomly surveyed employees of the company. </t>
  </si>
  <si>
    <r>
      <t>n</t>
    </r>
    <r>
      <rPr>
        <vertAlign val="subscript"/>
        <sz val="16"/>
        <color indexed="8"/>
        <rFont val="Times New Roman"/>
        <family val="1"/>
      </rPr>
      <t>i</t>
    </r>
  </si>
  <si>
    <t>[2;4)</t>
  </si>
  <si>
    <t>modal class</t>
  </si>
  <si>
    <t>[4;6)</t>
  </si>
  <si>
    <t>[6;8)</t>
  </si>
  <si>
    <t>[8;10)</t>
  </si>
  <si>
    <t>[10;12)</t>
  </si>
  <si>
    <t>a)</t>
  </si>
  <si>
    <t>To construct 95% confidence interval for the employees’ mean salary</t>
  </si>
  <si>
    <t>b)</t>
  </si>
  <si>
    <t xml:space="preserve">To construct confidence interval for the employees' proportion getting salary from [10; 12]. </t>
  </si>
  <si>
    <t xml:space="preserve">The significance level is </t>
  </si>
  <si>
    <t>c)</t>
  </si>
  <si>
    <t>To find and interpret the mode and median</t>
  </si>
  <si>
    <t>f</t>
  </si>
  <si>
    <t>F</t>
  </si>
  <si>
    <t>xf</t>
  </si>
  <si>
    <t>f(x-xmij)^2</t>
  </si>
  <si>
    <t>Zalpha/2</t>
  </si>
  <si>
    <t>xmijin</t>
  </si>
  <si>
    <t>&lt;</t>
  </si>
  <si>
    <t>prop</t>
  </si>
  <si>
    <t>ci</t>
  </si>
  <si>
    <t>mod</t>
  </si>
  <si>
    <t>median</t>
  </si>
  <si>
    <t>alpha</t>
  </si>
  <si>
    <t>A stationery store wants to estimate the mean retail</t>
  </si>
  <si>
    <t>value of greeting cards that it has in its inventory. A random</t>
  </si>
  <si>
    <t>sample of 100 greeting cards indicates a mean value of</t>
  </si>
  <si>
    <t>$2.55 and a standard deviation of $0.44.</t>
  </si>
  <si>
    <t>a. Is there evidence that the population mean retail value of</t>
  </si>
  <si>
    <t>the greeting cards is different from $2.50?</t>
  </si>
  <si>
    <t>H0:mu=2.5</t>
  </si>
  <si>
    <t>H1:mu != 2.5</t>
  </si>
  <si>
    <t>T~t(n-1)</t>
  </si>
  <si>
    <t>Tobs</t>
  </si>
  <si>
    <t>Tcrit</t>
  </si>
  <si>
    <t>Tobs&lt;Tcrit =&gt; we do not reject H0</t>
  </si>
  <si>
    <t>A fast-food chain has developed a new process to ensure that orders at the drive-through are</t>
  </si>
  <si>
    <t>filled correctly. The business problem is defined as determining whether the new process</t>
  </si>
  <si>
    <t>can increase the percentage of orders processed correctly. The previous process filled orders</t>
  </si>
  <si>
    <t>correctly 85% of the time. Data are collected from a sample of 200 orders using the new</t>
  </si>
  <si>
    <t>process. The results indicate that 190 orders were filled correctly. At the 0.01 level of significance,</t>
  </si>
  <si>
    <t>can you conclude that the new process has increased the proportion of orders filled</t>
  </si>
  <si>
    <t>correctly?</t>
  </si>
  <si>
    <t>H0:P=0.85</t>
  </si>
  <si>
    <t>H1:P &gt;0.85</t>
  </si>
  <si>
    <t>fn~N(p0,sqrt(p0(1-p0)/n)</t>
  </si>
  <si>
    <t>Zobs</t>
  </si>
  <si>
    <t>fA</t>
  </si>
  <si>
    <t>Zcrit</t>
  </si>
  <si>
    <t>CLT</t>
  </si>
  <si>
    <t>We reject H</t>
  </si>
  <si>
    <t>You collect data by conducting an experiment from a sample of n = 18 textbooks used</t>
  </si>
  <si>
    <t>primarily in business school courses during the summer semester at a local college. You</t>
  </si>
  <si>
    <t>determine the college bookstore price and the online price (which includes shipping costs, if</t>
  </si>
  <si>
    <t>any).  You organize and store the data in BookPrices .</t>
  </si>
  <si>
    <t>BS</t>
  </si>
  <si>
    <t>OL</t>
  </si>
  <si>
    <t>Pride</t>
  </si>
  <si>
    <t>Business 10/e</t>
  </si>
  <si>
    <t>Carroll</t>
  </si>
  <si>
    <t>Business and Society</t>
  </si>
  <si>
    <t>Quinn</t>
  </si>
  <si>
    <t>Ethics for the Information Age</t>
  </si>
  <si>
    <t xml:space="preserve">Bade </t>
  </si>
  <si>
    <t>Foundations of Microeconomics 5/e</t>
  </si>
  <si>
    <t>Case</t>
  </si>
  <si>
    <t xml:space="preserve"> Principles of Macroeconomics 9/e</t>
  </si>
  <si>
    <t>Brigham</t>
  </si>
  <si>
    <t xml:space="preserve"> Financial Management 13/e </t>
  </si>
  <si>
    <t>Griffin</t>
  </si>
  <si>
    <t xml:space="preserve"> Organizational Behavior 9/e</t>
  </si>
  <si>
    <t>George</t>
  </si>
  <si>
    <t>Understanding and Managing Organizational Behavior 5/e</t>
  </si>
  <si>
    <t xml:space="preserve">Grewal </t>
  </si>
  <si>
    <t>Marketing 2/e</t>
  </si>
  <si>
    <t>Barlow</t>
  </si>
  <si>
    <t xml:space="preserve"> Abnormal Psychology</t>
  </si>
  <si>
    <t>Foner</t>
  </si>
  <si>
    <t xml:space="preserve"> Give Me Liberty: Seagull Ed. (V2) 2/e</t>
  </si>
  <si>
    <t>Federer</t>
  </si>
  <si>
    <t>Mathematical Interest Theory 2/e</t>
  </si>
  <si>
    <t>Hoyle</t>
  </si>
  <si>
    <t xml:space="preserve"> Advanced Accounting 9/e </t>
  </si>
  <si>
    <t xml:space="preserve">Haviland </t>
  </si>
  <si>
    <t>Talking About People 4/e</t>
  </si>
  <si>
    <t>Fuller</t>
  </si>
  <si>
    <t xml:space="preserve"> Information Systems Project Management</t>
  </si>
  <si>
    <t>Pindyck</t>
  </si>
  <si>
    <t xml:space="preserve"> Macroeconomics 7/e</t>
  </si>
  <si>
    <t>Mankiw</t>
  </si>
  <si>
    <t>Shapiro</t>
  </si>
  <si>
    <t xml:space="preserve"> Multinational Financial Management 9/e</t>
  </si>
  <si>
    <t>For independent and related populations</t>
  </si>
  <si>
    <t>Your objective is to determine whether there is any difference in the mean textbook price</t>
  </si>
  <si>
    <t>between the college bookstore and the online retailer. In other words, is there evidence that the</t>
  </si>
  <si>
    <t xml:space="preserve">mean price is different between the two sellers of textbooks? </t>
  </si>
  <si>
    <t>alpha=0.05=P(H1/H0)</t>
  </si>
  <si>
    <t>H0:mu1-mu2=0</t>
  </si>
  <si>
    <t>H1:mu1-mu2 != 0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</si>
  <si>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</si>
  <si>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</si>
  <si>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</si>
  <si>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</si>
  <si>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</si>
  <si>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</si>
  <si>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</si>
  <si>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</si>
  <si>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</si>
  <si>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</si>
  <si>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</si>
  <si>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</si>
  <si>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tstat&lt;tcrit=we do not reject</t>
  </si>
  <si>
    <t>t-Test: Two-Sample Assuming Equal Variances</t>
  </si>
  <si>
    <t>Pooled Variance</t>
  </si>
  <si>
    <t>t-Test: Two-Sample Assuming Unequal Variances</t>
  </si>
  <si>
    <t>Do people of different age groups differ in</t>
  </si>
  <si>
    <t>their beliefs about response time to email messages?</t>
  </si>
  <si>
    <t>A survey by the Center for the Digital Future of the</t>
  </si>
  <si>
    <t>University of Southern California reported that 70.7% of</t>
  </si>
  <si>
    <t>users over 70 years of age believe that email messages should</t>
  </si>
  <si>
    <t>be answered quickly as compared to 53.6% of users 12 to</t>
  </si>
  <si>
    <t>50 years old. (Data extracted from A. Mindlin, “Older E-mail</t>
  </si>
  <si>
    <t>Users Favor Fast Replies,” The NewYork Times, July 14, 2008,</t>
  </si>
  <si>
    <t>p. B3.) Suppose that the survey was based on 1,000 users over</t>
  </si>
  <si>
    <t>70 years of age and 1,000 users 12 to 50 years old.</t>
  </si>
  <si>
    <t>a. At the 0.01 level of significance, is there evidence of a</t>
  </si>
  <si>
    <t>significant difference between the two age groups in the</t>
  </si>
  <si>
    <t>proportion that believe that email messages should be answered</t>
  </si>
  <si>
    <t>quickly?</t>
  </si>
  <si>
    <t>X1</t>
  </si>
  <si>
    <t>X2</t>
  </si>
  <si>
    <t>f1</t>
  </si>
  <si>
    <t>obs</t>
  </si>
  <si>
    <t>f2</t>
  </si>
  <si>
    <t>H0:P1-P2=0</t>
  </si>
  <si>
    <t>fn1-fn2/sqrt(p(1-p)(1/n1+1/n2))</t>
  </si>
  <si>
    <t>fn1~N(P1,sqt(p1(1-p1)/n1)</t>
  </si>
  <si>
    <t>fn2~N(P2,sqt(p2(1-p2)/n1)</t>
  </si>
  <si>
    <t>N1</t>
  </si>
  <si>
    <t>N2</t>
  </si>
  <si>
    <t>p^</t>
  </si>
  <si>
    <t>zcrit</t>
  </si>
  <si>
    <t>We have to reject H0, it means that there is a significant difference between two age groups in the proportion…</t>
  </si>
  <si>
    <t>The results of details measurements by two methods are given.</t>
  </si>
  <si>
    <t>Assuming that the measurement results are normally distributed,</t>
  </si>
  <si>
    <t>to test the hypothesis of variances' equality</t>
  </si>
  <si>
    <r>
      <rPr>
        <sz val="14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>i</t>
    </r>
  </si>
  <si>
    <r>
      <rPr>
        <sz val="14"/>
        <color theme="1"/>
        <rFont val="Calibri"/>
        <family val="2"/>
        <scheme val="minor"/>
      </rPr>
      <t>y</t>
    </r>
    <r>
      <rPr>
        <sz val="8"/>
        <color theme="1"/>
        <rFont val="Calibri"/>
        <family val="2"/>
        <scheme val="minor"/>
      </rPr>
      <t>i</t>
    </r>
  </si>
  <si>
    <t>H0:sigma1^2 != sigma2^2</t>
  </si>
  <si>
    <t>H0:sigma1^2 = sigma2^2</t>
  </si>
  <si>
    <t>F-Test Two-Sample for Variances</t>
  </si>
  <si>
    <t>Variable 1</t>
  </si>
  <si>
    <t>Variable 2</t>
  </si>
  <si>
    <t>P(F&lt;=f) one-tail</t>
  </si>
  <si>
    <t>F Critical one-tail</t>
  </si>
  <si>
    <t>Fobs&lt;Fcrti=&gt;we do not reject null hyp</t>
  </si>
  <si>
    <t>there is no evidence of a significant difference in the variability of variances of the two measurments</t>
  </si>
  <si>
    <t>New1</t>
  </si>
  <si>
    <t>New2</t>
  </si>
  <si>
    <t xml:space="preserve">Standard </t>
  </si>
  <si>
    <t xml:space="preserve">   </t>
  </si>
  <si>
    <t>In a random way it is chosen the grades of 20 students from the same group on 3 different subjects</t>
  </si>
  <si>
    <t>in case of alpha= 0.5 check the equalities of group means</t>
  </si>
  <si>
    <t xml:space="preserve">Probability                               </t>
  </si>
  <si>
    <t>Managment</t>
  </si>
  <si>
    <t>Physics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</si>
  <si>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</si>
  <si>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</si>
  <si>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</si>
  <si>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</si>
  <si>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</si>
  <si>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</si>
  <si>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</si>
  <si>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</si>
  <si>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</si>
  <si>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</si>
  <si>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</si>
  <si>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</si>
  <si>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</si>
  <si>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</si>
  <si>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</si>
  <si>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H1:not all mu-s are equal</t>
  </si>
  <si>
    <t>Fstat&lt;Fcrit=&gt;we do not reject H0</t>
  </si>
  <si>
    <t>it means that there is no significant differnece between the grades of the students for 3 subjects</t>
  </si>
  <si>
    <t>Prob</t>
  </si>
  <si>
    <t>Manag</t>
  </si>
  <si>
    <t>Phy</t>
  </si>
  <si>
    <t>also p_value &gt; 0.05 it means we do not reject H0</t>
  </si>
  <si>
    <t xml:space="preserve">H0: sigma1^2 = sigma2^2 = ….=sigmac^2 </t>
  </si>
  <si>
    <t>H1:not all sigma^2-s are equal</t>
  </si>
  <si>
    <t>H0:mu1=mu2=....=mu_c</t>
  </si>
  <si>
    <t>Fstat&lt;Fcrit=&gt; we do not rejet nll hypothesis</t>
  </si>
  <si>
    <t xml:space="preserve">There is no evidence of a significant difference among the 3 variances. </t>
  </si>
  <si>
    <t>But idk why p_value &lt; 0.05 =&gt; in that case we have to reject H0 which means there is a difference</t>
  </si>
  <si>
    <t>In other words, it is reasonable to assume that the grades  of the students from the four subjects  have  an equal amount of variability.</t>
  </si>
  <si>
    <t>it means that there is no significant differnece between the means of this 3 variable</t>
  </si>
  <si>
    <t xml:space="preserve">LEVENE </t>
  </si>
  <si>
    <t>Levene test for homogenity</t>
  </si>
  <si>
    <t>Hotel</t>
  </si>
  <si>
    <t>Reason</t>
  </si>
  <si>
    <t>GP</t>
  </si>
  <si>
    <t>PR</t>
  </si>
  <si>
    <t>PP</t>
  </si>
  <si>
    <t>ni.</t>
  </si>
  <si>
    <t>Price</t>
  </si>
  <si>
    <t>Location</t>
  </si>
  <si>
    <t>Room acc</t>
  </si>
  <si>
    <t>Other</t>
  </si>
  <si>
    <t>n.j</t>
  </si>
  <si>
    <t>nj.</t>
  </si>
  <si>
    <t>expected probabilty</t>
  </si>
  <si>
    <t>expected frequency</t>
  </si>
  <si>
    <t>observed frequency</t>
  </si>
  <si>
    <t>we use this to compare two sample prorportions and understand whether there is a significant differnece between them</t>
  </si>
  <si>
    <t>H0:P1=P2</t>
  </si>
  <si>
    <t>H1:P1!=P2</t>
  </si>
  <si>
    <t>Chi^2_obs</t>
  </si>
  <si>
    <t>Chi^2_crit</t>
  </si>
  <si>
    <t>deg of freedom=(r-1)(c-1)</t>
  </si>
  <si>
    <t>obs &gt;crit=&gt;we have to reject H0</t>
  </si>
  <si>
    <t>H0:There is no relationship between the primary reasom for not returning to the hotel</t>
  </si>
  <si>
    <t>H0:There is a relationship between the primary reasom for not returning to the hotel</t>
  </si>
  <si>
    <t>p_value</t>
  </si>
  <si>
    <t>there is a relationship between the primary reason for not returning to the hotel</t>
  </si>
  <si>
    <t>p_value &lt; 0.05 =&gt; we have to reject H0</t>
  </si>
  <si>
    <t>when decision made</t>
  </si>
  <si>
    <t>one adult
/no children</t>
  </si>
  <si>
    <t>2 or more adults/
children</t>
  </si>
  <si>
    <t>2 or more adults/
no children</t>
  </si>
  <si>
    <t>just before eating</t>
  </si>
  <si>
    <t>in the afternoon</t>
  </si>
  <si>
    <t>in the morning</t>
  </si>
  <si>
    <t>a few days before</t>
  </si>
  <si>
    <t>the night before</t>
  </si>
  <si>
    <t>always east the same thing on this night</t>
  </si>
  <si>
    <t>not sure</t>
  </si>
  <si>
    <t>n.i</t>
  </si>
  <si>
    <t>expected prob</t>
  </si>
  <si>
    <t>expected freq</t>
  </si>
  <si>
    <t>H0: there is no relationship between household and children under 18</t>
  </si>
  <si>
    <t>H1: there is a relationship between household and children under 18</t>
  </si>
  <si>
    <t>chi^2_obs</t>
  </si>
  <si>
    <t>chi^2_crit</t>
  </si>
  <si>
    <t>obs &gt; crit =&gt; we have to reject H0 =&gt; there is a relationship between..</t>
  </si>
  <si>
    <t>p_value is also &lt; 0.05 =&gt; we reject H</t>
  </si>
  <si>
    <t>Suppose the results were based on a survey of 1,000 respondents and considered</t>
  </si>
  <si>
    <t>whether the household included any children under 18 years old.</t>
  </si>
  <si>
    <t>Percentages in rows</t>
  </si>
  <si>
    <t>Percentages in column</t>
  </si>
  <si>
    <t>H1:P1-P2!=0</t>
  </si>
  <si>
    <t>percebtages in total</t>
  </si>
  <si>
    <t>A die was rolled 30 times with the results shown below</t>
  </si>
  <si>
    <t>If a chi-square goodness of fit test is used to test the hypothesis that the die</t>
  </si>
  <si>
    <t>is fair at a significance level ↵ = 0.05, then what is the value of the chi-square</t>
  </si>
  <si>
    <t>statistic and decision reached?</t>
  </si>
  <si>
    <t>Number of spots</t>
  </si>
  <si>
    <t>H0:P1=P2=..=P6=1/6</t>
  </si>
  <si>
    <t>H1:not all pi-s = 1/6</t>
  </si>
  <si>
    <t>Q=gumar(xi-npi)^2/npi</t>
  </si>
  <si>
    <t>npi</t>
  </si>
  <si>
    <t>observed</t>
  </si>
  <si>
    <t>Frequency (xi)</t>
  </si>
  <si>
    <t>obs&gt;crit=&gt; we reject H0</t>
  </si>
  <si>
    <t>16.	Դիցուք X-ը դիտարկված խանութներում աշխատակիցների քանակն է, իսկ Y-ը մանրածախ ապրանքաշրջանառությունը մլն. դրամ :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</si>
  <si>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</si>
  <si>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</si>
  <si>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</si>
  <si>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</si>
  <si>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</si>
  <si>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</si>
  <si>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</si>
  <si>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</si>
  <si>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</si>
  <si>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</si>
  <si>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</si>
  <si>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</si>
  <si>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</si>
  <si>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</si>
  <si>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</si>
  <si>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</si>
  <si>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</si>
  <si>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</si>
  <si>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</si>
  <si>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</si>
  <si>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H0:R = 0</t>
  </si>
  <si>
    <t>H1:R != 0</t>
  </si>
  <si>
    <t>97.1 of vaiation y is expained by x</t>
  </si>
  <si>
    <t>std of a prediction line</t>
  </si>
  <si>
    <t>The predicted value of Y equals the Y intercept plus the slope multiplied by the value of X.</t>
  </si>
  <si>
    <t>Y^i = b0 + b1Xi</t>
  </si>
  <si>
    <t>diffenrece between predicted value of y and observed value of y (spotts on the  plot)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</si>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</sst>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name val="Arial"/>
      <family val="2"/>
    </font>
    <font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vertAlign val="subscript"/>
      <sz val="16"/>
      <color indexed="8"/>
      <name val="Times New Roman"/>
      <family val="1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Sylfae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/>
    <xf numFmtId="0" fontId="7" fillId="0" borderId="0" xfId="0" applyFont="1"/>
    <xf numFmtId="0" fontId="0" fillId="0" borderId="0" xfId="0" applyFont="1"/>
    <xf numFmtId="0" fontId="1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1" fillId="0" borderId="0" xfId="0" applyFont="1"/>
    <xf numFmtId="0" fontId="12" fillId="0" borderId="0" xfId="0" applyFont="1"/>
    <xf numFmtId="0" fontId="11" fillId="0" borderId="2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0" fontId="0" fillId="0" borderId="0" xfId="0" applyBorder="1"/>
    <xf numFmtId="0" fontId="11" fillId="0" borderId="0" xfId="0" applyFont="1" applyAlignment="1">
      <alignment horizontal="justify" vertic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7" xfId="0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17" fillId="0" borderId="2" xfId="0" applyFont="1" applyBorder="1" applyAlignment="1">
      <alignment horizontal="justify" vertical="center" wrapText="1"/>
    </xf>
    <xf numFmtId="0" fontId="17" fillId="0" borderId="3" xfId="0" applyFont="1" applyBorder="1" applyAlignment="1">
      <alignment horizontal="justify" vertical="center" wrapText="1"/>
    </xf>
    <xf numFmtId="0" fontId="17" fillId="0" borderId="4" xfId="0" applyFont="1" applyBorder="1" applyAlignment="1">
      <alignment horizontal="justify" vertical="center" wrapText="1"/>
    </xf>
    <xf numFmtId="0" fontId="17" fillId="0" borderId="5" xfId="0" applyFont="1" applyBorder="1" applyAlignment="1">
      <alignment horizontal="justify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9" fontId="0" fillId="0" borderId="0" xfId="1" applyFont="1"/>
    <xf numFmtId="0" fontId="8" fillId="0" borderId="7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36804461942257"/>
                  <c:y val="-5.9587343248760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regression!$D$7:$D$15</c:f>
              <c:numCache>
                <c:formatCode>General</c:formatCode>
                <c:ptCount val="9"/>
                <c:pt idx="0">
                  <c:v>73</c:v>
                </c:pt>
                <c:pt idx="1">
                  <c:v>86</c:v>
                </c:pt>
                <c:pt idx="2">
                  <c:v>101</c:v>
                </c:pt>
                <c:pt idx="3">
                  <c:v>115</c:v>
                </c:pt>
                <c:pt idx="4">
                  <c:v>122</c:v>
                </c:pt>
                <c:pt idx="5">
                  <c:v>126</c:v>
                </c:pt>
                <c:pt idx="6">
                  <c:v>134</c:v>
                </c:pt>
                <c:pt idx="7">
                  <c:v>148</c:v>
                </c:pt>
                <c:pt idx="8">
                  <c:v>150</c:v>
                </c:pt>
              </c:numCache>
            </c:numRef>
          </c:xVal>
          <c:yVal>
            <c:numRef>
              <c:f>regression!$E$7:$E$15</c:f>
              <c:numCache>
                <c:formatCode>General</c:formatCode>
                <c:ptCount val="9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1.4</c:v>
                </c:pt>
                <c:pt idx="5">
                  <c:v>1.4</c:v>
                </c:pt>
                <c:pt idx="6">
                  <c:v>1.7</c:v>
                </c:pt>
                <c:pt idx="7">
                  <c:v>1.9</c:v>
                </c:pt>
                <c:pt idx="8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3-49F1-BF5E-549FFF97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30575"/>
        <c:axId val="457778415"/>
      </c:scatterChart>
      <c:valAx>
        <c:axId val="3638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78415"/>
        <c:crosses val="autoZero"/>
        <c:crossBetween val="midCat"/>
      </c:valAx>
      <c:valAx>
        <c:axId val="4577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8</xdr:row>
      <xdr:rowOff>152400</xdr:rowOff>
    </xdr:from>
    <xdr:to>
      <xdr:col>14</xdr:col>
      <xdr:colOff>289560</xdr:colOff>
      <xdr:row>8</xdr:row>
      <xdr:rowOff>160020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7886700" y="1257300"/>
          <a:ext cx="32766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571500</xdr:colOff>
      <xdr:row>8</xdr:row>
      <xdr:rowOff>152400</xdr:rowOff>
    </xdr:from>
    <xdr:to>
      <xdr:col>14</xdr:col>
      <xdr:colOff>289560</xdr:colOff>
      <xdr:row>8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7886700" y="1257300"/>
          <a:ext cx="32766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7</xdr:row>
      <xdr:rowOff>152400</xdr:rowOff>
    </xdr:from>
    <xdr:to>
      <xdr:col>13</xdr:col>
      <xdr:colOff>289560</xdr:colOff>
      <xdr:row>7</xdr:row>
      <xdr:rowOff>160020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7886700" y="1257300"/>
          <a:ext cx="32766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7</xdr:row>
      <xdr:rowOff>152400</xdr:rowOff>
    </xdr:from>
    <xdr:to>
      <xdr:col>13</xdr:col>
      <xdr:colOff>289560</xdr:colOff>
      <xdr:row>7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7886700" y="1257300"/>
          <a:ext cx="32766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21</xdr:row>
          <xdr:rowOff>47625</xdr:rowOff>
        </xdr:from>
        <xdr:to>
          <xdr:col>5</xdr:col>
          <xdr:colOff>381000</xdr:colOff>
          <xdr:row>21</xdr:row>
          <xdr:rowOff>228600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172260</xdr:colOff>
      <xdr:row>19</xdr:row>
      <xdr:rowOff>158480</xdr:rowOff>
    </xdr:from>
    <xdr:to>
      <xdr:col>7</xdr:col>
      <xdr:colOff>1096388</xdr:colOff>
      <xdr:row>33</xdr:row>
      <xdr:rowOff>165775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N21"/>
  <sheetViews>
    <sheetView topLeftCell="D1" zoomScale="113" workbookViewId="0">
      <selection activeCell="L17" sqref="L17"/>
    </sheetView>
  </sheetViews>
  <sheetFormatPr defaultRowHeight="15" x14ac:dyDescent="0.25"/>
  <sheetData>
    <row r="7" spans="5:14" ht="21" x14ac:dyDescent="0.35">
      <c r="E7" s="1" t="s">
        <v>0</v>
      </c>
      <c r="F7" s="1"/>
      <c r="G7" s="1"/>
      <c r="H7" s="1"/>
      <c r="I7" s="1"/>
      <c r="J7" s="1"/>
      <c r="K7" s="1"/>
      <c r="L7" s="1"/>
      <c r="M7" s="1"/>
      <c r="N7" s="1"/>
    </row>
    <row r="8" spans="5:14" ht="21" x14ac:dyDescent="0.35">
      <c r="E8" s="1"/>
      <c r="F8" s="1"/>
      <c r="G8" s="1"/>
      <c r="H8" s="1"/>
      <c r="I8" s="1"/>
      <c r="J8" s="1"/>
      <c r="K8" s="1"/>
      <c r="L8" s="1"/>
      <c r="M8" s="1"/>
      <c r="N8" s="1"/>
    </row>
    <row r="9" spans="5:14" ht="21" x14ac:dyDescent="0.35">
      <c r="E9" s="1" t="s">
        <v>1</v>
      </c>
      <c r="F9" s="1"/>
      <c r="G9" s="1"/>
      <c r="H9" s="1"/>
      <c r="I9" s="1"/>
      <c r="J9" s="1"/>
      <c r="K9" s="1"/>
      <c r="L9" s="1"/>
      <c r="M9" s="1"/>
      <c r="N9" s="1"/>
    </row>
    <row r="13" spans="5:14" x14ac:dyDescent="0.25">
      <c r="E13" t="s">
        <v>2</v>
      </c>
      <c r="F13">
        <v>15</v>
      </c>
      <c r="I13" t="s">
        <v>9</v>
      </c>
      <c r="K13" t="s">
        <v>10</v>
      </c>
    </row>
    <row r="14" spans="5:14" x14ac:dyDescent="0.25">
      <c r="E14" t="s">
        <v>3</v>
      </c>
      <c r="F14">
        <v>96</v>
      </c>
      <c r="I14" t="s">
        <v>11</v>
      </c>
      <c r="J14">
        <v>0.04</v>
      </c>
      <c r="K14" t="s">
        <v>12</v>
      </c>
    </row>
    <row r="15" spans="5:14" x14ac:dyDescent="0.25">
      <c r="E15" t="s">
        <v>4</v>
      </c>
      <c r="F15">
        <v>1000</v>
      </c>
    </row>
    <row r="16" spans="5:14" x14ac:dyDescent="0.25">
      <c r="E16" t="s">
        <v>7</v>
      </c>
      <c r="F16">
        <v>16</v>
      </c>
      <c r="I16" t="s">
        <v>14</v>
      </c>
      <c r="J16" t="s">
        <v>28</v>
      </c>
      <c r="L16">
        <f>F15*(F16-15)</f>
        <v>1000</v>
      </c>
    </row>
    <row r="17" spans="5:12" x14ac:dyDescent="0.25">
      <c r="E17" t="s">
        <v>8</v>
      </c>
      <c r="F17">
        <v>1</v>
      </c>
      <c r="I17" t="s">
        <v>16</v>
      </c>
      <c r="J17" t="s">
        <v>17</v>
      </c>
      <c r="L17">
        <f>1000*1</f>
        <v>1000</v>
      </c>
    </row>
    <row r="19" spans="5:12" x14ac:dyDescent="0.25">
      <c r="I19" t="s">
        <v>18</v>
      </c>
      <c r="L19">
        <f>_xlfn.NORM.INV(0.06, 1000,1000)</f>
        <v>-554.77359459685294</v>
      </c>
    </row>
    <row r="21" spans="5:12" x14ac:dyDescent="0.25">
      <c r="I21" t="s">
        <v>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133C-C5B5-4607-B172-6F5667BA4DCF}">
  <dimension ref="B2:Y38"/>
  <sheetViews>
    <sheetView topLeftCell="A4" zoomScale="122" workbookViewId="0">
      <selection activeCell="V28" sqref="V28"/>
    </sheetView>
  </sheetViews>
  <sheetFormatPr defaultRowHeight="15" x14ac:dyDescent="0.25"/>
  <cols>
    <col min="12" max="12" width="15.140625" customWidth="1"/>
  </cols>
  <sheetData>
    <row r="2" spans="2:25" x14ac:dyDescent="0.25">
      <c r="B2" t="s">
        <v>165</v>
      </c>
    </row>
    <row r="3" spans="2:25" x14ac:dyDescent="0.25">
      <c r="B3" t="s">
        <v>166</v>
      </c>
    </row>
    <row r="4" spans="2:25" x14ac:dyDescent="0.25">
      <c r="B4" t="s">
        <v>167</v>
      </c>
    </row>
    <row r="5" spans="2:25" x14ac:dyDescent="0.25">
      <c r="B5" t="s">
        <v>168</v>
      </c>
    </row>
    <row r="7" spans="2:25" x14ac:dyDescent="0.25">
      <c r="H7" t="s">
        <v>169</v>
      </c>
      <c r="I7" t="s">
        <v>170</v>
      </c>
    </row>
    <row r="8" spans="2:25" x14ac:dyDescent="0.25">
      <c r="F8" s="28" t="s">
        <v>171</v>
      </c>
      <c r="G8" s="28" t="s">
        <v>172</v>
      </c>
      <c r="H8" s="29">
        <v>132.75</v>
      </c>
      <c r="I8" s="29">
        <v>136.91</v>
      </c>
      <c r="L8" t="s">
        <v>213</v>
      </c>
      <c r="Q8" t="s">
        <v>226</v>
      </c>
      <c r="W8" t="s">
        <v>228</v>
      </c>
    </row>
    <row r="9" spans="2:25" ht="15.75" thickBot="1" x14ac:dyDescent="0.3">
      <c r="F9" s="28" t="s">
        <v>173</v>
      </c>
      <c r="G9" s="28" t="s">
        <v>174</v>
      </c>
      <c r="H9" s="29">
        <v>201.5</v>
      </c>
      <c r="I9" s="29">
        <v>178.58</v>
      </c>
    </row>
    <row r="10" spans="2:25" x14ac:dyDescent="0.25">
      <c r="F10" s="28" t="s">
        <v>175</v>
      </c>
      <c r="G10" s="28" t="s">
        <v>176</v>
      </c>
      <c r="H10" s="29">
        <v>81</v>
      </c>
      <c r="I10" s="29">
        <v>76</v>
      </c>
      <c r="L10" s="32"/>
      <c r="M10" s="32" t="s">
        <v>169</v>
      </c>
      <c r="N10" s="32" t="s">
        <v>170</v>
      </c>
      <c r="Q10" s="32"/>
      <c r="R10" s="32" t="s">
        <v>169</v>
      </c>
      <c r="S10" s="32" t="s">
        <v>170</v>
      </c>
      <c r="W10" s="32"/>
      <c r="X10" s="32" t="s">
        <v>169</v>
      </c>
      <c r="Y10" s="32" t="s">
        <v>170</v>
      </c>
    </row>
    <row r="11" spans="2:25" x14ac:dyDescent="0.25">
      <c r="F11" s="28" t="s">
        <v>177</v>
      </c>
      <c r="G11" s="28" t="s">
        <v>178</v>
      </c>
      <c r="H11" s="29">
        <v>153.5</v>
      </c>
      <c r="I11" s="29">
        <v>120.43</v>
      </c>
      <c r="L11" s="30" t="s">
        <v>214</v>
      </c>
      <c r="M11" s="30">
        <v>143.45944444444444</v>
      </c>
      <c r="N11" s="30">
        <v>131.23055555555558</v>
      </c>
      <c r="Q11" s="30" t="s">
        <v>214</v>
      </c>
      <c r="R11" s="30">
        <v>143.45944444444444</v>
      </c>
      <c r="S11" s="30">
        <v>131.23055555555558</v>
      </c>
      <c r="W11" s="30" t="s">
        <v>214</v>
      </c>
      <c r="X11" s="30">
        <v>143.45944444444444</v>
      </c>
      <c r="Y11" s="30">
        <v>131.23055555555558</v>
      </c>
    </row>
    <row r="12" spans="2:25" x14ac:dyDescent="0.25">
      <c r="F12" s="28" t="s">
        <v>179</v>
      </c>
      <c r="G12" s="28" t="s">
        <v>180</v>
      </c>
      <c r="H12" s="29">
        <v>153.55000000000001</v>
      </c>
      <c r="I12" s="29">
        <v>217.99</v>
      </c>
      <c r="L12" s="30" t="s">
        <v>215</v>
      </c>
      <c r="M12" s="30">
        <v>2871.7319584967336</v>
      </c>
      <c r="N12" s="30">
        <v>2464.9919937908453</v>
      </c>
      <c r="Q12" s="30" t="s">
        <v>215</v>
      </c>
      <c r="R12" s="30">
        <v>2871.7319584967336</v>
      </c>
      <c r="S12" s="30">
        <v>2464.9919937908453</v>
      </c>
      <c r="W12" s="30" t="s">
        <v>215</v>
      </c>
      <c r="X12" s="30">
        <v>2871.7319584967336</v>
      </c>
      <c r="Y12" s="30">
        <v>2464.9919937908453</v>
      </c>
    </row>
    <row r="13" spans="2:25" x14ac:dyDescent="0.25">
      <c r="F13" s="28" t="s">
        <v>181</v>
      </c>
      <c r="G13" s="28" t="s">
        <v>182</v>
      </c>
      <c r="H13" s="29">
        <v>216</v>
      </c>
      <c r="I13" s="29">
        <v>197.1</v>
      </c>
      <c r="L13" s="30" t="s">
        <v>216</v>
      </c>
      <c r="M13" s="30">
        <v>18</v>
      </c>
      <c r="N13" s="30">
        <v>18</v>
      </c>
      <c r="Q13" s="30" t="s">
        <v>216</v>
      </c>
      <c r="R13" s="30">
        <v>18</v>
      </c>
      <c r="S13" s="30">
        <v>18</v>
      </c>
      <c r="W13" s="30" t="s">
        <v>216</v>
      </c>
      <c r="X13" s="30">
        <v>18</v>
      </c>
      <c r="Y13" s="30">
        <v>18</v>
      </c>
    </row>
    <row r="14" spans="2:25" x14ac:dyDescent="0.25">
      <c r="F14" s="28" t="s">
        <v>183</v>
      </c>
      <c r="G14" s="28" t="s">
        <v>184</v>
      </c>
      <c r="H14" s="29">
        <v>199.75</v>
      </c>
      <c r="I14" s="29">
        <v>168.71</v>
      </c>
      <c r="L14" s="30" t="s">
        <v>217</v>
      </c>
      <c r="M14" s="30">
        <v>0.81763680572265018</v>
      </c>
      <c r="N14" s="30"/>
      <c r="Q14" s="30" t="s">
        <v>227</v>
      </c>
      <c r="R14" s="30">
        <v>2668.3619761437894</v>
      </c>
      <c r="S14" s="30"/>
      <c r="W14" s="30" t="s">
        <v>218</v>
      </c>
      <c r="X14" s="30">
        <v>0</v>
      </c>
      <c r="Y14" s="30"/>
    </row>
    <row r="15" spans="2:25" x14ac:dyDescent="0.25">
      <c r="F15" s="28" t="s">
        <v>185</v>
      </c>
      <c r="G15" s="28" t="s">
        <v>186</v>
      </c>
      <c r="H15" s="29">
        <v>147</v>
      </c>
      <c r="I15" s="29">
        <v>178.63</v>
      </c>
      <c r="L15" s="30" t="s">
        <v>218</v>
      </c>
      <c r="M15" s="30">
        <v>0</v>
      </c>
      <c r="N15" s="30"/>
      <c r="Q15" s="30" t="s">
        <v>218</v>
      </c>
      <c r="R15" s="30">
        <v>0</v>
      </c>
      <c r="S15" s="30"/>
      <c r="W15" s="30" t="s">
        <v>219</v>
      </c>
      <c r="X15" s="30">
        <v>34</v>
      </c>
      <c r="Y15" s="30"/>
    </row>
    <row r="16" spans="2:25" x14ac:dyDescent="0.25">
      <c r="F16" s="28" t="s">
        <v>187</v>
      </c>
      <c r="G16" s="28" t="s">
        <v>188</v>
      </c>
      <c r="H16" s="29">
        <v>132</v>
      </c>
      <c r="I16" s="29">
        <v>95.89</v>
      </c>
      <c r="L16" s="30" t="s">
        <v>219</v>
      </c>
      <c r="M16" s="30">
        <v>17</v>
      </c>
      <c r="N16" s="30"/>
      <c r="Q16" s="30" t="s">
        <v>219</v>
      </c>
      <c r="R16" s="30">
        <v>34</v>
      </c>
      <c r="S16" s="30"/>
      <c r="W16" s="30" t="s">
        <v>220</v>
      </c>
      <c r="X16" s="30">
        <v>0.71020852664962197</v>
      </c>
      <c r="Y16" s="30"/>
    </row>
    <row r="17" spans="2:25" x14ac:dyDescent="0.25">
      <c r="F17" s="28" t="s">
        <v>189</v>
      </c>
      <c r="G17" s="28" t="s">
        <v>190</v>
      </c>
      <c r="H17" s="29">
        <v>182.25</v>
      </c>
      <c r="I17" s="29">
        <v>145.49</v>
      </c>
      <c r="L17" s="30" t="s">
        <v>220</v>
      </c>
      <c r="M17" s="30">
        <v>1.6523566182546583</v>
      </c>
      <c r="N17" s="30"/>
      <c r="Q17" s="30" t="s">
        <v>220</v>
      </c>
      <c r="R17" s="30">
        <v>0.71020852664962197</v>
      </c>
      <c r="S17" s="30"/>
      <c r="W17" s="30" t="s">
        <v>221</v>
      </c>
      <c r="X17" s="30">
        <v>0.24120900821105923</v>
      </c>
      <c r="Y17" s="30"/>
    </row>
    <row r="18" spans="2:25" x14ac:dyDescent="0.25">
      <c r="F18" s="28" t="s">
        <v>191</v>
      </c>
      <c r="G18" s="28" t="s">
        <v>192</v>
      </c>
      <c r="H18" s="29">
        <v>45.5</v>
      </c>
      <c r="I18" s="29">
        <v>37.6</v>
      </c>
      <c r="L18" s="30" t="s">
        <v>221</v>
      </c>
      <c r="M18" s="30">
        <v>5.8405025283869635E-2</v>
      </c>
      <c r="N18" s="30"/>
      <c r="Q18" s="30" t="s">
        <v>221</v>
      </c>
      <c r="R18" s="30">
        <v>0.24120900821105923</v>
      </c>
      <c r="S18" s="30"/>
      <c r="W18" s="30" t="s">
        <v>222</v>
      </c>
      <c r="X18" s="30">
        <v>1.6909242551868542</v>
      </c>
      <c r="Y18" s="30"/>
    </row>
    <row r="19" spans="2:25" x14ac:dyDescent="0.25">
      <c r="F19" s="28" t="s">
        <v>193</v>
      </c>
      <c r="G19" s="28" t="s">
        <v>194</v>
      </c>
      <c r="H19" s="29">
        <v>89.95</v>
      </c>
      <c r="I19" s="29">
        <v>91.69</v>
      </c>
      <c r="L19" s="30" t="s">
        <v>222</v>
      </c>
      <c r="M19" s="30">
        <v>1.7396067260750732</v>
      </c>
      <c r="N19" s="30"/>
      <c r="Q19" s="30" t="s">
        <v>222</v>
      </c>
      <c r="R19" s="30">
        <v>1.6909242551868542</v>
      </c>
      <c r="S19" s="30"/>
      <c r="W19" s="30" t="s">
        <v>223</v>
      </c>
      <c r="X19" s="30">
        <v>0.48241801642211846</v>
      </c>
      <c r="Y19" s="30"/>
    </row>
    <row r="20" spans="2:25" ht="15.75" thickBot="1" x14ac:dyDescent="0.3">
      <c r="F20" s="28" t="s">
        <v>195</v>
      </c>
      <c r="G20" s="28" t="s">
        <v>196</v>
      </c>
      <c r="H20" s="29">
        <v>123.02</v>
      </c>
      <c r="I20" s="29">
        <v>148.41</v>
      </c>
      <c r="L20" s="30" t="s">
        <v>223</v>
      </c>
      <c r="M20" s="30">
        <v>0.11681005056773927</v>
      </c>
      <c r="N20" s="30"/>
      <c r="Q20" s="30" t="s">
        <v>223</v>
      </c>
      <c r="R20" s="30">
        <v>0.48241801642211846</v>
      </c>
      <c r="S20" s="30"/>
      <c r="W20" s="31" t="s">
        <v>224</v>
      </c>
      <c r="X20" s="31">
        <v>2.0322445093177191</v>
      </c>
      <c r="Y20" s="31"/>
    </row>
    <row r="21" spans="2:25" ht="15.75" thickBot="1" x14ac:dyDescent="0.3">
      <c r="F21" s="28" t="s">
        <v>197</v>
      </c>
      <c r="G21" s="28" t="s">
        <v>198</v>
      </c>
      <c r="H21" s="29">
        <v>57.5</v>
      </c>
      <c r="I21" s="29">
        <v>53.93</v>
      </c>
      <c r="L21" s="31" t="s">
        <v>224</v>
      </c>
      <c r="M21" s="31">
        <v>2.109815577833317</v>
      </c>
      <c r="N21" s="31"/>
      <c r="Q21" s="31" t="s">
        <v>224</v>
      </c>
      <c r="R21" s="31">
        <v>2.0322445093177191</v>
      </c>
      <c r="S21" s="31"/>
    </row>
    <row r="22" spans="2:25" x14ac:dyDescent="0.25">
      <c r="F22" s="28" t="s">
        <v>199</v>
      </c>
      <c r="G22" s="28" t="s">
        <v>200</v>
      </c>
      <c r="H22" s="29">
        <v>88.25</v>
      </c>
      <c r="I22" s="29">
        <v>83.69</v>
      </c>
    </row>
    <row r="23" spans="2:25" x14ac:dyDescent="0.25">
      <c r="F23" s="28" t="s">
        <v>201</v>
      </c>
      <c r="G23" s="28" t="s">
        <v>202</v>
      </c>
      <c r="H23" s="29">
        <v>189.25</v>
      </c>
      <c r="I23" s="29">
        <v>133.32</v>
      </c>
      <c r="L23" t="s">
        <v>225</v>
      </c>
      <c r="Q23" t="s">
        <v>225</v>
      </c>
      <c r="W23" t="s">
        <v>225</v>
      </c>
    </row>
    <row r="24" spans="2:25" x14ac:dyDescent="0.25">
      <c r="F24" s="28" t="s">
        <v>203</v>
      </c>
      <c r="G24" s="28" t="s">
        <v>202</v>
      </c>
      <c r="H24" s="29">
        <v>179.25</v>
      </c>
      <c r="I24" s="29">
        <v>150.47999999999999</v>
      </c>
    </row>
    <row r="25" spans="2:25" x14ac:dyDescent="0.25">
      <c r="F25" s="28" t="s">
        <v>204</v>
      </c>
      <c r="G25" s="28" t="s">
        <v>205</v>
      </c>
      <c r="H25" s="29">
        <v>210.25</v>
      </c>
      <c r="I25" s="29">
        <v>147.30000000000001</v>
      </c>
    </row>
    <row r="26" spans="2:25" x14ac:dyDescent="0.25">
      <c r="F26" s="28"/>
      <c r="G26" s="28"/>
      <c r="H26" s="29"/>
      <c r="I26" s="29"/>
    </row>
    <row r="28" spans="2:25" x14ac:dyDescent="0.25">
      <c r="B28" t="s">
        <v>206</v>
      </c>
    </row>
    <row r="29" spans="2:25" x14ac:dyDescent="0.25">
      <c r="B29" t="s">
        <v>207</v>
      </c>
    </row>
    <row r="30" spans="2:25" x14ac:dyDescent="0.25">
      <c r="B30" t="s">
        <v>208</v>
      </c>
    </row>
    <row r="31" spans="2:25" x14ac:dyDescent="0.25">
      <c r="B31" t="s">
        <v>209</v>
      </c>
    </row>
    <row r="36" spans="2:2" x14ac:dyDescent="0.25">
      <c r="B36" t="s">
        <v>210</v>
      </c>
    </row>
    <row r="37" spans="2:2" x14ac:dyDescent="0.25">
      <c r="B37" t="s">
        <v>211</v>
      </c>
    </row>
    <row r="38" spans="2:2" x14ac:dyDescent="0.25">
      <c r="B38" t="s">
        <v>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F1BD-54DA-469A-98B2-00EAC518FD7D}">
  <dimension ref="C3:Q25"/>
  <sheetViews>
    <sheetView zoomScale="85" zoomScaleNormal="100" workbookViewId="0">
      <selection activeCell="K19" sqref="K19"/>
    </sheetView>
  </sheetViews>
  <sheetFormatPr defaultColWidth="8.85546875" defaultRowHeight="21" x14ac:dyDescent="0.35"/>
  <cols>
    <col min="1" max="16384" width="8.85546875" style="33"/>
  </cols>
  <sheetData>
    <row r="3" spans="3:17" x14ac:dyDescent="0.35">
      <c r="C3" s="33" t="s">
        <v>229</v>
      </c>
    </row>
    <row r="4" spans="3:17" x14ac:dyDescent="0.35">
      <c r="C4" s="33" t="s">
        <v>230</v>
      </c>
    </row>
    <row r="5" spans="3:17" x14ac:dyDescent="0.35">
      <c r="C5" s="33" t="s">
        <v>231</v>
      </c>
    </row>
    <row r="6" spans="3:17" x14ac:dyDescent="0.35">
      <c r="C6" s="33" t="s">
        <v>232</v>
      </c>
    </row>
    <row r="7" spans="3:17" x14ac:dyDescent="0.35">
      <c r="C7" s="33" t="s">
        <v>233</v>
      </c>
    </row>
    <row r="8" spans="3:17" x14ac:dyDescent="0.35">
      <c r="C8" s="33" t="s">
        <v>234</v>
      </c>
    </row>
    <row r="9" spans="3:17" x14ac:dyDescent="0.35">
      <c r="C9" s="33" t="s">
        <v>235</v>
      </c>
    </row>
    <row r="10" spans="3:17" x14ac:dyDescent="0.35">
      <c r="C10" s="33" t="s">
        <v>236</v>
      </c>
    </row>
    <row r="11" spans="3:17" x14ac:dyDescent="0.35">
      <c r="C11" s="33" t="s">
        <v>237</v>
      </c>
    </row>
    <row r="12" spans="3:17" x14ac:dyDescent="0.35">
      <c r="C12" s="33" t="s">
        <v>238</v>
      </c>
    </row>
    <row r="13" spans="3:17" x14ac:dyDescent="0.35">
      <c r="C13" s="33" t="s">
        <v>239</v>
      </c>
    </row>
    <row r="14" spans="3:17" x14ac:dyDescent="0.35">
      <c r="C14" s="33" t="s">
        <v>240</v>
      </c>
      <c r="Q14" s="33" t="s">
        <v>249</v>
      </c>
    </row>
    <row r="15" spans="3:17" x14ac:dyDescent="0.35">
      <c r="C15" s="33" t="s">
        <v>241</v>
      </c>
    </row>
    <row r="16" spans="3:17" x14ac:dyDescent="0.35">
      <c r="C16" s="33" t="s">
        <v>242</v>
      </c>
    </row>
    <row r="17" spans="3:17" x14ac:dyDescent="0.35">
      <c r="Q17" s="33" t="s">
        <v>250</v>
      </c>
    </row>
    <row r="18" spans="3:17" x14ac:dyDescent="0.35">
      <c r="C18" s="33" t="s">
        <v>243</v>
      </c>
      <c r="D18" s="33">
        <v>707</v>
      </c>
      <c r="F18" s="33" t="s">
        <v>245</v>
      </c>
      <c r="G18" s="33">
        <f>D18/D20</f>
        <v>0.70699999999999996</v>
      </c>
      <c r="J18" s="33" t="s">
        <v>246</v>
      </c>
      <c r="K18" s="33">
        <f>(G18-G19)/SQRT(G20*(1-G20)*(1/D20+1/D21))</f>
        <v>7.8836548815840342</v>
      </c>
      <c r="Q18" s="33" t="s">
        <v>251</v>
      </c>
    </row>
    <row r="19" spans="3:17" x14ac:dyDescent="0.35">
      <c r="C19" s="33" t="s">
        <v>244</v>
      </c>
      <c r="D19" s="33">
        <v>536</v>
      </c>
      <c r="F19" s="33" t="s">
        <v>247</v>
      </c>
      <c r="G19" s="33">
        <f>D19/D21</f>
        <v>0.53600000000000003</v>
      </c>
      <c r="J19" s="33" t="s">
        <v>255</v>
      </c>
      <c r="K19" s="33">
        <f>_xlfn.NORM.S.INV(1-0.01/2)</f>
        <v>2.5758293035488999</v>
      </c>
    </row>
    <row r="20" spans="3:17" x14ac:dyDescent="0.35">
      <c r="C20" s="33" t="s">
        <v>252</v>
      </c>
      <c r="D20" s="33">
        <v>1000</v>
      </c>
      <c r="F20" s="33" t="s">
        <v>254</v>
      </c>
      <c r="G20" s="33">
        <f>(D18+D19)/(D20+D21)</f>
        <v>0.62150000000000005</v>
      </c>
    </row>
    <row r="21" spans="3:17" x14ac:dyDescent="0.35">
      <c r="C21" s="33" t="s">
        <v>253</v>
      </c>
      <c r="D21" s="33">
        <v>1000</v>
      </c>
      <c r="J21" s="33" t="s">
        <v>256</v>
      </c>
    </row>
    <row r="24" spans="3:17" x14ac:dyDescent="0.35">
      <c r="C24" s="33" t="s">
        <v>248</v>
      </c>
    </row>
    <row r="25" spans="3:17" x14ac:dyDescent="0.35">
      <c r="C25" s="33" t="s">
        <v>363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BC8F-F619-459D-8261-34295AC234CD}">
  <dimension ref="D6:M22"/>
  <sheetViews>
    <sheetView topLeftCell="B4" zoomScale="160" zoomScaleNormal="265" workbookViewId="0">
      <selection activeCell="N21" sqref="N21"/>
    </sheetView>
  </sheetViews>
  <sheetFormatPr defaultRowHeight="15" x14ac:dyDescent="0.25"/>
  <sheetData>
    <row r="6" spans="4:11" x14ac:dyDescent="0.25">
      <c r="D6" s="34" t="s">
        <v>257</v>
      </c>
      <c r="E6" s="34"/>
      <c r="F6" s="34"/>
      <c r="G6" s="34"/>
      <c r="H6" s="34"/>
      <c r="I6" s="34"/>
      <c r="J6" s="34"/>
    </row>
    <row r="7" spans="4:11" x14ac:dyDescent="0.25">
      <c r="D7" s="34" t="s">
        <v>258</v>
      </c>
      <c r="E7" s="34"/>
      <c r="F7" s="34"/>
      <c r="G7" s="34"/>
      <c r="H7" s="34"/>
      <c r="I7" s="34"/>
      <c r="J7" s="34"/>
    </row>
    <row r="8" spans="4:11" x14ac:dyDescent="0.25">
      <c r="D8" s="34" t="s">
        <v>259</v>
      </c>
      <c r="E8" s="34"/>
      <c r="F8" s="34"/>
      <c r="G8" s="34"/>
      <c r="H8" s="34"/>
      <c r="I8" s="34"/>
      <c r="J8" s="34"/>
    </row>
    <row r="9" spans="4:11" x14ac:dyDescent="0.25">
      <c r="D9" s="34"/>
      <c r="E9" s="34"/>
      <c r="F9" s="34"/>
      <c r="G9" s="34"/>
      <c r="H9" s="34"/>
      <c r="I9" s="34"/>
      <c r="J9" s="34"/>
    </row>
    <row r="10" spans="4:11" ht="18.75" x14ac:dyDescent="0.3">
      <c r="D10" s="17" t="s">
        <v>260</v>
      </c>
      <c r="E10">
        <v>9.6</v>
      </c>
      <c r="F10">
        <v>10</v>
      </c>
      <c r="G10">
        <v>9.8000000000000007</v>
      </c>
      <c r="H10">
        <v>10.199999999999999</v>
      </c>
      <c r="I10">
        <v>10.6</v>
      </c>
      <c r="J10">
        <v>11</v>
      </c>
    </row>
    <row r="11" spans="4:11" ht="18.75" x14ac:dyDescent="0.3">
      <c r="D11" s="17" t="s">
        <v>261</v>
      </c>
      <c r="E11">
        <v>10.4</v>
      </c>
      <c r="F11">
        <v>9.6999999999999993</v>
      </c>
      <c r="G11">
        <v>10</v>
      </c>
      <c r="H11">
        <v>10.3</v>
      </c>
      <c r="I11">
        <v>9.5</v>
      </c>
    </row>
    <row r="13" spans="4:11" x14ac:dyDescent="0.25">
      <c r="I13" t="s">
        <v>264</v>
      </c>
    </row>
    <row r="14" spans="4:11" ht="15.75" thickBot="1" x14ac:dyDescent="0.3">
      <c r="D14" t="s">
        <v>263</v>
      </c>
    </row>
    <row r="15" spans="4:11" x14ac:dyDescent="0.25">
      <c r="D15" t="s">
        <v>262</v>
      </c>
      <c r="I15" s="32"/>
      <c r="J15" s="32" t="s">
        <v>265</v>
      </c>
      <c r="K15" s="32" t="s">
        <v>266</v>
      </c>
    </row>
    <row r="16" spans="4:11" x14ac:dyDescent="0.25">
      <c r="I16" s="30" t="s">
        <v>214</v>
      </c>
      <c r="J16" s="30">
        <v>10.200000000000001</v>
      </c>
      <c r="K16" s="30">
        <v>9.98</v>
      </c>
    </row>
    <row r="17" spans="9:13" x14ac:dyDescent="0.25">
      <c r="I17" s="30" t="s">
        <v>215</v>
      </c>
      <c r="J17" s="30">
        <v>0.27199999999999991</v>
      </c>
      <c r="K17" s="30">
        <v>0.14700000000000027</v>
      </c>
    </row>
    <row r="18" spans="9:13" x14ac:dyDescent="0.25">
      <c r="I18" s="30" t="s">
        <v>216</v>
      </c>
      <c r="J18" s="30">
        <v>6</v>
      </c>
      <c r="K18" s="30">
        <v>5</v>
      </c>
      <c r="M18" t="s">
        <v>269</v>
      </c>
    </row>
    <row r="19" spans="9:13" x14ac:dyDescent="0.25">
      <c r="I19" s="30" t="s">
        <v>219</v>
      </c>
      <c r="J19" s="30">
        <v>5</v>
      </c>
      <c r="K19" s="30">
        <v>4</v>
      </c>
      <c r="M19" t="s">
        <v>270</v>
      </c>
    </row>
    <row r="20" spans="9:13" x14ac:dyDescent="0.25">
      <c r="I20" s="30" t="s">
        <v>127</v>
      </c>
      <c r="J20" s="30">
        <v>1.8503401360544178</v>
      </c>
      <c r="K20" s="30"/>
    </row>
    <row r="21" spans="9:13" x14ac:dyDescent="0.25">
      <c r="I21" s="30" t="s">
        <v>267</v>
      </c>
      <c r="J21" s="30">
        <v>0.28540825416478088</v>
      </c>
      <c r="K21" s="30"/>
    </row>
    <row r="22" spans="9:13" ht="15.75" thickBot="1" x14ac:dyDescent="0.3">
      <c r="I22" s="31" t="s">
        <v>268</v>
      </c>
      <c r="J22" s="31">
        <v>9.3644708158082981</v>
      </c>
      <c r="K22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1975-3715-42CB-B944-2F71963C860B}">
  <dimension ref="C2:AD28"/>
  <sheetViews>
    <sheetView topLeftCell="C7" zoomScale="125" zoomScaleNormal="115" workbookViewId="0">
      <selection activeCell="P14" sqref="P14"/>
    </sheetView>
  </sheetViews>
  <sheetFormatPr defaultRowHeight="15" x14ac:dyDescent="0.25"/>
  <cols>
    <col min="9" max="9" width="4.28515625" customWidth="1"/>
    <col min="10" max="10" width="17.28515625" customWidth="1"/>
    <col min="23" max="23" width="6.7109375" customWidth="1"/>
    <col min="24" max="24" width="15.42578125" customWidth="1"/>
  </cols>
  <sheetData>
    <row r="2" spans="3:28" x14ac:dyDescent="0.25">
      <c r="C2" t="s">
        <v>275</v>
      </c>
      <c r="E2" s="35"/>
    </row>
    <row r="3" spans="3:28" ht="14.25" customHeight="1" x14ac:dyDescent="0.25">
      <c r="C3" t="s">
        <v>276</v>
      </c>
      <c r="E3" s="36"/>
    </row>
    <row r="4" spans="3:28" ht="15.75" customHeight="1" x14ac:dyDescent="0.25">
      <c r="X4" t="s">
        <v>302</v>
      </c>
    </row>
    <row r="5" spans="3:28" x14ac:dyDescent="0.25">
      <c r="R5" t="s">
        <v>311</v>
      </c>
      <c r="X5" t="s">
        <v>303</v>
      </c>
    </row>
    <row r="6" spans="3:28" ht="18" customHeight="1" thickBot="1" x14ac:dyDescent="0.3">
      <c r="J6" t="s">
        <v>304</v>
      </c>
    </row>
    <row r="7" spans="3:28" ht="18" customHeight="1" thickBot="1" x14ac:dyDescent="0.3">
      <c r="E7" s="37" t="s">
        <v>277</v>
      </c>
      <c r="F7" s="38" t="s">
        <v>278</v>
      </c>
      <c r="G7" s="38" t="s">
        <v>279</v>
      </c>
      <c r="J7" t="s">
        <v>295</v>
      </c>
      <c r="R7" t="s">
        <v>298</v>
      </c>
      <c r="S7" t="s">
        <v>299</v>
      </c>
      <c r="T7" t="s">
        <v>300</v>
      </c>
    </row>
    <row r="8" spans="3:28" ht="18.75" thickBot="1" x14ac:dyDescent="0.3">
      <c r="E8" s="39">
        <v>16</v>
      </c>
      <c r="F8" s="40">
        <v>13</v>
      </c>
      <c r="G8" s="40">
        <v>15</v>
      </c>
      <c r="R8">
        <f>ABS(E8-E$21)</f>
        <v>3.5</v>
      </c>
      <c r="S8">
        <f>ABS(F8-F$21)</f>
        <v>0.5</v>
      </c>
      <c r="T8">
        <f>ABS(G8-G$21)</f>
        <v>3</v>
      </c>
      <c r="X8" t="s">
        <v>280</v>
      </c>
    </row>
    <row r="9" spans="3:28" ht="18.75" thickBot="1" x14ac:dyDescent="0.3">
      <c r="E9" s="39">
        <v>12</v>
      </c>
      <c r="F9" s="40">
        <v>14</v>
      </c>
      <c r="G9" s="40">
        <v>11</v>
      </c>
      <c r="J9" t="s">
        <v>280</v>
      </c>
      <c r="R9">
        <f t="shared" ref="R9:R19" si="0">ABS(E9-E$21)</f>
        <v>0.5</v>
      </c>
      <c r="S9">
        <f t="shared" ref="S9:S19" si="1">ABS(F9-F$21)</f>
        <v>1.5</v>
      </c>
      <c r="T9">
        <f t="shared" ref="T9:T19" si="2">ABS(G9-G$21)</f>
        <v>1</v>
      </c>
    </row>
    <row r="10" spans="3:28" ht="18.75" thickBot="1" x14ac:dyDescent="0.3">
      <c r="E10" s="39">
        <v>13</v>
      </c>
      <c r="F10" s="40">
        <v>13</v>
      </c>
      <c r="G10" s="40">
        <v>12</v>
      </c>
      <c r="R10">
        <f t="shared" si="0"/>
        <v>0.5</v>
      </c>
      <c r="S10">
        <f t="shared" si="1"/>
        <v>0.5</v>
      </c>
      <c r="T10">
        <f t="shared" si="2"/>
        <v>0</v>
      </c>
      <c r="X10" t="s">
        <v>281</v>
      </c>
    </row>
    <row r="11" spans="3:28" ht="18.75" thickBot="1" x14ac:dyDescent="0.3">
      <c r="E11" s="39">
        <v>16</v>
      </c>
      <c r="F11" s="40">
        <v>18</v>
      </c>
      <c r="G11" s="40">
        <v>16</v>
      </c>
      <c r="J11" t="s">
        <v>281</v>
      </c>
      <c r="R11">
        <f t="shared" si="0"/>
        <v>3.5</v>
      </c>
      <c r="S11">
        <f t="shared" si="1"/>
        <v>5.5</v>
      </c>
      <c r="T11">
        <f t="shared" si="2"/>
        <v>4</v>
      </c>
      <c r="X11" s="32" t="s">
        <v>282</v>
      </c>
      <c r="Y11" s="32" t="s">
        <v>283</v>
      </c>
      <c r="Z11" s="32" t="s">
        <v>284</v>
      </c>
      <c r="AA11" s="32" t="s">
        <v>285</v>
      </c>
      <c r="AB11" s="32" t="s">
        <v>215</v>
      </c>
    </row>
    <row r="12" spans="3:28" ht="18.75" thickBot="1" x14ac:dyDescent="0.3">
      <c r="E12" s="39">
        <v>15</v>
      </c>
      <c r="F12" s="40">
        <v>12</v>
      </c>
      <c r="G12" s="40">
        <v>13</v>
      </c>
      <c r="J12" s="32" t="s">
        <v>282</v>
      </c>
      <c r="K12" s="32" t="s">
        <v>283</v>
      </c>
      <c r="L12" s="32" t="s">
        <v>284</v>
      </c>
      <c r="M12" s="32" t="s">
        <v>285</v>
      </c>
      <c r="N12" s="32" t="s">
        <v>215</v>
      </c>
      <c r="R12">
        <f t="shared" si="0"/>
        <v>2.5</v>
      </c>
      <c r="S12">
        <f t="shared" si="1"/>
        <v>0.5</v>
      </c>
      <c r="T12">
        <f t="shared" si="2"/>
        <v>1</v>
      </c>
      <c r="X12" s="30" t="s">
        <v>298</v>
      </c>
      <c r="Y12" s="30">
        <v>12</v>
      </c>
      <c r="Z12" s="30">
        <v>47</v>
      </c>
      <c r="AA12" s="30">
        <v>3.9166666666666665</v>
      </c>
      <c r="AB12" s="30">
        <v>6.0833333333333321</v>
      </c>
    </row>
    <row r="13" spans="3:28" ht="18.75" thickBot="1" x14ac:dyDescent="0.3">
      <c r="E13" s="39">
        <v>10</v>
      </c>
      <c r="F13" s="40">
        <v>9</v>
      </c>
      <c r="G13" s="40">
        <v>12</v>
      </c>
      <c r="J13" s="30" t="s">
        <v>277</v>
      </c>
      <c r="K13" s="30">
        <v>12</v>
      </c>
      <c r="L13" s="30">
        <v>145</v>
      </c>
      <c r="M13" s="30">
        <v>12.083333333333334</v>
      </c>
      <c r="N13" s="30">
        <v>22.628787878787886</v>
      </c>
      <c r="R13">
        <f t="shared" si="0"/>
        <v>2.5</v>
      </c>
      <c r="S13">
        <f t="shared" si="1"/>
        <v>3.5</v>
      </c>
      <c r="T13">
        <f t="shared" si="2"/>
        <v>0</v>
      </c>
      <c r="X13" s="30" t="s">
        <v>299</v>
      </c>
      <c r="Y13" s="30">
        <v>12</v>
      </c>
      <c r="Z13" s="30">
        <v>31</v>
      </c>
      <c r="AA13" s="30">
        <v>2.5833333333333335</v>
      </c>
      <c r="AB13" s="30">
        <v>4.6287878787878789</v>
      </c>
    </row>
    <row r="14" spans="3:28" ht="18.75" thickBot="1" x14ac:dyDescent="0.3">
      <c r="E14" s="39">
        <v>8</v>
      </c>
      <c r="F14" s="40">
        <v>5</v>
      </c>
      <c r="G14" s="40">
        <v>9</v>
      </c>
      <c r="J14" s="30" t="s">
        <v>278</v>
      </c>
      <c r="K14" s="30">
        <v>12</v>
      </c>
      <c r="L14" s="30">
        <v>143</v>
      </c>
      <c r="M14" s="30">
        <v>11.916666666666666</v>
      </c>
      <c r="N14" s="30">
        <v>11.537878787878794</v>
      </c>
      <c r="R14">
        <f t="shared" si="0"/>
        <v>4.5</v>
      </c>
      <c r="S14">
        <f t="shared" si="1"/>
        <v>7.5</v>
      </c>
      <c r="T14">
        <f t="shared" si="2"/>
        <v>3</v>
      </c>
      <c r="X14" s="31" t="s">
        <v>300</v>
      </c>
      <c r="Y14" s="31">
        <v>12</v>
      </c>
      <c r="Z14" s="31">
        <v>31</v>
      </c>
      <c r="AA14" s="31">
        <v>2.5833333333333335</v>
      </c>
      <c r="AB14" s="31">
        <v>4.2651515151515156</v>
      </c>
    </row>
    <row r="15" spans="3:28" ht="18.75" thickBot="1" x14ac:dyDescent="0.3">
      <c r="E15" s="39">
        <v>9</v>
      </c>
      <c r="F15" s="40">
        <v>11</v>
      </c>
      <c r="G15" s="40">
        <v>12</v>
      </c>
      <c r="J15" s="31" t="s">
        <v>279</v>
      </c>
      <c r="K15" s="31">
        <v>12</v>
      </c>
      <c r="L15" s="31">
        <v>149</v>
      </c>
      <c r="M15" s="31">
        <v>12.416666666666666</v>
      </c>
      <c r="N15" s="31">
        <v>11.356060606060613</v>
      </c>
      <c r="R15">
        <f t="shared" si="0"/>
        <v>3.5</v>
      </c>
      <c r="S15">
        <f t="shared" si="1"/>
        <v>1.5</v>
      </c>
      <c r="T15">
        <f t="shared" si="2"/>
        <v>0</v>
      </c>
    </row>
    <row r="16" spans="3:28" ht="18.75" thickBot="1" x14ac:dyDescent="0.3">
      <c r="E16" s="39">
        <v>7</v>
      </c>
      <c r="F16" s="40">
        <v>10</v>
      </c>
      <c r="G16" s="40">
        <v>8</v>
      </c>
      <c r="R16">
        <f t="shared" si="0"/>
        <v>5.5</v>
      </c>
      <c r="S16">
        <f t="shared" si="1"/>
        <v>2.5</v>
      </c>
      <c r="T16">
        <f t="shared" si="2"/>
        <v>4</v>
      </c>
    </row>
    <row r="17" spans="4:30" ht="18.75" thickBot="1" x14ac:dyDescent="0.3">
      <c r="E17" s="39">
        <v>18</v>
      </c>
      <c r="F17" s="40">
        <v>14</v>
      </c>
      <c r="G17" s="40">
        <v>17</v>
      </c>
      <c r="R17">
        <f t="shared" si="0"/>
        <v>5.5</v>
      </c>
      <c r="S17">
        <f t="shared" si="1"/>
        <v>1.5</v>
      </c>
      <c r="T17">
        <f t="shared" si="2"/>
        <v>5</v>
      </c>
      <c r="X17" t="s">
        <v>286</v>
      </c>
    </row>
    <row r="18" spans="4:30" ht="18.75" thickBot="1" x14ac:dyDescent="0.3">
      <c r="E18" s="39">
        <v>3</v>
      </c>
      <c r="F18" s="40">
        <v>9</v>
      </c>
      <c r="G18" s="40">
        <v>7</v>
      </c>
      <c r="J18" t="s">
        <v>286</v>
      </c>
      <c r="R18">
        <f t="shared" si="0"/>
        <v>9.5</v>
      </c>
      <c r="S18">
        <f t="shared" si="1"/>
        <v>3.5</v>
      </c>
      <c r="T18">
        <f>ABS(G18-G$21)</f>
        <v>5</v>
      </c>
      <c r="X18" s="32" t="s">
        <v>287</v>
      </c>
      <c r="Y18" s="32" t="s">
        <v>288</v>
      </c>
      <c r="Z18" s="32" t="s">
        <v>219</v>
      </c>
      <c r="AA18" s="32" t="s">
        <v>289</v>
      </c>
      <c r="AB18" s="32" t="s">
        <v>127</v>
      </c>
      <c r="AC18" s="32" t="s">
        <v>290</v>
      </c>
      <c r="AD18" s="32" t="s">
        <v>291</v>
      </c>
    </row>
    <row r="19" spans="4:30" ht="18.75" thickBot="1" x14ac:dyDescent="0.3">
      <c r="E19" s="39">
        <v>18</v>
      </c>
      <c r="F19" s="40">
        <v>15</v>
      </c>
      <c r="G19" s="40">
        <v>17</v>
      </c>
      <c r="J19" s="32" t="s">
        <v>287</v>
      </c>
      <c r="K19" s="32" t="s">
        <v>288</v>
      </c>
      <c r="L19" s="32" t="s">
        <v>219</v>
      </c>
      <c r="M19" s="32" t="s">
        <v>289</v>
      </c>
      <c r="N19" s="32" t="s">
        <v>127</v>
      </c>
      <c r="O19" s="32" t="s">
        <v>290</v>
      </c>
      <c r="P19" s="32" t="s">
        <v>291</v>
      </c>
      <c r="R19">
        <f t="shared" si="0"/>
        <v>5.5</v>
      </c>
      <c r="S19">
        <f t="shared" si="1"/>
        <v>2.5</v>
      </c>
      <c r="T19">
        <f t="shared" si="2"/>
        <v>5</v>
      </c>
      <c r="X19" s="30" t="s">
        <v>292</v>
      </c>
      <c r="Y19" s="30">
        <v>14.222222222222257</v>
      </c>
      <c r="Z19" s="30">
        <v>2</v>
      </c>
      <c r="AA19" s="30">
        <v>7.1111111111111285</v>
      </c>
      <c r="AB19" s="30">
        <v>1.4243803743045054</v>
      </c>
      <c r="AC19" s="30">
        <v>0.25506835384528359</v>
      </c>
      <c r="AD19" s="30">
        <v>3.2849176510382869</v>
      </c>
    </row>
    <row r="20" spans="4:30" ht="18" x14ac:dyDescent="0.25">
      <c r="E20" s="36" t="s">
        <v>274</v>
      </c>
      <c r="J20" s="30" t="s">
        <v>292</v>
      </c>
      <c r="K20" s="30">
        <v>1.5555555555554861</v>
      </c>
      <c r="L20" s="30">
        <v>2</v>
      </c>
      <c r="M20" s="30">
        <v>0.77777777777774304</v>
      </c>
      <c r="N20" s="30">
        <v>5.1256448660340528E-2</v>
      </c>
      <c r="O20" s="30">
        <v>0.95011048578985569</v>
      </c>
      <c r="P20" s="30">
        <v>3.2849176510382869</v>
      </c>
      <c r="X20" s="30" t="s">
        <v>293</v>
      </c>
      <c r="Y20" s="30">
        <v>164.75</v>
      </c>
      <c r="Z20" s="30">
        <v>33</v>
      </c>
      <c r="AA20" s="30">
        <v>4.9924242424242422</v>
      </c>
      <c r="AB20" s="30"/>
      <c r="AC20" s="30"/>
      <c r="AD20" s="30"/>
    </row>
    <row r="21" spans="4:30" x14ac:dyDescent="0.25">
      <c r="D21" t="s">
        <v>136</v>
      </c>
      <c r="E21">
        <f>MEDIAN(E8:E19)</f>
        <v>12.5</v>
      </c>
      <c r="F21">
        <f>MEDIAN(F8:F19)</f>
        <v>12.5</v>
      </c>
      <c r="G21">
        <f t="shared" ref="G21" si="3">MEDIAN(G8:G19)</f>
        <v>12</v>
      </c>
      <c r="J21" s="30" t="s">
        <v>293</v>
      </c>
      <c r="K21" s="30">
        <v>500.75</v>
      </c>
      <c r="L21" s="30">
        <v>33</v>
      </c>
      <c r="M21" s="30">
        <v>15.174242424242424</v>
      </c>
      <c r="N21" s="30"/>
      <c r="O21" s="30"/>
      <c r="P21" s="30"/>
      <c r="X21" s="30"/>
      <c r="Y21" s="30"/>
      <c r="Z21" s="30"/>
      <c r="AA21" s="30"/>
      <c r="AB21" s="30"/>
      <c r="AC21" s="30"/>
      <c r="AD21" s="30"/>
    </row>
    <row r="22" spans="4:30" ht="15.75" thickBot="1" x14ac:dyDescent="0.3">
      <c r="J22" s="30"/>
      <c r="K22" s="30"/>
      <c r="L22" s="30"/>
      <c r="M22" s="30"/>
      <c r="N22" s="30"/>
      <c r="O22" s="30"/>
      <c r="P22" s="30"/>
      <c r="X22" s="31" t="s">
        <v>294</v>
      </c>
      <c r="Y22" s="31">
        <v>178.97222222222226</v>
      </c>
      <c r="Z22" s="31">
        <v>35</v>
      </c>
      <c r="AA22" s="31"/>
      <c r="AB22" s="31"/>
      <c r="AC22" s="31"/>
      <c r="AD22" s="31"/>
    </row>
    <row r="23" spans="4:30" ht="15.75" thickBot="1" x14ac:dyDescent="0.3">
      <c r="J23" s="31" t="s">
        <v>294</v>
      </c>
      <c r="K23" s="31">
        <v>502.30555555555549</v>
      </c>
      <c r="L23" s="31">
        <v>35</v>
      </c>
      <c r="M23" s="31"/>
      <c r="N23" s="31"/>
      <c r="O23" s="31"/>
      <c r="P23" s="31"/>
    </row>
    <row r="24" spans="4:30" x14ac:dyDescent="0.25">
      <c r="X24" t="s">
        <v>305</v>
      </c>
    </row>
    <row r="25" spans="4:30" x14ac:dyDescent="0.25">
      <c r="J25" t="s">
        <v>296</v>
      </c>
      <c r="X25" t="s">
        <v>306</v>
      </c>
    </row>
    <row r="26" spans="4:30" x14ac:dyDescent="0.25">
      <c r="J26" t="s">
        <v>297</v>
      </c>
      <c r="X26" t="s">
        <v>308</v>
      </c>
    </row>
    <row r="27" spans="4:30" x14ac:dyDescent="0.25">
      <c r="J27" t="s">
        <v>301</v>
      </c>
    </row>
    <row r="28" spans="4:30" x14ac:dyDescent="0.25">
      <c r="X28" t="s">
        <v>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4A79-9FD4-4EFF-9A21-976FA3192924}">
  <dimension ref="D3:AB25"/>
  <sheetViews>
    <sheetView topLeftCell="D1" zoomScale="115" zoomScaleNormal="115" workbookViewId="0">
      <selection activeCell="Q27" sqref="Q27"/>
    </sheetView>
  </sheetViews>
  <sheetFormatPr defaultRowHeight="15" x14ac:dyDescent="0.25"/>
  <cols>
    <col min="8" max="8" width="7.5703125" customWidth="1"/>
  </cols>
  <sheetData>
    <row r="3" spans="4:28" x14ac:dyDescent="0.25">
      <c r="E3" s="13" t="s">
        <v>286</v>
      </c>
      <c r="Q3" s="13" t="s">
        <v>310</v>
      </c>
    </row>
    <row r="5" spans="4:28" x14ac:dyDescent="0.25">
      <c r="E5" t="s">
        <v>271</v>
      </c>
      <c r="F5" t="s">
        <v>272</v>
      </c>
      <c r="G5" t="s">
        <v>273</v>
      </c>
      <c r="Q5" t="s">
        <v>271</v>
      </c>
      <c r="R5" t="s">
        <v>272</v>
      </c>
      <c r="S5" t="s">
        <v>273</v>
      </c>
    </row>
    <row r="6" spans="4:28" x14ac:dyDescent="0.25">
      <c r="E6">
        <v>38</v>
      </c>
      <c r="F6">
        <v>29</v>
      </c>
      <c r="G6">
        <v>31</v>
      </c>
      <c r="I6" t="s">
        <v>280</v>
      </c>
      <c r="Q6">
        <f t="shared" ref="Q6:S11" si="0">ABS(E6-E$13)</f>
        <v>4</v>
      </c>
      <c r="R6">
        <f t="shared" si="0"/>
        <v>5.5</v>
      </c>
      <c r="S6">
        <f t="shared" si="0"/>
        <v>0.5</v>
      </c>
      <c r="V6" t="s">
        <v>280</v>
      </c>
    </row>
    <row r="7" spans="4:28" x14ac:dyDescent="0.25">
      <c r="E7">
        <v>34</v>
      </c>
      <c r="F7">
        <v>35</v>
      </c>
      <c r="G7">
        <v>23</v>
      </c>
      <c r="Q7">
        <f t="shared" si="0"/>
        <v>0</v>
      </c>
      <c r="R7">
        <f t="shared" si="0"/>
        <v>0.5</v>
      </c>
      <c r="S7">
        <f t="shared" si="0"/>
        <v>7.5</v>
      </c>
    </row>
    <row r="8" spans="4:28" ht="15.75" thickBot="1" x14ac:dyDescent="0.3">
      <c r="E8">
        <v>38</v>
      </c>
      <c r="F8">
        <v>34</v>
      </c>
      <c r="G8">
        <v>38</v>
      </c>
      <c r="I8" t="s">
        <v>281</v>
      </c>
      <c r="Q8">
        <f t="shared" si="0"/>
        <v>4</v>
      </c>
      <c r="R8">
        <f t="shared" si="0"/>
        <v>0.5</v>
      </c>
      <c r="S8">
        <f t="shared" si="0"/>
        <v>7.5</v>
      </c>
      <c r="V8" t="s">
        <v>281</v>
      </c>
    </row>
    <row r="9" spans="4:28" x14ac:dyDescent="0.25">
      <c r="E9">
        <v>34</v>
      </c>
      <c r="F9">
        <v>20</v>
      </c>
      <c r="G9">
        <v>29</v>
      </c>
      <c r="I9" s="32" t="s">
        <v>282</v>
      </c>
      <c r="J9" s="32" t="s">
        <v>283</v>
      </c>
      <c r="K9" s="32" t="s">
        <v>284</v>
      </c>
      <c r="L9" s="32" t="s">
        <v>285</v>
      </c>
      <c r="M9" s="32" t="s">
        <v>215</v>
      </c>
      <c r="Q9">
        <f t="shared" si="0"/>
        <v>0</v>
      </c>
      <c r="R9">
        <f t="shared" si="0"/>
        <v>14.5</v>
      </c>
      <c r="S9">
        <f t="shared" si="0"/>
        <v>1.5</v>
      </c>
      <c r="V9" s="32" t="s">
        <v>282</v>
      </c>
      <c r="W9" s="32" t="s">
        <v>283</v>
      </c>
      <c r="X9" s="32" t="s">
        <v>284</v>
      </c>
      <c r="Y9" s="32" t="s">
        <v>285</v>
      </c>
      <c r="Z9" s="32" t="s">
        <v>215</v>
      </c>
    </row>
    <row r="10" spans="4:28" x14ac:dyDescent="0.25">
      <c r="E10">
        <v>19</v>
      </c>
      <c r="F10">
        <v>35</v>
      </c>
      <c r="G10">
        <v>32</v>
      </c>
      <c r="I10" s="30" t="s">
        <v>271</v>
      </c>
      <c r="J10" s="30">
        <v>6</v>
      </c>
      <c r="K10" s="30">
        <v>191</v>
      </c>
      <c r="L10" s="30">
        <v>31.833333333333332</v>
      </c>
      <c r="M10" s="30">
        <v>52.966666666666605</v>
      </c>
      <c r="Q10">
        <f t="shared" si="0"/>
        <v>15</v>
      </c>
      <c r="R10">
        <f t="shared" si="0"/>
        <v>0.5</v>
      </c>
      <c r="S10">
        <f t="shared" si="0"/>
        <v>1.5</v>
      </c>
      <c r="V10" s="30" t="s">
        <v>271</v>
      </c>
      <c r="W10" s="30">
        <v>6</v>
      </c>
      <c r="X10" s="30">
        <v>29</v>
      </c>
      <c r="Y10" s="30">
        <v>4.833333333333333</v>
      </c>
      <c r="Z10" s="30">
        <v>30.56666666666667</v>
      </c>
    </row>
    <row r="11" spans="4:28" x14ac:dyDescent="0.25">
      <c r="E11">
        <v>28</v>
      </c>
      <c r="F11">
        <v>37</v>
      </c>
      <c r="G11">
        <v>30</v>
      </c>
      <c r="I11" s="30" t="s">
        <v>272</v>
      </c>
      <c r="J11" s="30">
        <v>6</v>
      </c>
      <c r="K11" s="30">
        <v>190</v>
      </c>
      <c r="L11" s="30">
        <v>31.666666666666668</v>
      </c>
      <c r="M11" s="30">
        <v>39.866666666666603</v>
      </c>
      <c r="Q11">
        <f t="shared" si="0"/>
        <v>6</v>
      </c>
      <c r="R11">
        <f t="shared" si="0"/>
        <v>2.5</v>
      </c>
      <c r="S11">
        <f t="shared" si="0"/>
        <v>0.5</v>
      </c>
      <c r="V11" s="30" t="s">
        <v>272</v>
      </c>
      <c r="W11" s="30">
        <v>6</v>
      </c>
      <c r="X11" s="30">
        <v>24</v>
      </c>
      <c r="Y11" s="30">
        <v>4</v>
      </c>
      <c r="Z11" s="30">
        <v>30.3</v>
      </c>
    </row>
    <row r="12" spans="4:28" ht="15.75" thickBot="1" x14ac:dyDescent="0.3">
      <c r="I12" s="31" t="s">
        <v>273</v>
      </c>
      <c r="J12" s="31">
        <v>6</v>
      </c>
      <c r="K12" s="31">
        <v>183</v>
      </c>
      <c r="L12" s="31">
        <v>30.5</v>
      </c>
      <c r="M12" s="31">
        <v>23.5</v>
      </c>
      <c r="V12" s="31" t="s">
        <v>273</v>
      </c>
      <c r="W12" s="31">
        <v>6</v>
      </c>
      <c r="X12" s="31">
        <v>19</v>
      </c>
      <c r="Y12" s="31">
        <v>3.1666666666666665</v>
      </c>
      <c r="Z12" s="31">
        <v>11.466666666666667</v>
      </c>
    </row>
    <row r="13" spans="4:28" x14ac:dyDescent="0.25">
      <c r="D13" t="s">
        <v>136</v>
      </c>
      <c r="E13">
        <f>MEDIAN(E6:E11)</f>
        <v>34</v>
      </c>
      <c r="F13">
        <f t="shared" ref="F13:G13" si="1">MEDIAN(F6:F11)</f>
        <v>34.5</v>
      </c>
      <c r="G13">
        <f t="shared" si="1"/>
        <v>30.5</v>
      </c>
    </row>
    <row r="14" spans="4:28" x14ac:dyDescent="0.25">
      <c r="Q14" t="s">
        <v>302</v>
      </c>
    </row>
    <row r="15" spans="4:28" ht="15.75" thickBot="1" x14ac:dyDescent="0.3">
      <c r="I15" t="s">
        <v>286</v>
      </c>
      <c r="Q15" t="s">
        <v>303</v>
      </c>
      <c r="V15" t="s">
        <v>286</v>
      </c>
    </row>
    <row r="16" spans="4:28" x14ac:dyDescent="0.25">
      <c r="I16" s="32" t="s">
        <v>287</v>
      </c>
      <c r="J16" s="32" t="s">
        <v>288</v>
      </c>
      <c r="K16" s="32" t="s">
        <v>219</v>
      </c>
      <c r="L16" s="32" t="s">
        <v>289</v>
      </c>
      <c r="M16" s="32" t="s">
        <v>127</v>
      </c>
      <c r="N16" s="32" t="s">
        <v>290</v>
      </c>
      <c r="O16" s="32" t="s">
        <v>291</v>
      </c>
      <c r="V16" s="32" t="s">
        <v>287</v>
      </c>
      <c r="W16" s="32" t="s">
        <v>288</v>
      </c>
      <c r="X16" s="32" t="s">
        <v>219</v>
      </c>
      <c r="Y16" s="32" t="s">
        <v>289</v>
      </c>
      <c r="Z16" s="32" t="s">
        <v>127</v>
      </c>
      <c r="AA16" s="32" t="s">
        <v>290</v>
      </c>
      <c r="AB16" s="32" t="s">
        <v>291</v>
      </c>
    </row>
    <row r="17" spans="5:28" x14ac:dyDescent="0.25">
      <c r="E17" t="s">
        <v>304</v>
      </c>
      <c r="I17" s="30" t="s">
        <v>292</v>
      </c>
      <c r="J17" s="30">
        <v>6.3333333333333712</v>
      </c>
      <c r="K17" s="30">
        <v>2</v>
      </c>
      <c r="L17" s="30">
        <v>3.1666666666666856</v>
      </c>
      <c r="M17" s="30">
        <v>8.1661891117478999E-2</v>
      </c>
      <c r="N17" s="30">
        <v>0.9219903568053841</v>
      </c>
      <c r="O17" s="30">
        <v>3.6823203436732408</v>
      </c>
      <c r="V17" s="30" t="s">
        <v>292</v>
      </c>
      <c r="W17" s="30">
        <v>8.3333333333332575</v>
      </c>
      <c r="X17" s="30">
        <v>2</v>
      </c>
      <c r="Y17" s="30">
        <v>4.1666666666666288</v>
      </c>
      <c r="Z17" s="30">
        <v>0.17281105990783249</v>
      </c>
      <c r="AA17" s="30">
        <v>0.84294782707299465</v>
      </c>
      <c r="AB17" s="30">
        <v>3.6823203436732408</v>
      </c>
    </row>
    <row r="18" spans="5:28" x14ac:dyDescent="0.25">
      <c r="E18" t="s">
        <v>295</v>
      </c>
      <c r="I18" s="30" t="s">
        <v>293</v>
      </c>
      <c r="J18" s="30">
        <v>581.66666666666663</v>
      </c>
      <c r="K18" s="30">
        <v>15</v>
      </c>
      <c r="L18" s="30">
        <v>38.777777777777779</v>
      </c>
      <c r="M18" s="30"/>
      <c r="N18" s="30"/>
      <c r="O18" s="30"/>
      <c r="V18" s="30" t="s">
        <v>293</v>
      </c>
      <c r="W18" s="30">
        <v>361.66666666666674</v>
      </c>
      <c r="X18" s="30">
        <v>15</v>
      </c>
      <c r="Y18" s="30">
        <v>24.111111111111118</v>
      </c>
      <c r="Z18" s="30"/>
      <c r="AA18" s="30"/>
      <c r="AB18" s="30"/>
    </row>
    <row r="19" spans="5:28" x14ac:dyDescent="0.25">
      <c r="I19" s="30"/>
      <c r="J19" s="30"/>
      <c r="K19" s="30"/>
      <c r="L19" s="30"/>
      <c r="M19" s="30"/>
      <c r="N19" s="30"/>
      <c r="O19" s="30"/>
      <c r="V19" s="30"/>
      <c r="W19" s="30"/>
      <c r="X19" s="30"/>
      <c r="Y19" s="30"/>
      <c r="Z19" s="30"/>
      <c r="AA19" s="30"/>
      <c r="AB19" s="30"/>
    </row>
    <row r="20" spans="5:28" ht="15.75" thickBot="1" x14ac:dyDescent="0.3">
      <c r="I20" s="31" t="s">
        <v>294</v>
      </c>
      <c r="J20" s="31">
        <v>588</v>
      </c>
      <c r="K20" s="31">
        <v>17</v>
      </c>
      <c r="L20" s="31"/>
      <c r="M20" s="31"/>
      <c r="N20" s="31"/>
      <c r="O20" s="31"/>
      <c r="V20" s="31" t="s">
        <v>294</v>
      </c>
      <c r="W20" s="31">
        <v>370</v>
      </c>
      <c r="X20" s="31">
        <v>17</v>
      </c>
      <c r="Y20" s="31"/>
      <c r="Z20" s="31"/>
      <c r="AA20" s="31"/>
      <c r="AB20" s="31"/>
    </row>
    <row r="22" spans="5:28" x14ac:dyDescent="0.25">
      <c r="V22" t="s">
        <v>296</v>
      </c>
    </row>
    <row r="23" spans="5:28" x14ac:dyDescent="0.25">
      <c r="I23" t="s">
        <v>296</v>
      </c>
      <c r="V23" t="s">
        <v>309</v>
      </c>
    </row>
    <row r="24" spans="5:28" x14ac:dyDescent="0.25">
      <c r="I24" t="s">
        <v>309</v>
      </c>
      <c r="V24" t="s">
        <v>301</v>
      </c>
    </row>
    <row r="25" spans="5:28" x14ac:dyDescent="0.25">
      <c r="I25" t="s">
        <v>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64A9-3DAD-4452-8738-381109C135B3}">
  <dimension ref="A4:K35"/>
  <sheetViews>
    <sheetView topLeftCell="A3" zoomScale="109" zoomScaleNormal="100" workbookViewId="0">
      <selection activeCell="K19" sqref="K19"/>
    </sheetView>
  </sheetViews>
  <sheetFormatPr defaultRowHeight="15" x14ac:dyDescent="0.25"/>
  <sheetData>
    <row r="4" spans="3:11" x14ac:dyDescent="0.25">
      <c r="E4" s="41" t="s">
        <v>312</v>
      </c>
      <c r="F4" s="41"/>
      <c r="G4" s="41"/>
    </row>
    <row r="5" spans="3:11" x14ac:dyDescent="0.25">
      <c r="D5" s="14" t="s">
        <v>313</v>
      </c>
      <c r="E5" t="s">
        <v>314</v>
      </c>
      <c r="F5" t="s">
        <v>315</v>
      </c>
      <c r="G5" t="s">
        <v>316</v>
      </c>
      <c r="H5" t="s">
        <v>317</v>
      </c>
    </row>
    <row r="6" spans="3:11" x14ac:dyDescent="0.25">
      <c r="D6" t="s">
        <v>318</v>
      </c>
      <c r="E6">
        <v>23</v>
      </c>
      <c r="F6">
        <v>7</v>
      </c>
      <c r="G6">
        <v>37</v>
      </c>
      <c r="H6">
        <f>SUM(E6:G6)</f>
        <v>67</v>
      </c>
    </row>
    <row r="7" spans="3:11" x14ac:dyDescent="0.25">
      <c r="D7" t="s">
        <v>319</v>
      </c>
      <c r="E7">
        <v>39</v>
      </c>
      <c r="F7">
        <v>13</v>
      </c>
      <c r="G7">
        <v>8</v>
      </c>
      <c r="H7">
        <f t="shared" ref="H7:H9" si="0">SUM(E7:G7)</f>
        <v>60</v>
      </c>
    </row>
    <row r="8" spans="3:11" x14ac:dyDescent="0.25">
      <c r="D8" t="s">
        <v>320</v>
      </c>
      <c r="E8">
        <v>13</v>
      </c>
      <c r="F8">
        <v>5</v>
      </c>
      <c r="G8">
        <v>13</v>
      </c>
      <c r="H8">
        <f t="shared" si="0"/>
        <v>31</v>
      </c>
    </row>
    <row r="9" spans="3:11" x14ac:dyDescent="0.25">
      <c r="D9" t="s">
        <v>321</v>
      </c>
      <c r="E9">
        <v>13</v>
      </c>
      <c r="F9">
        <v>8</v>
      </c>
      <c r="G9">
        <v>8</v>
      </c>
      <c r="H9">
        <f t="shared" si="0"/>
        <v>29</v>
      </c>
    </row>
    <row r="10" spans="3:11" x14ac:dyDescent="0.25">
      <c r="D10" t="s">
        <v>322</v>
      </c>
      <c r="E10">
        <f>SUM(E6:E9)</f>
        <v>88</v>
      </c>
      <c r="F10">
        <f t="shared" ref="F10:G10" si="1">SUM(F6:F9)</f>
        <v>33</v>
      </c>
      <c r="G10">
        <f t="shared" si="1"/>
        <v>66</v>
      </c>
      <c r="H10" s="13">
        <f>SUM(E10:G10)</f>
        <v>187</v>
      </c>
    </row>
    <row r="11" spans="3:11" x14ac:dyDescent="0.25">
      <c r="J11" t="s">
        <v>332</v>
      </c>
    </row>
    <row r="13" spans="3:11" x14ac:dyDescent="0.25">
      <c r="C13" t="s">
        <v>324</v>
      </c>
      <c r="E13">
        <f>E$10/$H$10*$H6/$H$10</f>
        <v>0.16860648002516512</v>
      </c>
      <c r="F13">
        <f t="shared" ref="F13:G13" si="2">F$10/$H$10*$H6/$H$10</f>
        <v>6.3227430009436938E-2</v>
      </c>
      <c r="G13">
        <f t="shared" si="2"/>
        <v>0.12645486001887388</v>
      </c>
      <c r="J13" s="13" t="s">
        <v>330</v>
      </c>
      <c r="K13">
        <f>SUM(E23:G26)</f>
        <v>27.410429671719257</v>
      </c>
    </row>
    <row r="14" spans="3:11" x14ac:dyDescent="0.25">
      <c r="E14">
        <f t="shared" ref="E14:G14" si="3">E$10/$H$10*$H7/$H$10</f>
        <v>0.15099087763447624</v>
      </c>
      <c r="F14">
        <f t="shared" si="3"/>
        <v>5.6621579112928602E-2</v>
      </c>
      <c r="G14">
        <f t="shared" si="3"/>
        <v>0.1132431582258572</v>
      </c>
      <c r="J14" s="13" t="s">
        <v>331</v>
      </c>
      <c r="K14">
        <f>_xlfn.CHISQ.INV.RT(0.05,2*3)</f>
        <v>12.591587243743978</v>
      </c>
    </row>
    <row r="15" spans="3:11" x14ac:dyDescent="0.25">
      <c r="E15">
        <f t="shared" ref="E15:G15" si="4">E$10/$H$10*$H8/$H$10</f>
        <v>7.8011953444479393E-2</v>
      </c>
      <c r="F15">
        <f t="shared" si="4"/>
        <v>2.9254482541679776E-2</v>
      </c>
      <c r="G15">
        <f t="shared" si="4"/>
        <v>5.8508965083359551E-2</v>
      </c>
    </row>
    <row r="16" spans="3:11" x14ac:dyDescent="0.25">
      <c r="E16">
        <f t="shared" ref="E16:G16" si="5">E$10/$H$10*$H9/$H$10</f>
        <v>7.2978924189996852E-2</v>
      </c>
      <c r="F16">
        <f t="shared" si="5"/>
        <v>2.7367096571248823E-2</v>
      </c>
      <c r="G16">
        <f t="shared" si="5"/>
        <v>5.4734193142497646E-2</v>
      </c>
      <c r="H16" s="13">
        <f>SUM(E13:G16)</f>
        <v>1</v>
      </c>
      <c r="J16" t="s">
        <v>333</v>
      </c>
    </row>
    <row r="17" spans="1:11" x14ac:dyDescent="0.25">
      <c r="J17" t="s">
        <v>337</v>
      </c>
    </row>
    <row r="18" spans="1:11" x14ac:dyDescent="0.25">
      <c r="C18" t="s">
        <v>325</v>
      </c>
      <c r="E18">
        <f>E13*$H$10</f>
        <v>31.529411764705877</v>
      </c>
      <c r="F18">
        <f t="shared" ref="F18:G18" si="6">F13*$H$10</f>
        <v>11.823529411764708</v>
      </c>
      <c r="G18">
        <f t="shared" si="6"/>
        <v>23.647058823529417</v>
      </c>
    </row>
    <row r="19" spans="1:11" x14ac:dyDescent="0.25">
      <c r="E19">
        <f t="shared" ref="E19:G19" si="7">E14*$H$10</f>
        <v>28.235294117647058</v>
      </c>
      <c r="F19">
        <f t="shared" si="7"/>
        <v>10.588235294117649</v>
      </c>
      <c r="G19">
        <f t="shared" si="7"/>
        <v>21.176470588235297</v>
      </c>
      <c r="J19" s="13" t="s">
        <v>336</v>
      </c>
      <c r="K19">
        <f>_xlfn.CHISQ.DIST.RT(K13,6)</f>
        <v>1.2128785227393031E-4</v>
      </c>
    </row>
    <row r="20" spans="1:11" x14ac:dyDescent="0.25">
      <c r="E20">
        <f t="shared" ref="E20:G20" si="8">E15*$H$10</f>
        <v>14.588235294117647</v>
      </c>
      <c r="F20">
        <f t="shared" si="8"/>
        <v>5.4705882352941178</v>
      </c>
      <c r="G20">
        <f t="shared" si="8"/>
        <v>10.941176470588236</v>
      </c>
      <c r="J20" t="s">
        <v>338</v>
      </c>
    </row>
    <row r="21" spans="1:11" x14ac:dyDescent="0.25">
      <c r="E21">
        <f t="shared" ref="E21:G21" si="9">E16*$H$10</f>
        <v>13.647058823529411</v>
      </c>
      <c r="F21">
        <f t="shared" si="9"/>
        <v>5.1176470588235299</v>
      </c>
      <c r="G21">
        <f t="shared" si="9"/>
        <v>10.23529411764706</v>
      </c>
      <c r="H21" s="13">
        <f>SUM(E18:G21)</f>
        <v>187.00000000000003</v>
      </c>
      <c r="J21" t="s">
        <v>337</v>
      </c>
    </row>
    <row r="23" spans="1:11" x14ac:dyDescent="0.25">
      <c r="C23" t="s">
        <v>326</v>
      </c>
      <c r="E23">
        <f>(E6-E18)^2/E18</f>
        <v>2.3073968393327453</v>
      </c>
      <c r="F23">
        <f t="shared" ref="F23:G23" si="10">(F6-F18)^2/F18</f>
        <v>1.9678080187298814</v>
      </c>
      <c r="G23">
        <f t="shared" si="10"/>
        <v>7.5400936494000508</v>
      </c>
    </row>
    <row r="24" spans="1:11" x14ac:dyDescent="0.25">
      <c r="E24">
        <f t="shared" ref="E24:G24" si="11">(E7-E19)^2/E19</f>
        <v>4.1040441176470592</v>
      </c>
      <c r="F24">
        <f t="shared" si="11"/>
        <v>0.54934640522875744</v>
      </c>
      <c r="G24">
        <f t="shared" si="11"/>
        <v>8.1986928104575192</v>
      </c>
    </row>
    <row r="25" spans="1:11" x14ac:dyDescent="0.25">
      <c r="E25">
        <f t="shared" ref="E25:G25" si="12">(E8-E20)^2/E20</f>
        <v>0.17291271347248569</v>
      </c>
      <c r="F25">
        <f t="shared" si="12"/>
        <v>4.0480708412397232E-2</v>
      </c>
      <c r="G25">
        <f t="shared" si="12"/>
        <v>0.38741302972802016</v>
      </c>
    </row>
    <row r="26" spans="1:11" x14ac:dyDescent="0.25">
      <c r="E26">
        <f t="shared" ref="E26:G26" si="13">(E9-E21)^2/E21</f>
        <v>3.0679513184584128E-2</v>
      </c>
      <c r="F26">
        <f t="shared" si="13"/>
        <v>1.6233941852603102</v>
      </c>
      <c r="G26">
        <f t="shared" si="13"/>
        <v>0.48816768086545004</v>
      </c>
      <c r="H26" s="13">
        <f>SUM(E23:G26)</f>
        <v>27.410429671719257</v>
      </c>
    </row>
    <row r="29" spans="1:11" x14ac:dyDescent="0.25">
      <c r="A29" t="s">
        <v>327</v>
      </c>
    </row>
    <row r="31" spans="1:11" x14ac:dyDescent="0.25">
      <c r="B31" t="s">
        <v>328</v>
      </c>
    </row>
    <row r="32" spans="1:11" x14ac:dyDescent="0.25">
      <c r="B32" t="s">
        <v>329</v>
      </c>
    </row>
    <row r="34" spans="2:2" x14ac:dyDescent="0.25">
      <c r="B34" t="s">
        <v>334</v>
      </c>
    </row>
    <row r="35" spans="2:2" x14ac:dyDescent="0.25">
      <c r="B35" t="s">
        <v>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EFC3-A7DA-4047-BF84-BBCAC22263FC}">
  <dimension ref="C1:K40"/>
  <sheetViews>
    <sheetView zoomScale="85" zoomScaleNormal="85" workbookViewId="0">
      <selection activeCell="E24" sqref="E24"/>
    </sheetView>
  </sheetViews>
  <sheetFormatPr defaultRowHeight="15" x14ac:dyDescent="0.25"/>
  <cols>
    <col min="11" max="11" width="11.5703125" bestFit="1" customWidth="1"/>
  </cols>
  <sheetData>
    <row r="1" spans="3:11" x14ac:dyDescent="0.25">
      <c r="C1" t="s">
        <v>359</v>
      </c>
    </row>
    <row r="2" spans="3:11" x14ac:dyDescent="0.25">
      <c r="C2" t="s">
        <v>360</v>
      </c>
    </row>
    <row r="4" spans="3:11" ht="51" customHeight="1" x14ac:dyDescent="0.25">
      <c r="C4" t="s">
        <v>339</v>
      </c>
      <c r="E4" s="42" t="s">
        <v>340</v>
      </c>
      <c r="F4" s="42" t="s">
        <v>341</v>
      </c>
      <c r="G4" s="42" t="s">
        <v>342</v>
      </c>
      <c r="H4" s="42" t="s">
        <v>350</v>
      </c>
    </row>
    <row r="5" spans="3:11" x14ac:dyDescent="0.25">
      <c r="C5" t="s">
        <v>343</v>
      </c>
      <c r="E5">
        <v>162</v>
      </c>
      <c r="F5">
        <v>54</v>
      </c>
      <c r="G5">
        <v>154</v>
      </c>
      <c r="H5">
        <f>SUM(E5:G5)</f>
        <v>370</v>
      </c>
    </row>
    <row r="6" spans="3:11" x14ac:dyDescent="0.25">
      <c r="C6" t="s">
        <v>344</v>
      </c>
      <c r="E6">
        <v>73</v>
      </c>
      <c r="F6">
        <v>38</v>
      </c>
      <c r="G6">
        <v>69</v>
      </c>
      <c r="H6">
        <f t="shared" ref="H6:H11" si="0">SUM(E6:G6)</f>
        <v>180</v>
      </c>
    </row>
    <row r="7" spans="3:11" x14ac:dyDescent="0.25">
      <c r="C7" t="s">
        <v>345</v>
      </c>
      <c r="E7">
        <v>59</v>
      </c>
      <c r="F7">
        <v>58</v>
      </c>
      <c r="G7">
        <v>53</v>
      </c>
      <c r="H7">
        <f t="shared" si="0"/>
        <v>170</v>
      </c>
    </row>
    <row r="8" spans="3:11" x14ac:dyDescent="0.25">
      <c r="C8" t="s">
        <v>346</v>
      </c>
      <c r="E8">
        <v>21</v>
      </c>
      <c r="F8">
        <v>64</v>
      </c>
      <c r="G8">
        <v>45</v>
      </c>
      <c r="H8">
        <f t="shared" si="0"/>
        <v>130</v>
      </c>
    </row>
    <row r="9" spans="3:11" x14ac:dyDescent="0.25">
      <c r="C9" t="s">
        <v>347</v>
      </c>
      <c r="E9">
        <v>15</v>
      </c>
      <c r="F9">
        <v>50</v>
      </c>
      <c r="G9">
        <v>45</v>
      </c>
      <c r="H9">
        <f t="shared" si="0"/>
        <v>110</v>
      </c>
    </row>
    <row r="10" spans="3:11" x14ac:dyDescent="0.25">
      <c r="C10" t="s">
        <v>348</v>
      </c>
      <c r="E10">
        <v>2</v>
      </c>
      <c r="F10">
        <v>16</v>
      </c>
      <c r="G10">
        <v>2</v>
      </c>
      <c r="H10">
        <f t="shared" si="0"/>
        <v>20</v>
      </c>
    </row>
    <row r="11" spans="3:11" x14ac:dyDescent="0.25">
      <c r="C11" t="s">
        <v>349</v>
      </c>
      <c r="E11">
        <v>7</v>
      </c>
      <c r="F11">
        <v>6</v>
      </c>
      <c r="G11">
        <v>7</v>
      </c>
      <c r="H11">
        <f t="shared" si="0"/>
        <v>20</v>
      </c>
    </row>
    <row r="12" spans="3:11" x14ac:dyDescent="0.25">
      <c r="C12" t="s">
        <v>323</v>
      </c>
      <c r="E12">
        <f>SUM(E5:E11)</f>
        <v>339</v>
      </c>
      <c r="F12">
        <f t="shared" ref="F12:G12" si="1">SUM(F5:F11)</f>
        <v>286</v>
      </c>
      <c r="G12">
        <f t="shared" si="1"/>
        <v>375</v>
      </c>
      <c r="H12" s="13">
        <f>SUM(H5:H11)</f>
        <v>1000</v>
      </c>
    </row>
    <row r="15" spans="3:11" x14ac:dyDescent="0.25">
      <c r="C15" t="s">
        <v>351</v>
      </c>
      <c r="E15">
        <f>E$12/$H$12*$H5/$H$12</f>
        <v>0.12543000000000001</v>
      </c>
      <c r="F15">
        <f t="shared" ref="F15:G15" si="2">F$12/$H$12*$H5/$H$12</f>
        <v>0.10582</v>
      </c>
      <c r="G15">
        <f t="shared" si="2"/>
        <v>0.13875000000000001</v>
      </c>
      <c r="J15" t="s">
        <v>355</v>
      </c>
      <c r="K15">
        <f>H37</f>
        <v>129.52006448288321</v>
      </c>
    </row>
    <row r="16" spans="3:11" x14ac:dyDescent="0.25">
      <c r="E16">
        <f t="shared" ref="E16:G16" si="3">E$12/$H$12*$H6/$H$12</f>
        <v>6.1020000000000005E-2</v>
      </c>
      <c r="F16">
        <f t="shared" si="3"/>
        <v>5.1479999999999998E-2</v>
      </c>
      <c r="G16">
        <f t="shared" si="3"/>
        <v>6.7500000000000004E-2</v>
      </c>
      <c r="J16" t="s">
        <v>356</v>
      </c>
      <c r="K16">
        <f>_xlfn.CHISQ.INV.RT(0.05,2*6)</f>
        <v>21.026069817483066</v>
      </c>
    </row>
    <row r="17" spans="3:11" x14ac:dyDescent="0.25">
      <c r="E17">
        <f t="shared" ref="E17:G17" si="4">E$12/$H$12*$H7/$H$12</f>
        <v>5.7630000000000001E-2</v>
      </c>
      <c r="F17">
        <f t="shared" si="4"/>
        <v>4.8619999999999997E-2</v>
      </c>
      <c r="G17">
        <f t="shared" si="4"/>
        <v>6.3750000000000001E-2</v>
      </c>
    </row>
    <row r="18" spans="3:11" x14ac:dyDescent="0.25">
      <c r="E18">
        <f t="shared" ref="E18:G18" si="5">E$12/$H$12*$H8/$H$12</f>
        <v>4.4069999999999998E-2</v>
      </c>
      <c r="F18">
        <f t="shared" si="5"/>
        <v>3.7179999999999998E-2</v>
      </c>
      <c r="G18">
        <f t="shared" si="5"/>
        <v>4.8750000000000002E-2</v>
      </c>
      <c r="J18" t="s">
        <v>336</v>
      </c>
      <c r="K18">
        <f>_xlfn.CHISQ.DIST.RT(K15,2*6)</f>
        <v>7.7044005729993831E-22</v>
      </c>
    </row>
    <row r="19" spans="3:11" x14ac:dyDescent="0.25">
      <c r="E19">
        <f>E$12/$H$12*$H9/$H$12</f>
        <v>3.7289999999999997E-2</v>
      </c>
      <c r="F19">
        <f t="shared" ref="F19:G19" si="6">F$12/$H$12*$H9/$H$12</f>
        <v>3.1459999999999995E-2</v>
      </c>
      <c r="G19">
        <f t="shared" si="6"/>
        <v>4.1250000000000002E-2</v>
      </c>
    </row>
    <row r="20" spans="3:11" x14ac:dyDescent="0.25">
      <c r="E20">
        <f t="shared" ref="E20:G20" si="7">E$12/$H$12*$H10/$H$12</f>
        <v>6.7800000000000004E-3</v>
      </c>
      <c r="F20">
        <f t="shared" si="7"/>
        <v>5.7199999999999994E-3</v>
      </c>
      <c r="G20">
        <f t="shared" si="7"/>
        <v>7.4999999999999997E-3</v>
      </c>
      <c r="J20" t="s">
        <v>357</v>
      </c>
    </row>
    <row r="21" spans="3:11" x14ac:dyDescent="0.25">
      <c r="E21">
        <f t="shared" ref="E21:F21" si="8">E$12/$H$12*$H11/$H$12</f>
        <v>6.7800000000000004E-3</v>
      </c>
      <c r="F21">
        <f t="shared" si="8"/>
        <v>5.7199999999999994E-3</v>
      </c>
      <c r="G21">
        <f>G$12/$H$12*$H11/$H$12</f>
        <v>7.4999999999999997E-3</v>
      </c>
      <c r="H21" s="13">
        <f>SUM(E15:G21)</f>
        <v>0.99999999999999989</v>
      </c>
      <c r="J21" t="s">
        <v>358</v>
      </c>
    </row>
    <row r="23" spans="3:11" x14ac:dyDescent="0.25">
      <c r="C23" t="s">
        <v>352</v>
      </c>
      <c r="E23">
        <f>E15*$H$12</f>
        <v>125.43</v>
      </c>
      <c r="F23">
        <f t="shared" ref="F23:G23" si="9">F15*$H$12</f>
        <v>105.82</v>
      </c>
      <c r="G23">
        <f t="shared" si="9"/>
        <v>138.75</v>
      </c>
    </row>
    <row r="24" spans="3:11" x14ac:dyDescent="0.25">
      <c r="E24">
        <f t="shared" ref="E24:G24" si="10">E16*$H$12</f>
        <v>61.02</v>
      </c>
      <c r="F24">
        <f t="shared" si="10"/>
        <v>51.48</v>
      </c>
      <c r="G24">
        <f t="shared" si="10"/>
        <v>67.5</v>
      </c>
    </row>
    <row r="25" spans="3:11" x14ac:dyDescent="0.25">
      <c r="E25">
        <f t="shared" ref="E25:G25" si="11">E17*$H$12</f>
        <v>57.63</v>
      </c>
      <c r="F25">
        <f t="shared" si="11"/>
        <v>48.62</v>
      </c>
      <c r="G25">
        <f t="shared" si="11"/>
        <v>63.75</v>
      </c>
    </row>
    <row r="26" spans="3:11" x14ac:dyDescent="0.25">
      <c r="E26">
        <f t="shared" ref="E26:G26" si="12">E18*$H$12</f>
        <v>44.07</v>
      </c>
      <c r="F26">
        <f t="shared" si="12"/>
        <v>37.18</v>
      </c>
      <c r="G26">
        <f t="shared" si="12"/>
        <v>48.75</v>
      </c>
    </row>
    <row r="27" spans="3:11" x14ac:dyDescent="0.25">
      <c r="E27">
        <f t="shared" ref="E27:G27" si="13">E19*$H$12</f>
        <v>37.29</v>
      </c>
      <c r="F27">
        <f t="shared" si="13"/>
        <v>31.459999999999994</v>
      </c>
      <c r="G27">
        <f t="shared" si="13"/>
        <v>41.25</v>
      </c>
    </row>
    <row r="28" spans="3:11" x14ac:dyDescent="0.25">
      <c r="E28">
        <f t="shared" ref="E28:G28" si="14">E20*$H$12</f>
        <v>6.78</v>
      </c>
      <c r="F28">
        <f t="shared" si="14"/>
        <v>5.72</v>
      </c>
      <c r="G28">
        <f t="shared" si="14"/>
        <v>7.5</v>
      </c>
    </row>
    <row r="29" spans="3:11" x14ac:dyDescent="0.25">
      <c r="E29">
        <f t="shared" ref="E29:F29" si="15">E21*$H$12</f>
        <v>6.78</v>
      </c>
      <c r="F29">
        <f t="shared" si="15"/>
        <v>5.72</v>
      </c>
      <c r="G29">
        <f>G21*$H$12</f>
        <v>7.5</v>
      </c>
      <c r="H29" s="13">
        <f>SUM(E23:G29)</f>
        <v>1000</v>
      </c>
    </row>
    <row r="31" spans="3:11" x14ac:dyDescent="0.25">
      <c r="C31" t="s">
        <v>326</v>
      </c>
      <c r="E31">
        <f>(E5-E23)^2/E23</f>
        <v>10.662241090648166</v>
      </c>
      <c r="F31">
        <f t="shared" ref="F31:G31" si="16">(F5-F23)^2/F23</f>
        <v>25.376227556227551</v>
      </c>
      <c r="G31">
        <f t="shared" si="16"/>
        <v>1.6761261261261262</v>
      </c>
    </row>
    <row r="32" spans="3:11" x14ac:dyDescent="0.25">
      <c r="E32">
        <f t="shared" ref="E32:G32" si="17">(E6-E24)^2/E24</f>
        <v>2.3520222877744992</v>
      </c>
      <c r="F32">
        <f t="shared" si="17"/>
        <v>3.5297280497280483</v>
      </c>
      <c r="G32">
        <f t="shared" si="17"/>
        <v>3.3333333333333333E-2</v>
      </c>
    </row>
    <row r="33" spans="3:8" x14ac:dyDescent="0.25">
      <c r="E33">
        <f t="shared" ref="E33:G33" si="18">(E7-E25)^2/E25</f>
        <v>3.2568106888773082E-2</v>
      </c>
      <c r="F33">
        <f t="shared" si="18"/>
        <v>1.8096338955162496</v>
      </c>
      <c r="G33">
        <f t="shared" si="18"/>
        <v>1.8127450980392157</v>
      </c>
    </row>
    <row r="34" spans="3:8" x14ac:dyDescent="0.25">
      <c r="E34">
        <f t="shared" ref="E34:G34" si="19">(E8-E26)^2/E26</f>
        <v>12.076807351940097</v>
      </c>
      <c r="F34">
        <f t="shared" si="19"/>
        <v>19.346756320602474</v>
      </c>
      <c r="G34">
        <f t="shared" si="19"/>
        <v>0.28846153846153844</v>
      </c>
    </row>
    <row r="35" spans="3:8" x14ac:dyDescent="0.25">
      <c r="E35">
        <f t="shared" ref="E35:G35" si="20">(E9-E27)^2/E27</f>
        <v>13.323789219629926</v>
      </c>
      <c r="F35">
        <f t="shared" si="20"/>
        <v>10.925988556897657</v>
      </c>
      <c r="G35">
        <f t="shared" si="20"/>
        <v>0.34090909090909088</v>
      </c>
    </row>
    <row r="36" spans="3:8" x14ac:dyDescent="0.25">
      <c r="E36">
        <f t="shared" ref="E36:G36" si="21">(E10-E28)^2/E28</f>
        <v>3.3699705014749264</v>
      </c>
      <c r="F36">
        <f t="shared" si="21"/>
        <v>18.475244755244759</v>
      </c>
      <c r="G36">
        <f t="shared" si="21"/>
        <v>4.0333333333333332</v>
      </c>
    </row>
    <row r="37" spans="3:8" x14ac:dyDescent="0.25">
      <c r="E37">
        <f t="shared" ref="E37:F37" si="22">(E11-E29)^2/E29</f>
        <v>7.1386430678465904E-3</v>
      </c>
      <c r="F37">
        <f t="shared" si="22"/>
        <v>1.3706293706293731E-2</v>
      </c>
      <c r="G37">
        <f>(G11-G29)^2/G29</f>
        <v>3.3333333333333333E-2</v>
      </c>
      <c r="H37" s="13">
        <f>SUM(E31:G37)</f>
        <v>129.52006448288321</v>
      </c>
    </row>
    <row r="39" spans="3:8" x14ac:dyDescent="0.25">
      <c r="C39" t="s">
        <v>353</v>
      </c>
    </row>
    <row r="40" spans="3:8" x14ac:dyDescent="0.25">
      <c r="C40" t="s">
        <v>354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173A-E7A7-4EC4-B31D-D1C510AF026A}">
  <dimension ref="C2:L29"/>
  <sheetViews>
    <sheetView topLeftCell="A2" zoomScale="114" zoomScaleNormal="130" workbookViewId="0">
      <selection activeCell="E15" sqref="E15"/>
    </sheetView>
  </sheetViews>
  <sheetFormatPr defaultRowHeight="15" x14ac:dyDescent="0.25"/>
  <sheetData>
    <row r="2" spans="3:12" ht="75" x14ac:dyDescent="0.25">
      <c r="C2" t="s">
        <v>339</v>
      </c>
      <c r="E2" s="42" t="s">
        <v>340</v>
      </c>
      <c r="F2" s="42" t="s">
        <v>341</v>
      </c>
      <c r="G2" s="42" t="s">
        <v>342</v>
      </c>
      <c r="H2" s="42" t="s">
        <v>350</v>
      </c>
    </row>
    <row r="3" spans="3:12" x14ac:dyDescent="0.25">
      <c r="C3" t="s">
        <v>343</v>
      </c>
      <c r="E3">
        <v>162</v>
      </c>
      <c r="F3">
        <v>54</v>
      </c>
      <c r="G3">
        <v>154</v>
      </c>
      <c r="H3">
        <f>SUM(E3:G3)</f>
        <v>370</v>
      </c>
    </row>
    <row r="4" spans="3:12" x14ac:dyDescent="0.25">
      <c r="C4" t="s">
        <v>344</v>
      </c>
      <c r="E4">
        <v>73</v>
      </c>
      <c r="F4">
        <v>38</v>
      </c>
      <c r="G4">
        <v>69</v>
      </c>
      <c r="H4">
        <f t="shared" ref="H4:H9" si="0">SUM(E4:G4)</f>
        <v>180</v>
      </c>
    </row>
    <row r="5" spans="3:12" x14ac:dyDescent="0.25">
      <c r="C5" t="s">
        <v>345</v>
      </c>
      <c r="E5">
        <v>59</v>
      </c>
      <c r="F5">
        <v>58</v>
      </c>
      <c r="G5">
        <v>53</v>
      </c>
      <c r="H5">
        <f t="shared" si="0"/>
        <v>170</v>
      </c>
    </row>
    <row r="6" spans="3:12" x14ac:dyDescent="0.25">
      <c r="C6" t="s">
        <v>346</v>
      </c>
      <c r="E6">
        <v>21</v>
      </c>
      <c r="F6">
        <v>64</v>
      </c>
      <c r="G6">
        <v>45</v>
      </c>
      <c r="H6">
        <f t="shared" si="0"/>
        <v>130</v>
      </c>
    </row>
    <row r="7" spans="3:12" x14ac:dyDescent="0.25">
      <c r="C7" t="s">
        <v>347</v>
      </c>
      <c r="E7">
        <v>15</v>
      </c>
      <c r="F7">
        <v>50</v>
      </c>
      <c r="G7">
        <v>45</v>
      </c>
      <c r="H7">
        <f t="shared" si="0"/>
        <v>110</v>
      </c>
    </row>
    <row r="8" spans="3:12" x14ac:dyDescent="0.25">
      <c r="C8" t="s">
        <v>348</v>
      </c>
      <c r="E8">
        <v>2</v>
      </c>
      <c r="F8">
        <v>16</v>
      </c>
      <c r="G8">
        <v>2</v>
      </c>
      <c r="H8">
        <f t="shared" si="0"/>
        <v>20</v>
      </c>
    </row>
    <row r="9" spans="3:12" x14ac:dyDescent="0.25">
      <c r="C9" t="s">
        <v>349</v>
      </c>
      <c r="E9">
        <v>7</v>
      </c>
      <c r="F9">
        <v>6</v>
      </c>
      <c r="G9">
        <v>7</v>
      </c>
      <c r="H9">
        <f t="shared" si="0"/>
        <v>20</v>
      </c>
    </row>
    <row r="10" spans="3:12" x14ac:dyDescent="0.25">
      <c r="C10" t="s">
        <v>323</v>
      </c>
      <c r="E10">
        <f>SUM(E3:E9)</f>
        <v>339</v>
      </c>
      <c r="F10">
        <f t="shared" ref="F10:G10" si="1">SUM(F3:F9)</f>
        <v>286</v>
      </c>
      <c r="G10">
        <f t="shared" si="1"/>
        <v>375</v>
      </c>
      <c r="H10" s="13">
        <f>SUM(H3:H9)</f>
        <v>1000</v>
      </c>
    </row>
    <row r="13" spans="3:12" x14ac:dyDescent="0.25">
      <c r="C13" t="s">
        <v>361</v>
      </c>
      <c r="J13" t="s">
        <v>364</v>
      </c>
    </row>
    <row r="14" spans="3:12" x14ac:dyDescent="0.25">
      <c r="E14" s="43">
        <f>E3/$H3</f>
        <v>0.43783783783783786</v>
      </c>
      <c r="F14" s="43">
        <f t="shared" ref="F14:G14" si="2">F3/$H3</f>
        <v>0.14594594594594595</v>
      </c>
      <c r="G14" s="43">
        <f t="shared" si="2"/>
        <v>0.41621621621621624</v>
      </c>
      <c r="J14" s="43">
        <f>E3/$H$10</f>
        <v>0.16200000000000001</v>
      </c>
      <c r="K14" s="43">
        <f t="shared" ref="K14:L14" si="3">F3/$H$10</f>
        <v>5.3999999999999999E-2</v>
      </c>
      <c r="L14" s="43">
        <f t="shared" si="3"/>
        <v>0.154</v>
      </c>
    </row>
    <row r="15" spans="3:12" x14ac:dyDescent="0.25">
      <c r="E15" s="43">
        <f t="shared" ref="E15:G15" si="4">E4/$H4</f>
        <v>0.40555555555555556</v>
      </c>
      <c r="F15" s="43">
        <f t="shared" si="4"/>
        <v>0.21111111111111111</v>
      </c>
      <c r="G15" s="43">
        <f t="shared" si="4"/>
        <v>0.38333333333333336</v>
      </c>
      <c r="J15" s="43">
        <f t="shared" ref="J15:J20" si="5">E4/$H$10</f>
        <v>7.2999999999999995E-2</v>
      </c>
      <c r="K15" s="43">
        <f t="shared" ref="K15:K20" si="6">F4/$H$10</f>
        <v>3.7999999999999999E-2</v>
      </c>
      <c r="L15" s="43">
        <f t="shared" ref="L15:L20" si="7">G4/$H$10</f>
        <v>6.9000000000000006E-2</v>
      </c>
    </row>
    <row r="16" spans="3:12" x14ac:dyDescent="0.25">
      <c r="E16" s="43">
        <f t="shared" ref="E16:G16" si="8">E5/$H5</f>
        <v>0.34705882352941175</v>
      </c>
      <c r="F16" s="43">
        <f t="shared" si="8"/>
        <v>0.3411764705882353</v>
      </c>
      <c r="G16" s="43">
        <f t="shared" si="8"/>
        <v>0.31176470588235294</v>
      </c>
      <c r="J16" s="43">
        <f t="shared" si="5"/>
        <v>5.8999999999999997E-2</v>
      </c>
      <c r="K16" s="43">
        <f t="shared" si="6"/>
        <v>5.8000000000000003E-2</v>
      </c>
      <c r="L16" s="43">
        <f t="shared" si="7"/>
        <v>5.2999999999999999E-2</v>
      </c>
    </row>
    <row r="17" spans="3:12" x14ac:dyDescent="0.25">
      <c r="E17" s="43">
        <f t="shared" ref="E17:G17" si="9">E6/$H6</f>
        <v>0.16153846153846155</v>
      </c>
      <c r="F17" s="43">
        <f t="shared" si="9"/>
        <v>0.49230769230769234</v>
      </c>
      <c r="G17" s="43">
        <f t="shared" si="9"/>
        <v>0.34615384615384615</v>
      </c>
      <c r="J17" s="43">
        <f t="shared" si="5"/>
        <v>2.1000000000000001E-2</v>
      </c>
      <c r="K17" s="43">
        <f>F6/$H$10</f>
        <v>6.4000000000000001E-2</v>
      </c>
      <c r="L17" s="43">
        <f t="shared" si="7"/>
        <v>4.4999999999999998E-2</v>
      </c>
    </row>
    <row r="18" spans="3:12" x14ac:dyDescent="0.25">
      <c r="E18" s="43">
        <f t="shared" ref="E18:G18" si="10">E7/$H7</f>
        <v>0.13636363636363635</v>
      </c>
      <c r="F18" s="43">
        <f t="shared" si="10"/>
        <v>0.45454545454545453</v>
      </c>
      <c r="G18" s="43">
        <f t="shared" si="10"/>
        <v>0.40909090909090912</v>
      </c>
      <c r="J18" s="43">
        <f t="shared" si="5"/>
        <v>1.4999999999999999E-2</v>
      </c>
      <c r="K18" s="43">
        <f t="shared" si="6"/>
        <v>0.05</v>
      </c>
      <c r="L18" s="43">
        <f t="shared" si="7"/>
        <v>4.4999999999999998E-2</v>
      </c>
    </row>
    <row r="19" spans="3:12" x14ac:dyDescent="0.25">
      <c r="E19" s="43">
        <f t="shared" ref="E19:G19" si="11">E8/$H8</f>
        <v>0.1</v>
      </c>
      <c r="F19" s="43">
        <f t="shared" si="11"/>
        <v>0.8</v>
      </c>
      <c r="G19" s="43">
        <f t="shared" si="11"/>
        <v>0.1</v>
      </c>
      <c r="J19" s="43">
        <f t="shared" si="5"/>
        <v>2E-3</v>
      </c>
      <c r="K19" s="43">
        <f t="shared" si="6"/>
        <v>1.6E-2</v>
      </c>
      <c r="L19" s="43">
        <f t="shared" si="7"/>
        <v>2E-3</v>
      </c>
    </row>
    <row r="20" spans="3:12" x14ac:dyDescent="0.25">
      <c r="E20" s="43">
        <f t="shared" ref="E20:F20" si="12">E9/$H9</f>
        <v>0.35</v>
      </c>
      <c r="F20" s="43">
        <f t="shared" si="12"/>
        <v>0.3</v>
      </c>
      <c r="G20" s="43">
        <f>G9/$H9</f>
        <v>0.35</v>
      </c>
      <c r="J20" s="43">
        <f t="shared" si="5"/>
        <v>7.0000000000000001E-3</v>
      </c>
      <c r="K20" s="43">
        <f t="shared" si="6"/>
        <v>6.0000000000000001E-3</v>
      </c>
      <c r="L20" s="43">
        <f t="shared" si="7"/>
        <v>7.0000000000000001E-3</v>
      </c>
    </row>
    <row r="22" spans="3:12" x14ac:dyDescent="0.25">
      <c r="C22" t="s">
        <v>362</v>
      </c>
    </row>
    <row r="23" spans="3:12" x14ac:dyDescent="0.25">
      <c r="E23" s="43">
        <f>E3/E$10</f>
        <v>0.47787610619469029</v>
      </c>
      <c r="F23" s="43">
        <f t="shared" ref="F23" si="13">F3/F$10</f>
        <v>0.1888111888111888</v>
      </c>
      <c r="G23" s="43">
        <f>G3/G$10</f>
        <v>0.41066666666666668</v>
      </c>
    </row>
    <row r="24" spans="3:12" x14ac:dyDescent="0.25">
      <c r="E24" s="43">
        <f t="shared" ref="E24:G24" si="14">E4/E$10</f>
        <v>0.21533923303834809</v>
      </c>
      <c r="F24" s="43">
        <f t="shared" si="14"/>
        <v>0.13286713286713286</v>
      </c>
      <c r="G24" s="43">
        <f t="shared" si="14"/>
        <v>0.184</v>
      </c>
    </row>
    <row r="25" spans="3:12" x14ac:dyDescent="0.25">
      <c r="E25" s="43">
        <f t="shared" ref="E25:G25" si="15">E5/E$10</f>
        <v>0.17404129793510326</v>
      </c>
      <c r="F25" s="43">
        <f>F5/F$10</f>
        <v>0.20279720279720279</v>
      </c>
      <c r="G25" s="43">
        <f t="shared" si="15"/>
        <v>0.14133333333333334</v>
      </c>
    </row>
    <row r="26" spans="3:12" x14ac:dyDescent="0.25">
      <c r="E26" s="43">
        <f t="shared" ref="E26:G26" si="16">E6/E$10</f>
        <v>6.1946902654867256E-2</v>
      </c>
      <c r="F26" s="43">
        <f t="shared" si="16"/>
        <v>0.22377622377622378</v>
      </c>
      <c r="G26" s="43">
        <f t="shared" si="16"/>
        <v>0.12</v>
      </c>
    </row>
    <row r="27" spans="3:12" x14ac:dyDescent="0.25">
      <c r="E27" s="43">
        <f t="shared" ref="E27:G27" si="17">E7/E$10</f>
        <v>4.4247787610619468E-2</v>
      </c>
      <c r="F27" s="43">
        <f t="shared" si="17"/>
        <v>0.17482517482517482</v>
      </c>
      <c r="G27" s="43">
        <f t="shared" si="17"/>
        <v>0.12</v>
      </c>
    </row>
    <row r="28" spans="3:12" x14ac:dyDescent="0.25">
      <c r="E28" s="43">
        <f t="shared" ref="E28:G28" si="18">E8/E$10</f>
        <v>5.8997050147492625E-3</v>
      </c>
      <c r="F28" s="43">
        <f>F8/F$10</f>
        <v>5.5944055944055944E-2</v>
      </c>
      <c r="G28" s="43">
        <f t="shared" si="18"/>
        <v>5.3333333333333332E-3</v>
      </c>
    </row>
    <row r="29" spans="3:12" x14ac:dyDescent="0.25">
      <c r="E29" s="43">
        <f t="shared" ref="E29:F29" si="19">E9/E$10</f>
        <v>2.0648967551622419E-2</v>
      </c>
      <c r="F29" s="43">
        <f t="shared" si="19"/>
        <v>2.097902097902098E-2</v>
      </c>
      <c r="G29" s="43">
        <f>G9/G$10</f>
        <v>1.8666666666666668E-2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E4C5-B1E5-423A-A960-0B0089ACE8B4}">
  <dimension ref="D2:M18"/>
  <sheetViews>
    <sheetView topLeftCell="C1" zoomScale="144" zoomScaleNormal="115" workbookViewId="0">
      <selection activeCell="H17" sqref="H17"/>
    </sheetView>
  </sheetViews>
  <sheetFormatPr defaultRowHeight="15" x14ac:dyDescent="0.25"/>
  <sheetData>
    <row r="2" spans="4:13" x14ac:dyDescent="0.25">
      <c r="D2" t="s">
        <v>365</v>
      </c>
    </row>
    <row r="3" spans="4:13" x14ac:dyDescent="0.25">
      <c r="D3" t="s">
        <v>366</v>
      </c>
    </row>
    <row r="4" spans="4:13" x14ac:dyDescent="0.25">
      <c r="D4" t="s">
        <v>367</v>
      </c>
    </row>
    <row r="5" spans="4:13" x14ac:dyDescent="0.25">
      <c r="D5" t="s">
        <v>368</v>
      </c>
    </row>
    <row r="8" spans="4:13" x14ac:dyDescent="0.25">
      <c r="F8" t="s">
        <v>369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</row>
    <row r="9" spans="4:13" x14ac:dyDescent="0.25">
      <c r="F9" t="s">
        <v>375</v>
      </c>
      <c r="H9">
        <v>1</v>
      </c>
      <c r="I9">
        <v>4</v>
      </c>
      <c r="J9">
        <v>9</v>
      </c>
      <c r="K9">
        <v>9</v>
      </c>
      <c r="L9">
        <v>2</v>
      </c>
      <c r="M9">
        <v>5</v>
      </c>
    </row>
    <row r="11" spans="4:13" x14ac:dyDescent="0.25">
      <c r="D11" t="s">
        <v>370</v>
      </c>
    </row>
    <row r="12" spans="4:13" x14ac:dyDescent="0.25">
      <c r="D12" t="s">
        <v>371</v>
      </c>
      <c r="G12" t="s">
        <v>373</v>
      </c>
      <c r="H12">
        <f>30*1/6</f>
        <v>5</v>
      </c>
    </row>
    <row r="14" spans="4:13" x14ac:dyDescent="0.25">
      <c r="D14" t="s">
        <v>372</v>
      </c>
      <c r="G14" t="s">
        <v>374</v>
      </c>
      <c r="H14">
        <f>(H9-$H$12)^2/$H$12</f>
        <v>3.2</v>
      </c>
      <c r="I14">
        <f t="shared" ref="I14:L14" si="0">(I9-$H$12)^2/$H$12</f>
        <v>0.2</v>
      </c>
      <c r="J14">
        <f t="shared" si="0"/>
        <v>3.2</v>
      </c>
      <c r="K14">
        <f t="shared" si="0"/>
        <v>3.2</v>
      </c>
      <c r="L14">
        <f t="shared" si="0"/>
        <v>1.8</v>
      </c>
      <c r="M14">
        <f>(M9-$H$12)^2/$H$12</f>
        <v>0</v>
      </c>
    </row>
    <row r="15" spans="4:13" x14ac:dyDescent="0.25">
      <c r="M15" s="13">
        <f>SUM(H14:L14)</f>
        <v>11.600000000000001</v>
      </c>
    </row>
    <row r="16" spans="4:13" x14ac:dyDescent="0.25">
      <c r="G16" t="s">
        <v>356</v>
      </c>
      <c r="H16" s="13">
        <f>_xlfn.CHISQ.INV.RT(0.05,5)</f>
        <v>11.070497693516353</v>
      </c>
    </row>
    <row r="18" spans="7:7" x14ac:dyDescent="0.25">
      <c r="G18" t="s">
        <v>376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FF70-181C-482E-A47D-4336E9CB8266}">
  <dimension ref="B3:R40"/>
  <sheetViews>
    <sheetView tabSelected="1" topLeftCell="A7" zoomScale="96" zoomScaleNormal="115" workbookViewId="0">
      <selection activeCell="O26" sqref="O26"/>
    </sheetView>
  </sheetViews>
  <sheetFormatPr defaultRowHeight="15" x14ac:dyDescent="0.25"/>
  <cols>
    <col min="4" max="5" width="9.28515625" bestFit="1" customWidth="1"/>
    <col min="8" max="8" width="25.85546875" customWidth="1"/>
    <col min="10" max="10" width="9.28515625" bestFit="1" customWidth="1"/>
    <col min="11" max="11" width="19.28515625" customWidth="1"/>
    <col min="12" max="12" width="19.5703125" customWidth="1"/>
    <col min="13" max="13" width="21.5703125" customWidth="1"/>
    <col min="14" max="15" width="12.28515625" bestFit="1" customWidth="1"/>
    <col min="16" max="18" width="9.28515625" bestFit="1" customWidth="1"/>
  </cols>
  <sheetData>
    <row r="3" spans="2:15" x14ac:dyDescent="0.25">
      <c r="B3" t="s">
        <v>377</v>
      </c>
    </row>
    <row r="6" spans="2:15" x14ac:dyDescent="0.25">
      <c r="D6" t="s">
        <v>69</v>
      </c>
      <c r="E6" t="s">
        <v>70</v>
      </c>
      <c r="J6" t="s">
        <v>378</v>
      </c>
    </row>
    <row r="7" spans="2:15" ht="15.75" thickBot="1" x14ac:dyDescent="0.3">
      <c r="D7">
        <v>73</v>
      </c>
      <c r="E7">
        <v>0.5</v>
      </c>
    </row>
    <row r="8" spans="2:15" x14ac:dyDescent="0.25">
      <c r="D8">
        <v>86</v>
      </c>
      <c r="E8">
        <v>0.7</v>
      </c>
      <c r="J8" s="44" t="s">
        <v>379</v>
      </c>
      <c r="K8" s="44"/>
    </row>
    <row r="9" spans="2:15" x14ac:dyDescent="0.25">
      <c r="D9">
        <v>101</v>
      </c>
      <c r="E9">
        <v>0.9</v>
      </c>
      <c r="J9" s="30" t="s">
        <v>380</v>
      </c>
      <c r="K9" s="30">
        <v>0.98559719704576076</v>
      </c>
    </row>
    <row r="10" spans="2:15" x14ac:dyDescent="0.25">
      <c r="D10">
        <v>115</v>
      </c>
      <c r="E10">
        <v>1.1000000000000001</v>
      </c>
      <c r="J10" s="30" t="s">
        <v>381</v>
      </c>
      <c r="K10" s="30">
        <v>0.97140183482446019</v>
      </c>
      <c r="M10" t="s">
        <v>400</v>
      </c>
    </row>
    <row r="11" spans="2:15" x14ac:dyDescent="0.25">
      <c r="D11">
        <v>122</v>
      </c>
      <c r="E11">
        <v>1.4</v>
      </c>
      <c r="J11" s="30" t="s">
        <v>382</v>
      </c>
      <c r="K11" s="30">
        <v>0.96731638265652597</v>
      </c>
    </row>
    <row r="12" spans="2:15" x14ac:dyDescent="0.25">
      <c r="D12">
        <v>126</v>
      </c>
      <c r="E12">
        <v>1.4</v>
      </c>
      <c r="J12" s="30" t="s">
        <v>383</v>
      </c>
      <c r="K12" s="30">
        <v>9.8607181075637373E-2</v>
      </c>
      <c r="M12" t="s">
        <v>401</v>
      </c>
    </row>
    <row r="13" spans="2:15" ht="15.75" thickBot="1" x14ac:dyDescent="0.3">
      <c r="D13">
        <v>134</v>
      </c>
      <c r="E13">
        <v>1.7</v>
      </c>
      <c r="J13" s="31" t="s">
        <v>216</v>
      </c>
      <c r="K13" s="31">
        <v>9</v>
      </c>
    </row>
    <row r="14" spans="2:15" x14ac:dyDescent="0.25">
      <c r="D14">
        <v>148</v>
      </c>
      <c r="E14">
        <v>1.9</v>
      </c>
    </row>
    <row r="15" spans="2:15" ht="15.75" thickBot="1" x14ac:dyDescent="0.3">
      <c r="D15">
        <v>150</v>
      </c>
      <c r="E15">
        <v>2.1</v>
      </c>
      <c r="J15" t="s">
        <v>286</v>
      </c>
    </row>
    <row r="16" spans="2:15" x14ac:dyDescent="0.25">
      <c r="J16" s="32"/>
      <c r="K16" s="32" t="s">
        <v>219</v>
      </c>
      <c r="L16" s="32" t="s">
        <v>288</v>
      </c>
      <c r="M16" s="32" t="s">
        <v>289</v>
      </c>
      <c r="N16" s="32" t="s">
        <v>127</v>
      </c>
      <c r="O16" s="32" t="s">
        <v>387</v>
      </c>
    </row>
    <row r="17" spans="4:18" x14ac:dyDescent="0.25">
      <c r="J17" s="30" t="s">
        <v>384</v>
      </c>
      <c r="K17" s="30">
        <v>1</v>
      </c>
      <c r="L17" s="30">
        <v>2.311936366882215</v>
      </c>
      <c r="M17" s="30">
        <v>2.311936366882215</v>
      </c>
      <c r="N17" s="30">
        <v>237.77094796232393</v>
      </c>
      <c r="O17" s="30">
        <v>1.1641382372354175E-6</v>
      </c>
    </row>
    <row r="18" spans="4:18" x14ac:dyDescent="0.25">
      <c r="D18" t="s">
        <v>398</v>
      </c>
      <c r="J18" s="30" t="s">
        <v>385</v>
      </c>
      <c r="K18" s="30">
        <v>7</v>
      </c>
      <c r="L18" s="30">
        <v>6.8063633117784753E-2</v>
      </c>
      <c r="M18" s="30">
        <v>9.7233761596835361E-3</v>
      </c>
      <c r="N18" s="30"/>
      <c r="O18" s="30"/>
    </row>
    <row r="19" spans="4:18" ht="15.75" thickBot="1" x14ac:dyDescent="0.3">
      <c r="D19" t="s">
        <v>399</v>
      </c>
      <c r="J19" s="31" t="s">
        <v>294</v>
      </c>
      <c r="K19" s="31">
        <v>8</v>
      </c>
      <c r="L19" s="31">
        <v>2.38</v>
      </c>
      <c r="M19" s="31"/>
      <c r="N19" s="31"/>
      <c r="O19" s="31"/>
    </row>
    <row r="20" spans="4:18" ht="15.75" thickBot="1" x14ac:dyDescent="0.3"/>
    <row r="21" spans="4:18" x14ac:dyDescent="0.25">
      <c r="J21" s="32"/>
      <c r="K21" s="32" t="s">
        <v>388</v>
      </c>
      <c r="L21" s="32" t="s">
        <v>383</v>
      </c>
      <c r="M21" s="32" t="s">
        <v>220</v>
      </c>
      <c r="N21" s="32" t="s">
        <v>290</v>
      </c>
      <c r="O21" s="32" t="s">
        <v>389</v>
      </c>
      <c r="P21" s="32" t="s">
        <v>390</v>
      </c>
      <c r="Q21" s="32" t="s">
        <v>391</v>
      </c>
      <c r="R21" s="32" t="s">
        <v>392</v>
      </c>
    </row>
    <row r="22" spans="4:18" x14ac:dyDescent="0.25">
      <c r="J22" s="30" t="s">
        <v>386</v>
      </c>
      <c r="K22" s="30">
        <v>-1.0814614987900182</v>
      </c>
      <c r="L22" s="30">
        <v>0.15790050511376869</v>
      </c>
      <c r="M22" s="30">
        <v>-6.8490059484661927</v>
      </c>
      <c r="N22" s="30">
        <v>2.4220736713545469E-4</v>
      </c>
      <c r="O22" s="30">
        <v>-1.4548368625207861</v>
      </c>
      <c r="P22" s="30">
        <v>-0.70808613505925022</v>
      </c>
      <c r="Q22" s="30">
        <v>-1.4548368625207861</v>
      </c>
      <c r="R22" s="30">
        <v>-0.70808613505925022</v>
      </c>
    </row>
    <row r="23" spans="4:18" ht="15.75" thickBot="1" x14ac:dyDescent="0.3">
      <c r="J23" s="31" t="s">
        <v>69</v>
      </c>
      <c r="K23" s="31">
        <v>2.0315785297734749E-2</v>
      </c>
      <c r="L23" s="31">
        <v>1.3175109088673855E-3</v>
      </c>
      <c r="M23" s="31">
        <v>15.419823214366753</v>
      </c>
      <c r="N23" s="31">
        <v>1.1641382372354194E-6</v>
      </c>
      <c r="O23" s="31">
        <v>1.7200367050888878E-2</v>
      </c>
      <c r="P23" s="31">
        <v>2.3431203544580621E-2</v>
      </c>
      <c r="Q23" s="31">
        <v>1.7200367050888878E-2</v>
      </c>
      <c r="R23" s="31">
        <v>2.3431203544580621E-2</v>
      </c>
    </row>
    <row r="24" spans="4:18" x14ac:dyDescent="0.25">
      <c r="N24" t="s">
        <v>338</v>
      </c>
    </row>
    <row r="27" spans="4:18" x14ac:dyDescent="0.25">
      <c r="J27" t="s">
        <v>393</v>
      </c>
    </row>
    <row r="28" spans="4:18" ht="15.75" thickBot="1" x14ac:dyDescent="0.3">
      <c r="L28" t="s">
        <v>404</v>
      </c>
    </row>
    <row r="29" spans="4:18" x14ac:dyDescent="0.25">
      <c r="J29" s="32" t="s">
        <v>394</v>
      </c>
      <c r="K29" s="32" t="s">
        <v>395</v>
      </c>
      <c r="L29" s="32" t="s">
        <v>396</v>
      </c>
      <c r="M29" s="32" t="s">
        <v>397</v>
      </c>
    </row>
    <row r="30" spans="4:18" x14ac:dyDescent="0.25">
      <c r="J30" s="30">
        <v>1</v>
      </c>
      <c r="K30" s="30">
        <v>0.40159082794461853</v>
      </c>
      <c r="L30" s="30">
        <v>9.8409172055381466E-2</v>
      </c>
      <c r="M30" s="30">
        <v>1.0668982624671259</v>
      </c>
    </row>
    <row r="31" spans="4:18" x14ac:dyDescent="0.25">
      <c r="J31" s="30">
        <v>2</v>
      </c>
      <c r="K31" s="30">
        <v>0.66569603681517031</v>
      </c>
      <c r="L31" s="30">
        <v>3.4303963184829644E-2</v>
      </c>
      <c r="M31" s="30">
        <v>0.37190475189684935</v>
      </c>
    </row>
    <row r="32" spans="4:18" x14ac:dyDescent="0.25">
      <c r="J32" s="30">
        <v>3</v>
      </c>
      <c r="K32" s="30">
        <v>0.97043281628119171</v>
      </c>
      <c r="L32" s="30">
        <v>-7.043281628119169E-2</v>
      </c>
      <c r="M32" s="30">
        <v>-0.76359395919702244</v>
      </c>
    </row>
    <row r="33" spans="10:13" x14ac:dyDescent="0.25">
      <c r="J33" s="30">
        <v>4</v>
      </c>
      <c r="K33" s="30">
        <v>1.254853810449478</v>
      </c>
      <c r="L33" s="30">
        <v>-0.15485381044947788</v>
      </c>
      <c r="M33" s="30">
        <v>-1.6788400700290924</v>
      </c>
    </row>
    <row r="34" spans="10:13" x14ac:dyDescent="0.25">
      <c r="J34" s="30">
        <v>5</v>
      </c>
      <c r="K34" s="30">
        <v>1.3970643075336211</v>
      </c>
      <c r="L34" s="30">
        <v>2.9356924663788142E-3</v>
      </c>
      <c r="M34" s="30">
        <v>3.1827167387962103E-2</v>
      </c>
    </row>
    <row r="35" spans="10:13" x14ac:dyDescent="0.25">
      <c r="J35" s="30">
        <v>6</v>
      </c>
      <c r="K35" s="30">
        <v>1.4783274487245603</v>
      </c>
      <c r="L35" s="30">
        <v>-7.8327448724560433E-2</v>
      </c>
      <c r="M35" s="30">
        <v>-0.84918323365923065</v>
      </c>
    </row>
    <row r="36" spans="10:13" x14ac:dyDescent="0.25">
      <c r="J36" s="30">
        <v>7</v>
      </c>
      <c r="K36" s="30">
        <v>1.6408537311064384</v>
      </c>
      <c r="L36" s="30">
        <v>5.914626889356156E-2</v>
      </c>
      <c r="M36" s="30">
        <v>0.64123140349602692</v>
      </c>
    </row>
    <row r="37" spans="10:13" x14ac:dyDescent="0.25">
      <c r="J37" s="30">
        <v>8</v>
      </c>
      <c r="K37" s="30">
        <v>1.9252747252747247</v>
      </c>
      <c r="L37" s="30">
        <v>-2.5274725274724741E-2</v>
      </c>
      <c r="M37" s="30">
        <v>-0.27401470733604427</v>
      </c>
    </row>
    <row r="38" spans="10:13" ht="15.75" thickBot="1" x14ac:dyDescent="0.3">
      <c r="J38" s="31">
        <v>9</v>
      </c>
      <c r="K38" s="31">
        <v>1.9659062958701941</v>
      </c>
      <c r="L38" s="31">
        <v>0.13409370412980604</v>
      </c>
      <c r="M38" s="31">
        <v>1.4537703849734553</v>
      </c>
    </row>
    <row r="39" spans="10:13" x14ac:dyDescent="0.25">
      <c r="K39" t="s">
        <v>402</v>
      </c>
    </row>
    <row r="40" spans="10:13" x14ac:dyDescent="0.25">
      <c r="K40" t="s">
        <v>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9737-2DD7-4633-8251-C13E18865A50}">
  <dimension ref="C6:X33"/>
  <sheetViews>
    <sheetView topLeftCell="C1" workbookViewId="0">
      <selection activeCell="G22" sqref="G22"/>
    </sheetView>
  </sheetViews>
  <sheetFormatPr defaultRowHeight="15" x14ac:dyDescent="0.25"/>
  <sheetData>
    <row r="6" spans="3:24" ht="21" x14ac:dyDescent="0.35">
      <c r="D6" s="1" t="s">
        <v>29</v>
      </c>
      <c r="E6" s="1"/>
      <c r="F6" s="1"/>
      <c r="G6" s="1"/>
      <c r="H6" s="1"/>
      <c r="I6" s="1"/>
      <c r="J6" s="1"/>
      <c r="K6" s="1"/>
      <c r="L6" s="1"/>
      <c r="M6" s="1"/>
    </row>
    <row r="7" spans="3:24" ht="21" x14ac:dyDescent="0.35">
      <c r="D7" s="1"/>
      <c r="E7" s="1"/>
      <c r="F7" s="1"/>
      <c r="G7" s="1"/>
      <c r="H7" s="1"/>
      <c r="I7" s="1"/>
      <c r="J7" s="1"/>
      <c r="K7" s="1"/>
      <c r="L7" s="1"/>
      <c r="M7" s="1"/>
    </row>
    <row r="8" spans="3:24" ht="21" x14ac:dyDescent="0.35">
      <c r="D8" s="1" t="s">
        <v>20</v>
      </c>
      <c r="E8" s="1"/>
      <c r="F8" s="1"/>
      <c r="G8" s="1"/>
      <c r="H8" s="1"/>
      <c r="I8" s="1"/>
      <c r="J8" s="1"/>
      <c r="K8" s="1"/>
      <c r="L8" s="1"/>
      <c r="M8" s="1"/>
    </row>
    <row r="9" spans="3:24" ht="18.75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3:24" ht="18.75" x14ac:dyDescent="0.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3:24" ht="18.75" x14ac:dyDescent="0.3">
      <c r="C11" s="2"/>
      <c r="D11" s="2" t="s">
        <v>2</v>
      </c>
      <c r="E11" s="2">
        <v>17</v>
      </c>
      <c r="F11" s="2"/>
      <c r="G11" s="2" t="s">
        <v>22</v>
      </c>
      <c r="H11" s="2">
        <v>0.95</v>
      </c>
      <c r="I11" s="2" t="s">
        <v>23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3:24" ht="18.75" x14ac:dyDescent="0.3">
      <c r="C12" s="2"/>
      <c r="D12" s="2" t="s">
        <v>4</v>
      </c>
      <c r="E12" s="2">
        <v>200</v>
      </c>
      <c r="F12" s="2"/>
      <c r="G12" t="s">
        <v>24</v>
      </c>
      <c r="H12" s="2">
        <v>0.05</v>
      </c>
      <c r="I12" s="2" t="s">
        <v>25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3:24" ht="18.75" x14ac:dyDescent="0.3">
      <c r="C13" s="2"/>
      <c r="D13" s="2" t="s">
        <v>21</v>
      </c>
      <c r="E13" s="2">
        <v>95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3:24" ht="18.75" x14ac:dyDescent="0.3">
      <c r="C14" s="2"/>
      <c r="D14" s="2" t="s">
        <v>7</v>
      </c>
      <c r="E14" s="2">
        <v>20</v>
      </c>
      <c r="F14" s="2"/>
      <c r="G14" s="2" t="s">
        <v>30</v>
      </c>
      <c r="H14" s="2"/>
      <c r="I14" s="2"/>
      <c r="J14" s="2">
        <f>E12*(E14-17)</f>
        <v>600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3:24" ht="18.75" x14ac:dyDescent="0.3">
      <c r="C15" s="2"/>
      <c r="D15" s="2" t="s">
        <v>8</v>
      </c>
      <c r="E15" s="2">
        <v>9</v>
      </c>
      <c r="F15" s="2"/>
      <c r="G15" s="2" t="s">
        <v>26</v>
      </c>
      <c r="H15" s="2"/>
      <c r="I15" s="2"/>
      <c r="J15" s="2">
        <f>E12*E15</f>
        <v>1800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3:24" ht="18.75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3:24" ht="18.75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3:24" ht="18.75" x14ac:dyDescent="0.3">
      <c r="C18" s="2"/>
      <c r="D18" s="2"/>
      <c r="E18" s="2"/>
      <c r="F18" s="2"/>
      <c r="G18" s="2" t="s">
        <v>27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3:24" ht="18.75" x14ac:dyDescent="0.3">
      <c r="C19" s="2"/>
      <c r="D19" s="2"/>
      <c r="E19" s="2"/>
      <c r="F19" s="2"/>
      <c r="G19" s="2" t="s">
        <v>31</v>
      </c>
      <c r="H19" s="2"/>
      <c r="I19" s="2"/>
      <c r="J19" s="2">
        <f>_xlfn.NORM.INV(0.05,600,1800)</f>
        <v>-2360.7365285126507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3:24" ht="18.75" x14ac:dyDescent="0.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3:24" ht="18.75" x14ac:dyDescent="0.3">
      <c r="C21" s="2"/>
      <c r="D21" s="2"/>
      <c r="E21" s="2"/>
      <c r="F21" s="2"/>
      <c r="G21" s="2" t="s">
        <v>32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3:24" ht="18.75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3:24" ht="18.75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3:24" ht="18.75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3:24" ht="18.75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3:24" ht="18.75" x14ac:dyDescent="0.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3:24" ht="18.75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3:24" ht="18.75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3:24" ht="18.75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3:24" ht="18.75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3:24" ht="18.75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3:24" ht="18.75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3:24" ht="18.75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8087-0B70-46DD-92A1-1DC3E78E8B63}">
  <dimension ref="A3:R21"/>
  <sheetViews>
    <sheetView workbookViewId="0">
      <selection activeCell="O14" sqref="O14"/>
    </sheetView>
  </sheetViews>
  <sheetFormatPr defaultColWidth="8.85546875" defaultRowHeight="21" x14ac:dyDescent="0.35"/>
  <cols>
    <col min="1" max="3" width="8.85546875" style="1"/>
    <col min="4" max="4" width="23.7109375" style="1" customWidth="1"/>
    <col min="5" max="5" width="30" style="1" customWidth="1"/>
    <col min="6" max="6" width="8.85546875" style="1"/>
    <col min="7" max="7" width="16.42578125" style="1" customWidth="1"/>
    <col min="8" max="11" width="8.85546875" style="1"/>
    <col min="12" max="13" width="12.28515625" style="1" bestFit="1" customWidth="1"/>
    <col min="14" max="15" width="9.140625" style="1" bestFit="1" customWidth="1"/>
    <col min="16" max="259" width="8.85546875" style="1"/>
    <col min="260" max="260" width="23.7109375" style="1" customWidth="1"/>
    <col min="261" max="261" width="30" style="1" customWidth="1"/>
    <col min="262" max="262" width="8.85546875" style="1"/>
    <col min="263" max="263" width="16.42578125" style="1" customWidth="1"/>
    <col min="264" max="268" width="8.85546875" style="1"/>
    <col min="269" max="269" width="12.28515625" style="1" bestFit="1" customWidth="1"/>
    <col min="270" max="270" width="8.85546875" style="1"/>
    <col min="271" max="271" width="9.140625" style="1" bestFit="1" customWidth="1"/>
    <col min="272" max="515" width="8.85546875" style="1"/>
    <col min="516" max="516" width="23.7109375" style="1" customWidth="1"/>
    <col min="517" max="517" width="30" style="1" customWidth="1"/>
    <col min="518" max="518" width="8.85546875" style="1"/>
    <col min="519" max="519" width="16.42578125" style="1" customWidth="1"/>
    <col min="520" max="524" width="8.85546875" style="1"/>
    <col min="525" max="525" width="12.28515625" style="1" bestFit="1" customWidth="1"/>
    <col min="526" max="526" width="8.85546875" style="1"/>
    <col min="527" max="527" width="9.140625" style="1" bestFit="1" customWidth="1"/>
    <col min="528" max="771" width="8.85546875" style="1"/>
    <col min="772" max="772" width="23.7109375" style="1" customWidth="1"/>
    <col min="773" max="773" width="30" style="1" customWidth="1"/>
    <col min="774" max="774" width="8.85546875" style="1"/>
    <col min="775" max="775" width="16.42578125" style="1" customWidth="1"/>
    <col min="776" max="780" width="8.85546875" style="1"/>
    <col min="781" max="781" width="12.28515625" style="1" bestFit="1" customWidth="1"/>
    <col min="782" max="782" width="8.85546875" style="1"/>
    <col min="783" max="783" width="9.140625" style="1" bestFit="1" customWidth="1"/>
    <col min="784" max="1027" width="8.85546875" style="1"/>
    <col min="1028" max="1028" width="23.7109375" style="1" customWidth="1"/>
    <col min="1029" max="1029" width="30" style="1" customWidth="1"/>
    <col min="1030" max="1030" width="8.85546875" style="1"/>
    <col min="1031" max="1031" width="16.42578125" style="1" customWidth="1"/>
    <col min="1032" max="1036" width="8.85546875" style="1"/>
    <col min="1037" max="1037" width="12.28515625" style="1" bestFit="1" customWidth="1"/>
    <col min="1038" max="1038" width="8.85546875" style="1"/>
    <col min="1039" max="1039" width="9.140625" style="1" bestFit="1" customWidth="1"/>
    <col min="1040" max="1283" width="8.85546875" style="1"/>
    <col min="1284" max="1284" width="23.7109375" style="1" customWidth="1"/>
    <col min="1285" max="1285" width="30" style="1" customWidth="1"/>
    <col min="1286" max="1286" width="8.85546875" style="1"/>
    <col min="1287" max="1287" width="16.42578125" style="1" customWidth="1"/>
    <col min="1288" max="1292" width="8.85546875" style="1"/>
    <col min="1293" max="1293" width="12.28515625" style="1" bestFit="1" customWidth="1"/>
    <col min="1294" max="1294" width="8.85546875" style="1"/>
    <col min="1295" max="1295" width="9.140625" style="1" bestFit="1" customWidth="1"/>
    <col min="1296" max="1539" width="8.85546875" style="1"/>
    <col min="1540" max="1540" width="23.7109375" style="1" customWidth="1"/>
    <col min="1541" max="1541" width="30" style="1" customWidth="1"/>
    <col min="1542" max="1542" width="8.85546875" style="1"/>
    <col min="1543" max="1543" width="16.42578125" style="1" customWidth="1"/>
    <col min="1544" max="1548" width="8.85546875" style="1"/>
    <col min="1549" max="1549" width="12.28515625" style="1" bestFit="1" customWidth="1"/>
    <col min="1550" max="1550" width="8.85546875" style="1"/>
    <col min="1551" max="1551" width="9.140625" style="1" bestFit="1" customWidth="1"/>
    <col min="1552" max="1795" width="8.85546875" style="1"/>
    <col min="1796" max="1796" width="23.7109375" style="1" customWidth="1"/>
    <col min="1797" max="1797" width="30" style="1" customWidth="1"/>
    <col min="1798" max="1798" width="8.85546875" style="1"/>
    <col min="1799" max="1799" width="16.42578125" style="1" customWidth="1"/>
    <col min="1800" max="1804" width="8.85546875" style="1"/>
    <col min="1805" max="1805" width="12.28515625" style="1" bestFit="1" customWidth="1"/>
    <col min="1806" max="1806" width="8.85546875" style="1"/>
    <col min="1807" max="1807" width="9.140625" style="1" bestFit="1" customWidth="1"/>
    <col min="1808" max="2051" width="8.85546875" style="1"/>
    <col min="2052" max="2052" width="23.7109375" style="1" customWidth="1"/>
    <col min="2053" max="2053" width="30" style="1" customWidth="1"/>
    <col min="2054" max="2054" width="8.85546875" style="1"/>
    <col min="2055" max="2055" width="16.42578125" style="1" customWidth="1"/>
    <col min="2056" max="2060" width="8.85546875" style="1"/>
    <col min="2061" max="2061" width="12.28515625" style="1" bestFit="1" customWidth="1"/>
    <col min="2062" max="2062" width="8.85546875" style="1"/>
    <col min="2063" max="2063" width="9.140625" style="1" bestFit="1" customWidth="1"/>
    <col min="2064" max="2307" width="8.85546875" style="1"/>
    <col min="2308" max="2308" width="23.7109375" style="1" customWidth="1"/>
    <col min="2309" max="2309" width="30" style="1" customWidth="1"/>
    <col min="2310" max="2310" width="8.85546875" style="1"/>
    <col min="2311" max="2311" width="16.42578125" style="1" customWidth="1"/>
    <col min="2312" max="2316" width="8.85546875" style="1"/>
    <col min="2317" max="2317" width="12.28515625" style="1" bestFit="1" customWidth="1"/>
    <col min="2318" max="2318" width="8.85546875" style="1"/>
    <col min="2319" max="2319" width="9.140625" style="1" bestFit="1" customWidth="1"/>
    <col min="2320" max="2563" width="8.85546875" style="1"/>
    <col min="2564" max="2564" width="23.7109375" style="1" customWidth="1"/>
    <col min="2565" max="2565" width="30" style="1" customWidth="1"/>
    <col min="2566" max="2566" width="8.85546875" style="1"/>
    <col min="2567" max="2567" width="16.42578125" style="1" customWidth="1"/>
    <col min="2568" max="2572" width="8.85546875" style="1"/>
    <col min="2573" max="2573" width="12.28515625" style="1" bestFit="1" customWidth="1"/>
    <col min="2574" max="2574" width="8.85546875" style="1"/>
    <col min="2575" max="2575" width="9.140625" style="1" bestFit="1" customWidth="1"/>
    <col min="2576" max="2819" width="8.85546875" style="1"/>
    <col min="2820" max="2820" width="23.7109375" style="1" customWidth="1"/>
    <col min="2821" max="2821" width="30" style="1" customWidth="1"/>
    <col min="2822" max="2822" width="8.85546875" style="1"/>
    <col min="2823" max="2823" width="16.42578125" style="1" customWidth="1"/>
    <col min="2824" max="2828" width="8.85546875" style="1"/>
    <col min="2829" max="2829" width="12.28515625" style="1" bestFit="1" customWidth="1"/>
    <col min="2830" max="2830" width="8.85546875" style="1"/>
    <col min="2831" max="2831" width="9.140625" style="1" bestFit="1" customWidth="1"/>
    <col min="2832" max="3075" width="8.85546875" style="1"/>
    <col min="3076" max="3076" width="23.7109375" style="1" customWidth="1"/>
    <col min="3077" max="3077" width="30" style="1" customWidth="1"/>
    <col min="3078" max="3078" width="8.85546875" style="1"/>
    <col min="3079" max="3079" width="16.42578125" style="1" customWidth="1"/>
    <col min="3080" max="3084" width="8.85546875" style="1"/>
    <col min="3085" max="3085" width="12.28515625" style="1" bestFit="1" customWidth="1"/>
    <col min="3086" max="3086" width="8.85546875" style="1"/>
    <col min="3087" max="3087" width="9.140625" style="1" bestFit="1" customWidth="1"/>
    <col min="3088" max="3331" width="8.85546875" style="1"/>
    <col min="3332" max="3332" width="23.7109375" style="1" customWidth="1"/>
    <col min="3333" max="3333" width="30" style="1" customWidth="1"/>
    <col min="3334" max="3334" width="8.85546875" style="1"/>
    <col min="3335" max="3335" width="16.42578125" style="1" customWidth="1"/>
    <col min="3336" max="3340" width="8.85546875" style="1"/>
    <col min="3341" max="3341" width="12.28515625" style="1" bestFit="1" customWidth="1"/>
    <col min="3342" max="3342" width="8.85546875" style="1"/>
    <col min="3343" max="3343" width="9.140625" style="1" bestFit="1" customWidth="1"/>
    <col min="3344" max="3587" width="8.85546875" style="1"/>
    <col min="3588" max="3588" width="23.7109375" style="1" customWidth="1"/>
    <col min="3589" max="3589" width="30" style="1" customWidth="1"/>
    <col min="3590" max="3590" width="8.85546875" style="1"/>
    <col min="3591" max="3591" width="16.42578125" style="1" customWidth="1"/>
    <col min="3592" max="3596" width="8.85546875" style="1"/>
    <col min="3597" max="3597" width="12.28515625" style="1" bestFit="1" customWidth="1"/>
    <col min="3598" max="3598" width="8.85546875" style="1"/>
    <col min="3599" max="3599" width="9.140625" style="1" bestFit="1" customWidth="1"/>
    <col min="3600" max="3843" width="8.85546875" style="1"/>
    <col min="3844" max="3844" width="23.7109375" style="1" customWidth="1"/>
    <col min="3845" max="3845" width="30" style="1" customWidth="1"/>
    <col min="3846" max="3846" width="8.85546875" style="1"/>
    <col min="3847" max="3847" width="16.42578125" style="1" customWidth="1"/>
    <col min="3848" max="3852" width="8.85546875" style="1"/>
    <col min="3853" max="3853" width="12.28515625" style="1" bestFit="1" customWidth="1"/>
    <col min="3854" max="3854" width="8.85546875" style="1"/>
    <col min="3855" max="3855" width="9.140625" style="1" bestFit="1" customWidth="1"/>
    <col min="3856" max="4099" width="8.85546875" style="1"/>
    <col min="4100" max="4100" width="23.7109375" style="1" customWidth="1"/>
    <col min="4101" max="4101" width="30" style="1" customWidth="1"/>
    <col min="4102" max="4102" width="8.85546875" style="1"/>
    <col min="4103" max="4103" width="16.42578125" style="1" customWidth="1"/>
    <col min="4104" max="4108" width="8.85546875" style="1"/>
    <col min="4109" max="4109" width="12.28515625" style="1" bestFit="1" customWidth="1"/>
    <col min="4110" max="4110" width="8.85546875" style="1"/>
    <col min="4111" max="4111" width="9.140625" style="1" bestFit="1" customWidth="1"/>
    <col min="4112" max="4355" width="8.85546875" style="1"/>
    <col min="4356" max="4356" width="23.7109375" style="1" customWidth="1"/>
    <col min="4357" max="4357" width="30" style="1" customWidth="1"/>
    <col min="4358" max="4358" width="8.85546875" style="1"/>
    <col min="4359" max="4359" width="16.42578125" style="1" customWidth="1"/>
    <col min="4360" max="4364" width="8.85546875" style="1"/>
    <col min="4365" max="4365" width="12.28515625" style="1" bestFit="1" customWidth="1"/>
    <col min="4366" max="4366" width="8.85546875" style="1"/>
    <col min="4367" max="4367" width="9.140625" style="1" bestFit="1" customWidth="1"/>
    <col min="4368" max="4611" width="8.85546875" style="1"/>
    <col min="4612" max="4612" width="23.7109375" style="1" customWidth="1"/>
    <col min="4613" max="4613" width="30" style="1" customWidth="1"/>
    <col min="4614" max="4614" width="8.85546875" style="1"/>
    <col min="4615" max="4615" width="16.42578125" style="1" customWidth="1"/>
    <col min="4616" max="4620" width="8.85546875" style="1"/>
    <col min="4621" max="4621" width="12.28515625" style="1" bestFit="1" customWidth="1"/>
    <col min="4622" max="4622" width="8.85546875" style="1"/>
    <col min="4623" max="4623" width="9.140625" style="1" bestFit="1" customWidth="1"/>
    <col min="4624" max="4867" width="8.85546875" style="1"/>
    <col min="4868" max="4868" width="23.7109375" style="1" customWidth="1"/>
    <col min="4869" max="4869" width="30" style="1" customWidth="1"/>
    <col min="4870" max="4870" width="8.85546875" style="1"/>
    <col min="4871" max="4871" width="16.42578125" style="1" customWidth="1"/>
    <col min="4872" max="4876" width="8.85546875" style="1"/>
    <col min="4877" max="4877" width="12.28515625" style="1" bestFit="1" customWidth="1"/>
    <col min="4878" max="4878" width="8.85546875" style="1"/>
    <col min="4879" max="4879" width="9.140625" style="1" bestFit="1" customWidth="1"/>
    <col min="4880" max="5123" width="8.85546875" style="1"/>
    <col min="5124" max="5124" width="23.7109375" style="1" customWidth="1"/>
    <col min="5125" max="5125" width="30" style="1" customWidth="1"/>
    <col min="5126" max="5126" width="8.85546875" style="1"/>
    <col min="5127" max="5127" width="16.42578125" style="1" customWidth="1"/>
    <col min="5128" max="5132" width="8.85546875" style="1"/>
    <col min="5133" max="5133" width="12.28515625" style="1" bestFit="1" customWidth="1"/>
    <col min="5134" max="5134" width="8.85546875" style="1"/>
    <col min="5135" max="5135" width="9.140625" style="1" bestFit="1" customWidth="1"/>
    <col min="5136" max="5379" width="8.85546875" style="1"/>
    <col min="5380" max="5380" width="23.7109375" style="1" customWidth="1"/>
    <col min="5381" max="5381" width="30" style="1" customWidth="1"/>
    <col min="5382" max="5382" width="8.85546875" style="1"/>
    <col min="5383" max="5383" width="16.42578125" style="1" customWidth="1"/>
    <col min="5384" max="5388" width="8.85546875" style="1"/>
    <col min="5389" max="5389" width="12.28515625" style="1" bestFit="1" customWidth="1"/>
    <col min="5390" max="5390" width="8.85546875" style="1"/>
    <col min="5391" max="5391" width="9.140625" style="1" bestFit="1" customWidth="1"/>
    <col min="5392" max="5635" width="8.85546875" style="1"/>
    <col min="5636" max="5636" width="23.7109375" style="1" customWidth="1"/>
    <col min="5637" max="5637" width="30" style="1" customWidth="1"/>
    <col min="5638" max="5638" width="8.85546875" style="1"/>
    <col min="5639" max="5639" width="16.42578125" style="1" customWidth="1"/>
    <col min="5640" max="5644" width="8.85546875" style="1"/>
    <col min="5645" max="5645" width="12.28515625" style="1" bestFit="1" customWidth="1"/>
    <col min="5646" max="5646" width="8.85546875" style="1"/>
    <col min="5647" max="5647" width="9.140625" style="1" bestFit="1" customWidth="1"/>
    <col min="5648" max="5891" width="8.85546875" style="1"/>
    <col min="5892" max="5892" width="23.7109375" style="1" customWidth="1"/>
    <col min="5893" max="5893" width="30" style="1" customWidth="1"/>
    <col min="5894" max="5894" width="8.85546875" style="1"/>
    <col min="5895" max="5895" width="16.42578125" style="1" customWidth="1"/>
    <col min="5896" max="5900" width="8.85546875" style="1"/>
    <col min="5901" max="5901" width="12.28515625" style="1" bestFit="1" customWidth="1"/>
    <col min="5902" max="5902" width="8.85546875" style="1"/>
    <col min="5903" max="5903" width="9.140625" style="1" bestFit="1" customWidth="1"/>
    <col min="5904" max="6147" width="8.85546875" style="1"/>
    <col min="6148" max="6148" width="23.7109375" style="1" customWidth="1"/>
    <col min="6149" max="6149" width="30" style="1" customWidth="1"/>
    <col min="6150" max="6150" width="8.85546875" style="1"/>
    <col min="6151" max="6151" width="16.42578125" style="1" customWidth="1"/>
    <col min="6152" max="6156" width="8.85546875" style="1"/>
    <col min="6157" max="6157" width="12.28515625" style="1" bestFit="1" customWidth="1"/>
    <col min="6158" max="6158" width="8.85546875" style="1"/>
    <col min="6159" max="6159" width="9.140625" style="1" bestFit="1" customWidth="1"/>
    <col min="6160" max="6403" width="8.85546875" style="1"/>
    <col min="6404" max="6404" width="23.7109375" style="1" customWidth="1"/>
    <col min="6405" max="6405" width="30" style="1" customWidth="1"/>
    <col min="6406" max="6406" width="8.85546875" style="1"/>
    <col min="6407" max="6407" width="16.42578125" style="1" customWidth="1"/>
    <col min="6408" max="6412" width="8.85546875" style="1"/>
    <col min="6413" max="6413" width="12.28515625" style="1" bestFit="1" customWidth="1"/>
    <col min="6414" max="6414" width="8.85546875" style="1"/>
    <col min="6415" max="6415" width="9.140625" style="1" bestFit="1" customWidth="1"/>
    <col min="6416" max="6659" width="8.85546875" style="1"/>
    <col min="6660" max="6660" width="23.7109375" style="1" customWidth="1"/>
    <col min="6661" max="6661" width="30" style="1" customWidth="1"/>
    <col min="6662" max="6662" width="8.85546875" style="1"/>
    <col min="6663" max="6663" width="16.42578125" style="1" customWidth="1"/>
    <col min="6664" max="6668" width="8.85546875" style="1"/>
    <col min="6669" max="6669" width="12.28515625" style="1" bestFit="1" customWidth="1"/>
    <col min="6670" max="6670" width="8.85546875" style="1"/>
    <col min="6671" max="6671" width="9.140625" style="1" bestFit="1" customWidth="1"/>
    <col min="6672" max="6915" width="8.85546875" style="1"/>
    <col min="6916" max="6916" width="23.7109375" style="1" customWidth="1"/>
    <col min="6917" max="6917" width="30" style="1" customWidth="1"/>
    <col min="6918" max="6918" width="8.85546875" style="1"/>
    <col min="6919" max="6919" width="16.42578125" style="1" customWidth="1"/>
    <col min="6920" max="6924" width="8.85546875" style="1"/>
    <col min="6925" max="6925" width="12.28515625" style="1" bestFit="1" customWidth="1"/>
    <col min="6926" max="6926" width="8.85546875" style="1"/>
    <col min="6927" max="6927" width="9.140625" style="1" bestFit="1" customWidth="1"/>
    <col min="6928" max="7171" width="8.85546875" style="1"/>
    <col min="7172" max="7172" width="23.7109375" style="1" customWidth="1"/>
    <col min="7173" max="7173" width="30" style="1" customWidth="1"/>
    <col min="7174" max="7174" width="8.85546875" style="1"/>
    <col min="7175" max="7175" width="16.42578125" style="1" customWidth="1"/>
    <col min="7176" max="7180" width="8.85546875" style="1"/>
    <col min="7181" max="7181" width="12.28515625" style="1" bestFit="1" customWidth="1"/>
    <col min="7182" max="7182" width="8.85546875" style="1"/>
    <col min="7183" max="7183" width="9.140625" style="1" bestFit="1" customWidth="1"/>
    <col min="7184" max="7427" width="8.85546875" style="1"/>
    <col min="7428" max="7428" width="23.7109375" style="1" customWidth="1"/>
    <col min="7429" max="7429" width="30" style="1" customWidth="1"/>
    <col min="7430" max="7430" width="8.85546875" style="1"/>
    <col min="7431" max="7431" width="16.42578125" style="1" customWidth="1"/>
    <col min="7432" max="7436" width="8.85546875" style="1"/>
    <col min="7437" max="7437" width="12.28515625" style="1" bestFit="1" customWidth="1"/>
    <col min="7438" max="7438" width="8.85546875" style="1"/>
    <col min="7439" max="7439" width="9.140625" style="1" bestFit="1" customWidth="1"/>
    <col min="7440" max="7683" width="8.85546875" style="1"/>
    <col min="7684" max="7684" width="23.7109375" style="1" customWidth="1"/>
    <col min="7685" max="7685" width="30" style="1" customWidth="1"/>
    <col min="7686" max="7686" width="8.85546875" style="1"/>
    <col min="7687" max="7687" width="16.42578125" style="1" customWidth="1"/>
    <col min="7688" max="7692" width="8.85546875" style="1"/>
    <col min="7693" max="7693" width="12.28515625" style="1" bestFit="1" customWidth="1"/>
    <col min="7694" max="7694" width="8.85546875" style="1"/>
    <col min="7695" max="7695" width="9.140625" style="1" bestFit="1" customWidth="1"/>
    <col min="7696" max="7939" width="8.85546875" style="1"/>
    <col min="7940" max="7940" width="23.7109375" style="1" customWidth="1"/>
    <col min="7941" max="7941" width="30" style="1" customWidth="1"/>
    <col min="7942" max="7942" width="8.85546875" style="1"/>
    <col min="7943" max="7943" width="16.42578125" style="1" customWidth="1"/>
    <col min="7944" max="7948" width="8.85546875" style="1"/>
    <col min="7949" max="7949" width="12.28515625" style="1" bestFit="1" customWidth="1"/>
    <col min="7950" max="7950" width="8.85546875" style="1"/>
    <col min="7951" max="7951" width="9.140625" style="1" bestFit="1" customWidth="1"/>
    <col min="7952" max="8195" width="8.85546875" style="1"/>
    <col min="8196" max="8196" width="23.7109375" style="1" customWidth="1"/>
    <col min="8197" max="8197" width="30" style="1" customWidth="1"/>
    <col min="8198" max="8198" width="8.85546875" style="1"/>
    <col min="8199" max="8199" width="16.42578125" style="1" customWidth="1"/>
    <col min="8200" max="8204" width="8.85546875" style="1"/>
    <col min="8205" max="8205" width="12.28515625" style="1" bestFit="1" customWidth="1"/>
    <col min="8206" max="8206" width="8.85546875" style="1"/>
    <col min="8207" max="8207" width="9.140625" style="1" bestFit="1" customWidth="1"/>
    <col min="8208" max="8451" width="8.85546875" style="1"/>
    <col min="8452" max="8452" width="23.7109375" style="1" customWidth="1"/>
    <col min="8453" max="8453" width="30" style="1" customWidth="1"/>
    <col min="8454" max="8454" width="8.85546875" style="1"/>
    <col min="8455" max="8455" width="16.42578125" style="1" customWidth="1"/>
    <col min="8456" max="8460" width="8.85546875" style="1"/>
    <col min="8461" max="8461" width="12.28515625" style="1" bestFit="1" customWidth="1"/>
    <col min="8462" max="8462" width="8.85546875" style="1"/>
    <col min="8463" max="8463" width="9.140625" style="1" bestFit="1" customWidth="1"/>
    <col min="8464" max="8707" width="8.85546875" style="1"/>
    <col min="8708" max="8708" width="23.7109375" style="1" customWidth="1"/>
    <col min="8709" max="8709" width="30" style="1" customWidth="1"/>
    <col min="8710" max="8710" width="8.85546875" style="1"/>
    <col min="8711" max="8711" width="16.42578125" style="1" customWidth="1"/>
    <col min="8712" max="8716" width="8.85546875" style="1"/>
    <col min="8717" max="8717" width="12.28515625" style="1" bestFit="1" customWidth="1"/>
    <col min="8718" max="8718" width="8.85546875" style="1"/>
    <col min="8719" max="8719" width="9.140625" style="1" bestFit="1" customWidth="1"/>
    <col min="8720" max="8963" width="8.85546875" style="1"/>
    <col min="8964" max="8964" width="23.7109375" style="1" customWidth="1"/>
    <col min="8965" max="8965" width="30" style="1" customWidth="1"/>
    <col min="8966" max="8966" width="8.85546875" style="1"/>
    <col min="8967" max="8967" width="16.42578125" style="1" customWidth="1"/>
    <col min="8968" max="8972" width="8.85546875" style="1"/>
    <col min="8973" max="8973" width="12.28515625" style="1" bestFit="1" customWidth="1"/>
    <col min="8974" max="8974" width="8.85546875" style="1"/>
    <col min="8975" max="8975" width="9.140625" style="1" bestFit="1" customWidth="1"/>
    <col min="8976" max="9219" width="8.85546875" style="1"/>
    <col min="9220" max="9220" width="23.7109375" style="1" customWidth="1"/>
    <col min="9221" max="9221" width="30" style="1" customWidth="1"/>
    <col min="9222" max="9222" width="8.85546875" style="1"/>
    <col min="9223" max="9223" width="16.42578125" style="1" customWidth="1"/>
    <col min="9224" max="9228" width="8.85546875" style="1"/>
    <col min="9229" max="9229" width="12.28515625" style="1" bestFit="1" customWidth="1"/>
    <col min="9230" max="9230" width="8.85546875" style="1"/>
    <col min="9231" max="9231" width="9.140625" style="1" bestFit="1" customWidth="1"/>
    <col min="9232" max="9475" width="8.85546875" style="1"/>
    <col min="9476" max="9476" width="23.7109375" style="1" customWidth="1"/>
    <col min="9477" max="9477" width="30" style="1" customWidth="1"/>
    <col min="9478" max="9478" width="8.85546875" style="1"/>
    <col min="9479" max="9479" width="16.42578125" style="1" customWidth="1"/>
    <col min="9480" max="9484" width="8.85546875" style="1"/>
    <col min="9485" max="9485" width="12.28515625" style="1" bestFit="1" customWidth="1"/>
    <col min="9486" max="9486" width="8.85546875" style="1"/>
    <col min="9487" max="9487" width="9.140625" style="1" bestFit="1" customWidth="1"/>
    <col min="9488" max="9731" width="8.85546875" style="1"/>
    <col min="9732" max="9732" width="23.7109375" style="1" customWidth="1"/>
    <col min="9733" max="9733" width="30" style="1" customWidth="1"/>
    <col min="9734" max="9734" width="8.85546875" style="1"/>
    <col min="9735" max="9735" width="16.42578125" style="1" customWidth="1"/>
    <col min="9736" max="9740" width="8.85546875" style="1"/>
    <col min="9741" max="9741" width="12.28515625" style="1" bestFit="1" customWidth="1"/>
    <col min="9742" max="9742" width="8.85546875" style="1"/>
    <col min="9743" max="9743" width="9.140625" style="1" bestFit="1" customWidth="1"/>
    <col min="9744" max="9987" width="8.85546875" style="1"/>
    <col min="9988" max="9988" width="23.7109375" style="1" customWidth="1"/>
    <col min="9989" max="9989" width="30" style="1" customWidth="1"/>
    <col min="9990" max="9990" width="8.85546875" style="1"/>
    <col min="9991" max="9991" width="16.42578125" style="1" customWidth="1"/>
    <col min="9992" max="9996" width="8.85546875" style="1"/>
    <col min="9997" max="9997" width="12.28515625" style="1" bestFit="1" customWidth="1"/>
    <col min="9998" max="9998" width="8.85546875" style="1"/>
    <col min="9999" max="9999" width="9.140625" style="1" bestFit="1" customWidth="1"/>
    <col min="10000" max="10243" width="8.85546875" style="1"/>
    <col min="10244" max="10244" width="23.7109375" style="1" customWidth="1"/>
    <col min="10245" max="10245" width="30" style="1" customWidth="1"/>
    <col min="10246" max="10246" width="8.85546875" style="1"/>
    <col min="10247" max="10247" width="16.42578125" style="1" customWidth="1"/>
    <col min="10248" max="10252" width="8.85546875" style="1"/>
    <col min="10253" max="10253" width="12.28515625" style="1" bestFit="1" customWidth="1"/>
    <col min="10254" max="10254" width="8.85546875" style="1"/>
    <col min="10255" max="10255" width="9.140625" style="1" bestFit="1" customWidth="1"/>
    <col min="10256" max="10499" width="8.85546875" style="1"/>
    <col min="10500" max="10500" width="23.7109375" style="1" customWidth="1"/>
    <col min="10501" max="10501" width="30" style="1" customWidth="1"/>
    <col min="10502" max="10502" width="8.85546875" style="1"/>
    <col min="10503" max="10503" width="16.42578125" style="1" customWidth="1"/>
    <col min="10504" max="10508" width="8.85546875" style="1"/>
    <col min="10509" max="10509" width="12.28515625" style="1" bestFit="1" customWidth="1"/>
    <col min="10510" max="10510" width="8.85546875" style="1"/>
    <col min="10511" max="10511" width="9.140625" style="1" bestFit="1" customWidth="1"/>
    <col min="10512" max="10755" width="8.85546875" style="1"/>
    <col min="10756" max="10756" width="23.7109375" style="1" customWidth="1"/>
    <col min="10757" max="10757" width="30" style="1" customWidth="1"/>
    <col min="10758" max="10758" width="8.85546875" style="1"/>
    <col min="10759" max="10759" width="16.42578125" style="1" customWidth="1"/>
    <col min="10760" max="10764" width="8.85546875" style="1"/>
    <col min="10765" max="10765" width="12.28515625" style="1" bestFit="1" customWidth="1"/>
    <col min="10766" max="10766" width="8.85546875" style="1"/>
    <col min="10767" max="10767" width="9.140625" style="1" bestFit="1" customWidth="1"/>
    <col min="10768" max="11011" width="8.85546875" style="1"/>
    <col min="11012" max="11012" width="23.7109375" style="1" customWidth="1"/>
    <col min="11013" max="11013" width="30" style="1" customWidth="1"/>
    <col min="11014" max="11014" width="8.85546875" style="1"/>
    <col min="11015" max="11015" width="16.42578125" style="1" customWidth="1"/>
    <col min="11016" max="11020" width="8.85546875" style="1"/>
    <col min="11021" max="11021" width="12.28515625" style="1" bestFit="1" customWidth="1"/>
    <col min="11022" max="11022" width="8.85546875" style="1"/>
    <col min="11023" max="11023" width="9.140625" style="1" bestFit="1" customWidth="1"/>
    <col min="11024" max="11267" width="8.85546875" style="1"/>
    <col min="11268" max="11268" width="23.7109375" style="1" customWidth="1"/>
    <col min="11269" max="11269" width="30" style="1" customWidth="1"/>
    <col min="11270" max="11270" width="8.85546875" style="1"/>
    <col min="11271" max="11271" width="16.42578125" style="1" customWidth="1"/>
    <col min="11272" max="11276" width="8.85546875" style="1"/>
    <col min="11277" max="11277" width="12.28515625" style="1" bestFit="1" customWidth="1"/>
    <col min="11278" max="11278" width="8.85546875" style="1"/>
    <col min="11279" max="11279" width="9.140625" style="1" bestFit="1" customWidth="1"/>
    <col min="11280" max="11523" width="8.85546875" style="1"/>
    <col min="11524" max="11524" width="23.7109375" style="1" customWidth="1"/>
    <col min="11525" max="11525" width="30" style="1" customWidth="1"/>
    <col min="11526" max="11526" width="8.85546875" style="1"/>
    <col min="11527" max="11527" width="16.42578125" style="1" customWidth="1"/>
    <col min="11528" max="11532" width="8.85546875" style="1"/>
    <col min="11533" max="11533" width="12.28515625" style="1" bestFit="1" customWidth="1"/>
    <col min="11534" max="11534" width="8.85546875" style="1"/>
    <col min="11535" max="11535" width="9.140625" style="1" bestFit="1" customWidth="1"/>
    <col min="11536" max="11779" width="8.85546875" style="1"/>
    <col min="11780" max="11780" width="23.7109375" style="1" customWidth="1"/>
    <col min="11781" max="11781" width="30" style="1" customWidth="1"/>
    <col min="11782" max="11782" width="8.85546875" style="1"/>
    <col min="11783" max="11783" width="16.42578125" style="1" customWidth="1"/>
    <col min="11784" max="11788" width="8.85546875" style="1"/>
    <col min="11789" max="11789" width="12.28515625" style="1" bestFit="1" customWidth="1"/>
    <col min="11790" max="11790" width="8.85546875" style="1"/>
    <col min="11791" max="11791" width="9.140625" style="1" bestFit="1" customWidth="1"/>
    <col min="11792" max="12035" width="8.85546875" style="1"/>
    <col min="12036" max="12036" width="23.7109375" style="1" customWidth="1"/>
    <col min="12037" max="12037" width="30" style="1" customWidth="1"/>
    <col min="12038" max="12038" width="8.85546875" style="1"/>
    <col min="12039" max="12039" width="16.42578125" style="1" customWidth="1"/>
    <col min="12040" max="12044" width="8.85546875" style="1"/>
    <col min="12045" max="12045" width="12.28515625" style="1" bestFit="1" customWidth="1"/>
    <col min="12046" max="12046" width="8.85546875" style="1"/>
    <col min="12047" max="12047" width="9.140625" style="1" bestFit="1" customWidth="1"/>
    <col min="12048" max="12291" width="8.85546875" style="1"/>
    <col min="12292" max="12292" width="23.7109375" style="1" customWidth="1"/>
    <col min="12293" max="12293" width="30" style="1" customWidth="1"/>
    <col min="12294" max="12294" width="8.85546875" style="1"/>
    <col min="12295" max="12295" width="16.42578125" style="1" customWidth="1"/>
    <col min="12296" max="12300" width="8.85546875" style="1"/>
    <col min="12301" max="12301" width="12.28515625" style="1" bestFit="1" customWidth="1"/>
    <col min="12302" max="12302" width="8.85546875" style="1"/>
    <col min="12303" max="12303" width="9.140625" style="1" bestFit="1" customWidth="1"/>
    <col min="12304" max="12547" width="8.85546875" style="1"/>
    <col min="12548" max="12548" width="23.7109375" style="1" customWidth="1"/>
    <col min="12549" max="12549" width="30" style="1" customWidth="1"/>
    <col min="12550" max="12550" width="8.85546875" style="1"/>
    <col min="12551" max="12551" width="16.42578125" style="1" customWidth="1"/>
    <col min="12552" max="12556" width="8.85546875" style="1"/>
    <col min="12557" max="12557" width="12.28515625" style="1" bestFit="1" customWidth="1"/>
    <col min="12558" max="12558" width="8.85546875" style="1"/>
    <col min="12559" max="12559" width="9.140625" style="1" bestFit="1" customWidth="1"/>
    <col min="12560" max="12803" width="8.85546875" style="1"/>
    <col min="12804" max="12804" width="23.7109375" style="1" customWidth="1"/>
    <col min="12805" max="12805" width="30" style="1" customWidth="1"/>
    <col min="12806" max="12806" width="8.85546875" style="1"/>
    <col min="12807" max="12807" width="16.42578125" style="1" customWidth="1"/>
    <col min="12808" max="12812" width="8.85546875" style="1"/>
    <col min="12813" max="12813" width="12.28515625" style="1" bestFit="1" customWidth="1"/>
    <col min="12814" max="12814" width="8.85546875" style="1"/>
    <col min="12815" max="12815" width="9.140625" style="1" bestFit="1" customWidth="1"/>
    <col min="12816" max="13059" width="8.85546875" style="1"/>
    <col min="13060" max="13060" width="23.7109375" style="1" customWidth="1"/>
    <col min="13061" max="13061" width="30" style="1" customWidth="1"/>
    <col min="13062" max="13062" width="8.85546875" style="1"/>
    <col min="13063" max="13063" width="16.42578125" style="1" customWidth="1"/>
    <col min="13064" max="13068" width="8.85546875" style="1"/>
    <col min="13069" max="13069" width="12.28515625" style="1" bestFit="1" customWidth="1"/>
    <col min="13070" max="13070" width="8.85546875" style="1"/>
    <col min="13071" max="13071" width="9.140625" style="1" bestFit="1" customWidth="1"/>
    <col min="13072" max="13315" width="8.85546875" style="1"/>
    <col min="13316" max="13316" width="23.7109375" style="1" customWidth="1"/>
    <col min="13317" max="13317" width="30" style="1" customWidth="1"/>
    <col min="13318" max="13318" width="8.85546875" style="1"/>
    <col min="13319" max="13319" width="16.42578125" style="1" customWidth="1"/>
    <col min="13320" max="13324" width="8.85546875" style="1"/>
    <col min="13325" max="13325" width="12.28515625" style="1" bestFit="1" customWidth="1"/>
    <col min="13326" max="13326" width="8.85546875" style="1"/>
    <col min="13327" max="13327" width="9.140625" style="1" bestFit="1" customWidth="1"/>
    <col min="13328" max="13571" width="8.85546875" style="1"/>
    <col min="13572" max="13572" width="23.7109375" style="1" customWidth="1"/>
    <col min="13573" max="13573" width="30" style="1" customWidth="1"/>
    <col min="13574" max="13574" width="8.85546875" style="1"/>
    <col min="13575" max="13575" width="16.42578125" style="1" customWidth="1"/>
    <col min="13576" max="13580" width="8.85546875" style="1"/>
    <col min="13581" max="13581" width="12.28515625" style="1" bestFit="1" customWidth="1"/>
    <col min="13582" max="13582" width="8.85546875" style="1"/>
    <col min="13583" max="13583" width="9.140625" style="1" bestFit="1" customWidth="1"/>
    <col min="13584" max="13827" width="8.85546875" style="1"/>
    <col min="13828" max="13828" width="23.7109375" style="1" customWidth="1"/>
    <col min="13829" max="13829" width="30" style="1" customWidth="1"/>
    <col min="13830" max="13830" width="8.85546875" style="1"/>
    <col min="13831" max="13831" width="16.42578125" style="1" customWidth="1"/>
    <col min="13832" max="13836" width="8.85546875" style="1"/>
    <col min="13837" max="13837" width="12.28515625" style="1" bestFit="1" customWidth="1"/>
    <col min="13838" max="13838" width="8.85546875" style="1"/>
    <col min="13839" max="13839" width="9.140625" style="1" bestFit="1" customWidth="1"/>
    <col min="13840" max="14083" width="8.85546875" style="1"/>
    <col min="14084" max="14084" width="23.7109375" style="1" customWidth="1"/>
    <col min="14085" max="14085" width="30" style="1" customWidth="1"/>
    <col min="14086" max="14086" width="8.85546875" style="1"/>
    <col min="14087" max="14087" width="16.42578125" style="1" customWidth="1"/>
    <col min="14088" max="14092" width="8.85546875" style="1"/>
    <col min="14093" max="14093" width="12.28515625" style="1" bestFit="1" customWidth="1"/>
    <col min="14094" max="14094" width="8.85546875" style="1"/>
    <col min="14095" max="14095" width="9.140625" style="1" bestFit="1" customWidth="1"/>
    <col min="14096" max="14339" width="8.85546875" style="1"/>
    <col min="14340" max="14340" width="23.7109375" style="1" customWidth="1"/>
    <col min="14341" max="14341" width="30" style="1" customWidth="1"/>
    <col min="14342" max="14342" width="8.85546875" style="1"/>
    <col min="14343" max="14343" width="16.42578125" style="1" customWidth="1"/>
    <col min="14344" max="14348" width="8.85546875" style="1"/>
    <col min="14349" max="14349" width="12.28515625" style="1" bestFit="1" customWidth="1"/>
    <col min="14350" max="14350" width="8.85546875" style="1"/>
    <col min="14351" max="14351" width="9.140625" style="1" bestFit="1" customWidth="1"/>
    <col min="14352" max="14595" width="8.85546875" style="1"/>
    <col min="14596" max="14596" width="23.7109375" style="1" customWidth="1"/>
    <col min="14597" max="14597" width="30" style="1" customWidth="1"/>
    <col min="14598" max="14598" width="8.85546875" style="1"/>
    <col min="14599" max="14599" width="16.42578125" style="1" customWidth="1"/>
    <col min="14600" max="14604" width="8.85546875" style="1"/>
    <col min="14605" max="14605" width="12.28515625" style="1" bestFit="1" customWidth="1"/>
    <col min="14606" max="14606" width="8.85546875" style="1"/>
    <col min="14607" max="14607" width="9.140625" style="1" bestFit="1" customWidth="1"/>
    <col min="14608" max="14851" width="8.85546875" style="1"/>
    <col min="14852" max="14852" width="23.7109375" style="1" customWidth="1"/>
    <col min="14853" max="14853" width="30" style="1" customWidth="1"/>
    <col min="14854" max="14854" width="8.85546875" style="1"/>
    <col min="14855" max="14855" width="16.42578125" style="1" customWidth="1"/>
    <col min="14856" max="14860" width="8.85546875" style="1"/>
    <col min="14861" max="14861" width="12.28515625" style="1" bestFit="1" customWidth="1"/>
    <col min="14862" max="14862" width="8.85546875" style="1"/>
    <col min="14863" max="14863" width="9.140625" style="1" bestFit="1" customWidth="1"/>
    <col min="14864" max="15107" width="8.85546875" style="1"/>
    <col min="15108" max="15108" width="23.7109375" style="1" customWidth="1"/>
    <col min="15109" max="15109" width="30" style="1" customWidth="1"/>
    <col min="15110" max="15110" width="8.85546875" style="1"/>
    <col min="15111" max="15111" width="16.42578125" style="1" customWidth="1"/>
    <col min="15112" max="15116" width="8.85546875" style="1"/>
    <col min="15117" max="15117" width="12.28515625" style="1" bestFit="1" customWidth="1"/>
    <col min="15118" max="15118" width="8.85546875" style="1"/>
    <col min="15119" max="15119" width="9.140625" style="1" bestFit="1" customWidth="1"/>
    <col min="15120" max="15363" width="8.85546875" style="1"/>
    <col min="15364" max="15364" width="23.7109375" style="1" customWidth="1"/>
    <col min="15365" max="15365" width="30" style="1" customWidth="1"/>
    <col min="15366" max="15366" width="8.85546875" style="1"/>
    <col min="15367" max="15367" width="16.42578125" style="1" customWidth="1"/>
    <col min="15368" max="15372" width="8.85546875" style="1"/>
    <col min="15373" max="15373" width="12.28515625" style="1" bestFit="1" customWidth="1"/>
    <col min="15374" max="15374" width="8.85546875" style="1"/>
    <col min="15375" max="15375" width="9.140625" style="1" bestFit="1" customWidth="1"/>
    <col min="15376" max="15619" width="8.85546875" style="1"/>
    <col min="15620" max="15620" width="23.7109375" style="1" customWidth="1"/>
    <col min="15621" max="15621" width="30" style="1" customWidth="1"/>
    <col min="15622" max="15622" width="8.85546875" style="1"/>
    <col min="15623" max="15623" width="16.42578125" style="1" customWidth="1"/>
    <col min="15624" max="15628" width="8.85546875" style="1"/>
    <col min="15629" max="15629" width="12.28515625" style="1" bestFit="1" customWidth="1"/>
    <col min="15630" max="15630" width="8.85546875" style="1"/>
    <col min="15631" max="15631" width="9.140625" style="1" bestFit="1" customWidth="1"/>
    <col min="15632" max="15875" width="8.85546875" style="1"/>
    <col min="15876" max="15876" width="23.7109375" style="1" customWidth="1"/>
    <col min="15877" max="15877" width="30" style="1" customWidth="1"/>
    <col min="15878" max="15878" width="8.85546875" style="1"/>
    <col min="15879" max="15879" width="16.42578125" style="1" customWidth="1"/>
    <col min="15880" max="15884" width="8.85546875" style="1"/>
    <col min="15885" max="15885" width="12.28515625" style="1" bestFit="1" customWidth="1"/>
    <col min="15886" max="15886" width="8.85546875" style="1"/>
    <col min="15887" max="15887" width="9.140625" style="1" bestFit="1" customWidth="1"/>
    <col min="15888" max="16131" width="8.85546875" style="1"/>
    <col min="16132" max="16132" width="23.7109375" style="1" customWidth="1"/>
    <col min="16133" max="16133" width="30" style="1" customWidth="1"/>
    <col min="16134" max="16134" width="8.85546875" style="1"/>
    <col min="16135" max="16135" width="16.42578125" style="1" customWidth="1"/>
    <col min="16136" max="16140" width="8.85546875" style="1"/>
    <col min="16141" max="16141" width="12.28515625" style="1" bestFit="1" customWidth="1"/>
    <col min="16142" max="16142" width="8.85546875" style="1"/>
    <col min="16143" max="16143" width="9.140625" style="1" bestFit="1" customWidth="1"/>
    <col min="16144" max="16384" width="8.85546875" style="1"/>
  </cols>
  <sheetData>
    <row r="3" spans="1:18" x14ac:dyDescent="0.35">
      <c r="A3" s="1" t="s">
        <v>33</v>
      </c>
    </row>
    <row r="4" spans="1:18" x14ac:dyDescent="0.35">
      <c r="A4" s="1" t="s">
        <v>34</v>
      </c>
      <c r="D4" s="3"/>
    </row>
    <row r="5" spans="1:18" x14ac:dyDescent="0.35">
      <c r="A5" s="1" t="s">
        <v>35</v>
      </c>
    </row>
    <row r="6" spans="1:18" x14ac:dyDescent="0.35">
      <c r="A6" s="1" t="s">
        <v>36</v>
      </c>
      <c r="I6" s="1" t="s">
        <v>38</v>
      </c>
      <c r="L6" s="1" t="s">
        <v>39</v>
      </c>
      <c r="O6" s="1" t="s">
        <v>62</v>
      </c>
    </row>
    <row r="7" spans="1:18" ht="21.75" thickBot="1" x14ac:dyDescent="0.4">
      <c r="F7" s="4" t="s">
        <v>37</v>
      </c>
      <c r="G7" s="4"/>
      <c r="I7" s="10" t="s">
        <v>13</v>
      </c>
      <c r="J7" s="10" t="s">
        <v>45</v>
      </c>
      <c r="L7" s="1" t="s">
        <v>15</v>
      </c>
      <c r="M7" s="10" t="s">
        <v>46</v>
      </c>
      <c r="N7" s="10"/>
      <c r="O7" s="1" t="s">
        <v>47</v>
      </c>
      <c r="P7" s="10"/>
    </row>
    <row r="8" spans="1:18" x14ac:dyDescent="0.35">
      <c r="D8" s="1" t="s">
        <v>41</v>
      </c>
      <c r="E8" s="5" t="s">
        <v>42</v>
      </c>
      <c r="F8" s="5" t="s">
        <v>43</v>
      </c>
      <c r="G8" s="5" t="s">
        <v>44</v>
      </c>
    </row>
    <row r="9" spans="1:18" x14ac:dyDescent="0.35">
      <c r="D9" s="1">
        <v>0.2</v>
      </c>
      <c r="E9" s="1" t="s">
        <v>48</v>
      </c>
      <c r="F9" s="1">
        <v>-50</v>
      </c>
      <c r="G9" s="1">
        <v>-100</v>
      </c>
      <c r="I9" s="1">
        <f>D9*F9</f>
        <v>-10</v>
      </c>
      <c r="J9" s="1">
        <f>D9*G9</f>
        <v>-20</v>
      </c>
      <c r="L9" s="1">
        <f>D9*(F9-I$13)^2</f>
        <v>2832.2000000000003</v>
      </c>
      <c r="M9" s="1">
        <f>D9*(G9-J$13)^2</f>
        <v>4560.2</v>
      </c>
      <c r="N9" s="6"/>
      <c r="O9" s="1">
        <f>D9*F9*G9</f>
        <v>1000</v>
      </c>
    </row>
    <row r="10" spans="1:18" x14ac:dyDescent="0.35">
      <c r="D10" s="1">
        <v>0.2</v>
      </c>
      <c r="E10" s="1" t="s">
        <v>49</v>
      </c>
      <c r="F10" s="1">
        <v>20</v>
      </c>
      <c r="G10" s="1">
        <v>-50</v>
      </c>
      <c r="I10" s="1">
        <f t="shared" ref="I10:I12" si="0">D10*F10</f>
        <v>4</v>
      </c>
      <c r="J10" s="1">
        <f t="shared" ref="J10:J12" si="1">D10*G10</f>
        <v>-10</v>
      </c>
      <c r="L10" s="1">
        <f>D10*(F10-I$13)^2</f>
        <v>480.20000000000005</v>
      </c>
      <c r="M10" s="1">
        <f>D10*(G10-J$13)^2</f>
        <v>2040.2</v>
      </c>
      <c r="N10" s="6"/>
      <c r="O10" s="1">
        <f>D10*F10*G10</f>
        <v>-200</v>
      </c>
    </row>
    <row r="11" spans="1:18" x14ac:dyDescent="0.35">
      <c r="D11" s="1">
        <v>0.3</v>
      </c>
      <c r="E11" s="1" t="s">
        <v>50</v>
      </c>
      <c r="F11" s="1">
        <v>100</v>
      </c>
      <c r="G11" s="1">
        <v>120</v>
      </c>
      <c r="I11" s="1">
        <f t="shared" si="0"/>
        <v>30</v>
      </c>
      <c r="J11" s="1">
        <f t="shared" si="1"/>
        <v>36</v>
      </c>
      <c r="L11" s="1">
        <f>D11*(F11-I$13)^2</f>
        <v>288.3</v>
      </c>
      <c r="M11" s="1">
        <f>D11*(G11-J$13)^2</f>
        <v>1428.3</v>
      </c>
      <c r="N11" s="6"/>
      <c r="O11" s="1">
        <f>D11*F11*G11</f>
        <v>3600</v>
      </c>
    </row>
    <row r="12" spans="1:18" x14ac:dyDescent="0.35">
      <c r="D12" s="1">
        <v>0.3</v>
      </c>
      <c r="E12" s="1" t="s">
        <v>51</v>
      </c>
      <c r="F12" s="1">
        <v>150</v>
      </c>
      <c r="G12" s="1">
        <v>150</v>
      </c>
      <c r="I12" s="1">
        <f t="shared" si="0"/>
        <v>45</v>
      </c>
      <c r="J12" s="1">
        <f t="shared" si="1"/>
        <v>45</v>
      </c>
      <c r="L12" s="1">
        <f>D12*(F12-I$13)^2</f>
        <v>1968.3</v>
      </c>
      <c r="M12" s="1">
        <f>D12*(G12-J$13)^2</f>
        <v>2940.2999999999997</v>
      </c>
      <c r="N12" s="6"/>
      <c r="O12" s="1">
        <f>D12*F12*G12</f>
        <v>6750</v>
      </c>
    </row>
    <row r="13" spans="1:18" x14ac:dyDescent="0.35">
      <c r="I13" s="7">
        <f>SUM(I9:I12)</f>
        <v>69</v>
      </c>
      <c r="J13" s="8">
        <f>SUM(J9:J12)</f>
        <v>51</v>
      </c>
      <c r="L13" s="8">
        <f>SUM(L9:L12)</f>
        <v>5569.0000000000009</v>
      </c>
      <c r="M13" s="8">
        <f>SUM(M9:M12)</f>
        <v>10969</v>
      </c>
      <c r="N13" s="8"/>
      <c r="O13" s="8">
        <f>SUM(O9:O12)-I13*J13</f>
        <v>7631</v>
      </c>
      <c r="P13" s="7"/>
    </row>
    <row r="14" spans="1:18" x14ac:dyDescent="0.35">
      <c r="R14" s="1" t="s">
        <v>65</v>
      </c>
    </row>
    <row r="15" spans="1:18" x14ac:dyDescent="0.35">
      <c r="J15" s="9"/>
      <c r="K15" s="1" t="s">
        <v>6</v>
      </c>
      <c r="L15" s="8">
        <f>SQRT(L13)</f>
        <v>74.625732827222549</v>
      </c>
      <c r="M15" s="8">
        <f>SQRT(M13)</f>
        <v>104.73299384625649</v>
      </c>
      <c r="R15" s="1" t="s">
        <v>66</v>
      </c>
    </row>
    <row r="16" spans="1:18" x14ac:dyDescent="0.35">
      <c r="A16" s="1" t="s">
        <v>52</v>
      </c>
    </row>
    <row r="17" spans="1:11" x14ac:dyDescent="0.35">
      <c r="A17" s="1" t="s">
        <v>53</v>
      </c>
    </row>
    <row r="18" spans="1:11" x14ac:dyDescent="0.35">
      <c r="A18" s="1" t="s">
        <v>54</v>
      </c>
      <c r="H18" s="1" t="s">
        <v>60</v>
      </c>
      <c r="I18" s="1" t="s">
        <v>61</v>
      </c>
    </row>
    <row r="19" spans="1:11" x14ac:dyDescent="0.35">
      <c r="A19" s="1" t="s">
        <v>55</v>
      </c>
      <c r="I19" s="1" t="s">
        <v>57</v>
      </c>
      <c r="K19" s="1" t="s">
        <v>64</v>
      </c>
    </row>
    <row r="20" spans="1:11" x14ac:dyDescent="0.35">
      <c r="A20" s="1" t="s">
        <v>56</v>
      </c>
      <c r="H20" s="1" t="s">
        <v>63</v>
      </c>
      <c r="J20" s="8">
        <f>0.6*I13+0.4*J13</f>
        <v>61.8</v>
      </c>
    </row>
    <row r="21" spans="1:11" x14ac:dyDescent="0.35">
      <c r="E21" s="9"/>
      <c r="H21" s="1" t="s">
        <v>59</v>
      </c>
      <c r="I21" s="8">
        <f>SQRT(0.6^2*L13+0.4^2*M13+2*0.6*0.4*O13)</f>
        <v>86.155440919305846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DD4C-3313-42F3-B70C-17744DF3DC26}">
  <dimension ref="A5:P19"/>
  <sheetViews>
    <sheetView zoomScale="160" zoomScaleNormal="160" workbookViewId="0">
      <selection activeCell="M18" sqref="M18"/>
    </sheetView>
  </sheetViews>
  <sheetFormatPr defaultRowHeight="15" x14ac:dyDescent="0.25"/>
  <sheetData>
    <row r="5" spans="1:16" x14ac:dyDescent="0.25">
      <c r="C5" t="s">
        <v>67</v>
      </c>
    </row>
    <row r="6" spans="1:16" x14ac:dyDescent="0.25">
      <c r="G6" t="s">
        <v>38</v>
      </c>
      <c r="J6" t="s">
        <v>39</v>
      </c>
      <c r="M6" t="s">
        <v>40</v>
      </c>
    </row>
    <row r="7" spans="1:16" x14ac:dyDescent="0.25">
      <c r="C7" t="s">
        <v>68</v>
      </c>
      <c r="D7" t="s">
        <v>69</v>
      </c>
      <c r="E7" t="s">
        <v>70</v>
      </c>
      <c r="G7" t="s">
        <v>13</v>
      </c>
      <c r="H7" t="s">
        <v>45</v>
      </c>
      <c r="J7" t="s">
        <v>15</v>
      </c>
      <c r="K7" t="s">
        <v>46</v>
      </c>
      <c r="M7" t="s">
        <v>47</v>
      </c>
    </row>
    <row r="8" spans="1:16" x14ac:dyDescent="0.25">
      <c r="C8">
        <v>0.2</v>
      </c>
      <c r="D8">
        <v>-100</v>
      </c>
      <c r="E8">
        <v>50</v>
      </c>
      <c r="G8">
        <f>C8*D8</f>
        <v>-20</v>
      </c>
      <c r="H8">
        <f>C8*E8</f>
        <v>10</v>
      </c>
      <c r="J8">
        <f>C8*(D8-G$12)^2</f>
        <v>7220</v>
      </c>
      <c r="K8">
        <f>C8*(E8-H$12)^2</f>
        <v>80</v>
      </c>
      <c r="M8">
        <f>C8*D8*E8</f>
        <v>-1000</v>
      </c>
    </row>
    <row r="9" spans="1:16" x14ac:dyDescent="0.25">
      <c r="C9">
        <v>0.4</v>
      </c>
      <c r="D9">
        <v>50</v>
      </c>
      <c r="E9">
        <v>30</v>
      </c>
      <c r="G9">
        <f t="shared" ref="G9:G11" si="0">C9*D9</f>
        <v>20</v>
      </c>
      <c r="H9">
        <f t="shared" ref="H9:H11" si="1">C9*E9</f>
        <v>12</v>
      </c>
      <c r="J9">
        <f t="shared" ref="J9:J11" si="2">C9*(D9-G$12)^2</f>
        <v>640</v>
      </c>
      <c r="K9">
        <f t="shared" ref="K9:K10" si="3">C9*(E9-H$12)^2</f>
        <v>0</v>
      </c>
      <c r="M9">
        <f t="shared" ref="M9:M11" si="4">C9*D9*E9</f>
        <v>600</v>
      </c>
    </row>
    <row r="10" spans="1:16" x14ac:dyDescent="0.25">
      <c r="C10">
        <v>0.3</v>
      </c>
      <c r="D10">
        <v>200</v>
      </c>
      <c r="E10">
        <v>20</v>
      </c>
      <c r="G10">
        <f t="shared" si="0"/>
        <v>60</v>
      </c>
      <c r="H10">
        <f t="shared" si="1"/>
        <v>6</v>
      </c>
      <c r="J10">
        <f t="shared" si="2"/>
        <v>3630</v>
      </c>
      <c r="K10">
        <f t="shared" si="3"/>
        <v>30</v>
      </c>
      <c r="M10">
        <f t="shared" si="4"/>
        <v>1200</v>
      </c>
    </row>
    <row r="11" spans="1:16" x14ac:dyDescent="0.25">
      <c r="C11">
        <v>0.1</v>
      </c>
      <c r="D11">
        <v>300</v>
      </c>
      <c r="E11">
        <v>20</v>
      </c>
      <c r="G11">
        <f t="shared" si="0"/>
        <v>30</v>
      </c>
      <c r="H11">
        <f t="shared" si="1"/>
        <v>2</v>
      </c>
      <c r="J11">
        <f t="shared" si="2"/>
        <v>4410</v>
      </c>
      <c r="K11">
        <f>C11*(E11-H$12)^2</f>
        <v>10</v>
      </c>
      <c r="M11">
        <f t="shared" si="4"/>
        <v>600</v>
      </c>
    </row>
    <row r="12" spans="1:16" x14ac:dyDescent="0.25">
      <c r="G12" s="13">
        <f>SUM(G8:G11)</f>
        <v>90</v>
      </c>
      <c r="H12" s="13">
        <f>SUM(H8:H11)</f>
        <v>30</v>
      </c>
      <c r="J12" s="13">
        <f>SUM(J8:J11)</f>
        <v>15900</v>
      </c>
      <c r="K12" s="13">
        <f>SUM(K8:K11)</f>
        <v>120</v>
      </c>
      <c r="M12" s="13">
        <f>SUM(M8:M11)-G12*H12</f>
        <v>-1300</v>
      </c>
    </row>
    <row r="13" spans="1:16" ht="18.75" x14ac:dyDescent="0.3">
      <c r="G13" s="2"/>
      <c r="I13" t="s">
        <v>6</v>
      </c>
      <c r="J13">
        <f>SQRT(J12)</f>
        <v>126.09520212918491</v>
      </c>
      <c r="K13">
        <f>SQRT(K12)</f>
        <v>10.954451150103322</v>
      </c>
      <c r="O13" t="s">
        <v>73</v>
      </c>
    </row>
    <row r="14" spans="1:16" ht="18.75" x14ac:dyDescent="0.3">
      <c r="G14" s="2"/>
      <c r="O14">
        <f>J13/G12</f>
        <v>1.4010578014353878</v>
      </c>
    </row>
    <row r="15" spans="1:16" ht="18.75" x14ac:dyDescent="0.3">
      <c r="A15" s="11" t="s">
        <v>52</v>
      </c>
      <c r="B15" s="11"/>
      <c r="C15" s="11"/>
      <c r="D15" s="11"/>
      <c r="E15" s="11"/>
      <c r="F15" s="2"/>
      <c r="G15" s="2"/>
      <c r="O15">
        <f>K13/H12</f>
        <v>0.36514837167011077</v>
      </c>
      <c r="P15" t="s">
        <v>74</v>
      </c>
    </row>
    <row r="16" spans="1:16" ht="18.75" x14ac:dyDescent="0.3">
      <c r="A16" s="11" t="s">
        <v>53</v>
      </c>
      <c r="B16" s="11"/>
      <c r="C16" s="11"/>
      <c r="D16" s="11"/>
      <c r="E16" s="11"/>
      <c r="F16" s="2"/>
      <c r="G16" s="2"/>
      <c r="I16" t="s">
        <v>58</v>
      </c>
      <c r="K16" s="13">
        <f>0.7*G12+0.3*H12</f>
        <v>72</v>
      </c>
    </row>
    <row r="17" spans="1:11" ht="18.75" x14ac:dyDescent="0.3">
      <c r="A17" s="11" t="s">
        <v>54</v>
      </c>
      <c r="B17" s="11"/>
      <c r="C17" s="11"/>
      <c r="D17" s="11"/>
      <c r="E17" s="11"/>
      <c r="F17" s="2"/>
      <c r="G17" s="2"/>
      <c r="I17" t="s">
        <v>72</v>
      </c>
      <c r="K17" s="13">
        <f>SQRT(0.7^2*J12+0.3^2*K12+2*7*0.3*M12)</f>
        <v>48.392148123430097</v>
      </c>
    </row>
    <row r="18" spans="1:11" ht="18.75" x14ac:dyDescent="0.3">
      <c r="A18" s="11" t="s">
        <v>55</v>
      </c>
      <c r="B18" s="11"/>
      <c r="C18" s="11"/>
      <c r="D18" s="11"/>
      <c r="E18" s="11"/>
      <c r="F18" s="2"/>
    </row>
    <row r="19" spans="1:11" ht="18.75" x14ac:dyDescent="0.3">
      <c r="A19" s="11" t="s">
        <v>71</v>
      </c>
      <c r="B19" s="11"/>
      <c r="C19" s="11"/>
      <c r="D19" s="11"/>
      <c r="E19" s="11"/>
      <c r="F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7573-3AA3-4B0D-B82F-1D0E0A0B7AB6}">
  <dimension ref="B2:AC36"/>
  <sheetViews>
    <sheetView topLeftCell="A2" zoomScale="108" zoomScaleNormal="130" workbookViewId="0">
      <selection activeCell="H24" sqref="H24"/>
    </sheetView>
  </sheetViews>
  <sheetFormatPr defaultRowHeight="15" x14ac:dyDescent="0.25"/>
  <sheetData>
    <row r="2" spans="3:29" ht="18.75" x14ac:dyDescent="0.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3:29" ht="18.75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3:29" ht="18.75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3:29" ht="18.75" x14ac:dyDescent="0.3">
      <c r="C5" s="2"/>
      <c r="D5" s="2" t="s">
        <v>81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3:29" ht="18.75" x14ac:dyDescent="0.3">
      <c r="C6" s="2"/>
      <c r="D6" s="2" t="s">
        <v>82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3:29" ht="18.7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3:29" ht="18.75" x14ac:dyDescent="0.3">
      <c r="C8" s="2"/>
      <c r="D8" s="2" t="s">
        <v>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3:29" ht="18.75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3:29" ht="18.75" x14ac:dyDescent="0.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3:29" ht="18.75" x14ac:dyDescent="0.3">
      <c r="C11" s="2"/>
      <c r="D11" s="2" t="s">
        <v>76</v>
      </c>
      <c r="E11" s="2">
        <v>30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3:29" ht="18.75" x14ac:dyDescent="0.3">
      <c r="C12" s="2"/>
      <c r="D12" s="2" t="s">
        <v>77</v>
      </c>
      <c r="E12" s="2">
        <v>1.127</v>
      </c>
      <c r="F12" s="2"/>
      <c r="G12" s="2"/>
      <c r="H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3:29" ht="18.75" x14ac:dyDescent="0.3">
      <c r="C13" s="2"/>
      <c r="D13" s="2" t="s">
        <v>60</v>
      </c>
      <c r="E13" s="2">
        <f>1/E12</f>
        <v>0.88731144631765746</v>
      </c>
      <c r="F13" s="2"/>
      <c r="G13" s="2"/>
      <c r="H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3:29" ht="18.75" x14ac:dyDescent="0.3">
      <c r="C14" s="2"/>
      <c r="D14" s="2" t="s">
        <v>78</v>
      </c>
      <c r="E14" s="2">
        <v>0.1</v>
      </c>
      <c r="F14" s="2"/>
      <c r="G14" s="2"/>
      <c r="H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3:29" ht="18.75" x14ac:dyDescent="0.3">
      <c r="C15" s="2"/>
      <c r="D15" s="2" t="s">
        <v>4</v>
      </c>
      <c r="E15" s="2">
        <v>4</v>
      </c>
      <c r="F15" s="2"/>
      <c r="G15" s="2"/>
      <c r="H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3:29" ht="18.75" x14ac:dyDescent="0.3">
      <c r="C16" s="2"/>
      <c r="D16" s="2"/>
      <c r="E16" s="2"/>
      <c r="F16" s="2"/>
      <c r="G16" s="2"/>
      <c r="H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18.75" x14ac:dyDescent="0.3">
      <c r="B17" s="45" t="s">
        <v>86</v>
      </c>
      <c r="C17" s="45"/>
      <c r="D17" s="2" t="s">
        <v>79</v>
      </c>
      <c r="E17" s="2">
        <f>((1+E14)^0.25-E13)/(E12-E13)</f>
        <v>0.5707500031398689</v>
      </c>
      <c r="F17" s="2" t="s">
        <v>87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18.75" x14ac:dyDescent="0.3">
      <c r="C18" s="2"/>
      <c r="D18" s="2" t="s">
        <v>80</v>
      </c>
      <c r="E18" s="2">
        <f>1-E17</f>
        <v>0.4292499968601311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18.75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ht="18.75" x14ac:dyDescent="0.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ht="18.75" x14ac:dyDescent="0.3">
      <c r="C21" s="2"/>
      <c r="D21" s="2"/>
      <c r="E21" s="2"/>
      <c r="F21" s="2"/>
      <c r="G21" s="2" t="s">
        <v>83</v>
      </c>
      <c r="H21" s="2">
        <v>0</v>
      </c>
      <c r="I21" s="2">
        <v>1</v>
      </c>
      <c r="J21" s="2">
        <v>2</v>
      </c>
      <c r="K21" s="2">
        <v>3</v>
      </c>
      <c r="L21" s="2">
        <v>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18.75" x14ac:dyDescent="0.3">
      <c r="C22" s="2"/>
      <c r="D22" s="45" t="s">
        <v>85</v>
      </c>
      <c r="E22" s="45"/>
      <c r="F22" s="2"/>
      <c r="G22" s="2" t="s">
        <v>84</v>
      </c>
      <c r="H22" s="2">
        <f>$E$11*$E$12^H21*$E$13^($E$15-H21)</f>
        <v>18.596259185476427</v>
      </c>
      <c r="I22" s="2">
        <f t="shared" ref="I22:K22" si="0">$E$11*$E$12^I21*$E$13^($E$15-I21)</f>
        <v>23.619648082989997</v>
      </c>
      <c r="J22" s="2">
        <f t="shared" si="0"/>
        <v>29.999999999999996</v>
      </c>
      <c r="K22" s="2">
        <f t="shared" si="0"/>
        <v>38.103870000000001</v>
      </c>
      <c r="L22" s="2">
        <f>$E$11*$E$12^L21*$E$13^($E$15-L21)</f>
        <v>48.396830299230004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ht="18.75" x14ac:dyDescent="0.3">
      <c r="C23" s="2"/>
      <c r="D23" s="2"/>
      <c r="E23" s="2"/>
      <c r="F23" s="2"/>
      <c r="G23" s="2" t="s">
        <v>79</v>
      </c>
      <c r="H23" s="2">
        <f>_xlfn.BINOM.DIST(H21,$E$15,$E$17,0)</f>
        <v>3.3950111318841139E-2</v>
      </c>
      <c r="I23" s="2">
        <f>_xlfn.BINOM.DIST(I21,$E$15,$E$17,0)</f>
        <v>0.1805663485946758</v>
      </c>
      <c r="J23" s="2">
        <f t="shared" ref="J23:L23" si="1">_xlfn.BINOM.DIST(J21,$E$15,$E$17,0)</f>
        <v>0.36013364512946122</v>
      </c>
      <c r="K23" s="2">
        <f t="shared" si="1"/>
        <v>0.31923320612221001</v>
      </c>
      <c r="L23" s="2">
        <f t="shared" si="1"/>
        <v>0.10611668883481176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ht="18.75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ht="18.75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18.75" x14ac:dyDescent="0.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ht="18.75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ht="18.75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ht="18.75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ht="18.75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ht="18.75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ht="18.75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3:29" ht="18.75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3:29" ht="18.75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3:29" ht="18.75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3:29" ht="18.75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</sheetData>
  <mergeCells count="2">
    <mergeCell ref="B17:C17"/>
    <mergeCell ref="D22:E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3443-7D26-42F9-9401-01696A845EE1}">
  <dimension ref="D4:Q29"/>
  <sheetViews>
    <sheetView topLeftCell="D1" zoomScale="125" zoomScaleNormal="175" workbookViewId="0">
      <selection activeCell="L24" sqref="L24"/>
    </sheetView>
  </sheetViews>
  <sheetFormatPr defaultRowHeight="15" x14ac:dyDescent="0.25"/>
  <cols>
    <col min="11" max="11" width="10.28515625" bestFit="1" customWidth="1"/>
    <col min="267" max="267" width="10.28515625" bestFit="1" customWidth="1"/>
    <col min="523" max="523" width="10.28515625" bestFit="1" customWidth="1"/>
    <col min="779" max="779" width="10.28515625" bestFit="1" customWidth="1"/>
    <col min="1035" max="1035" width="10.28515625" bestFit="1" customWidth="1"/>
    <col min="1291" max="1291" width="10.28515625" bestFit="1" customWidth="1"/>
    <col min="1547" max="1547" width="10.28515625" bestFit="1" customWidth="1"/>
    <col min="1803" max="1803" width="10.28515625" bestFit="1" customWidth="1"/>
    <col min="2059" max="2059" width="10.28515625" bestFit="1" customWidth="1"/>
    <col min="2315" max="2315" width="10.28515625" bestFit="1" customWidth="1"/>
    <col min="2571" max="2571" width="10.28515625" bestFit="1" customWidth="1"/>
    <col min="2827" max="2827" width="10.28515625" bestFit="1" customWidth="1"/>
    <col min="3083" max="3083" width="10.28515625" bestFit="1" customWidth="1"/>
    <col min="3339" max="3339" width="10.28515625" bestFit="1" customWidth="1"/>
    <col min="3595" max="3595" width="10.28515625" bestFit="1" customWidth="1"/>
    <col min="3851" max="3851" width="10.28515625" bestFit="1" customWidth="1"/>
    <col min="4107" max="4107" width="10.28515625" bestFit="1" customWidth="1"/>
    <col min="4363" max="4363" width="10.28515625" bestFit="1" customWidth="1"/>
    <col min="4619" max="4619" width="10.28515625" bestFit="1" customWidth="1"/>
    <col min="4875" max="4875" width="10.28515625" bestFit="1" customWidth="1"/>
    <col min="5131" max="5131" width="10.28515625" bestFit="1" customWidth="1"/>
    <col min="5387" max="5387" width="10.28515625" bestFit="1" customWidth="1"/>
    <col min="5643" max="5643" width="10.28515625" bestFit="1" customWidth="1"/>
    <col min="5899" max="5899" width="10.28515625" bestFit="1" customWidth="1"/>
    <col min="6155" max="6155" width="10.28515625" bestFit="1" customWidth="1"/>
    <col min="6411" max="6411" width="10.28515625" bestFit="1" customWidth="1"/>
    <col min="6667" max="6667" width="10.28515625" bestFit="1" customWidth="1"/>
    <col min="6923" max="6923" width="10.28515625" bestFit="1" customWidth="1"/>
    <col min="7179" max="7179" width="10.28515625" bestFit="1" customWidth="1"/>
    <col min="7435" max="7435" width="10.28515625" bestFit="1" customWidth="1"/>
    <col min="7691" max="7691" width="10.28515625" bestFit="1" customWidth="1"/>
    <col min="7947" max="7947" width="10.28515625" bestFit="1" customWidth="1"/>
    <col min="8203" max="8203" width="10.28515625" bestFit="1" customWidth="1"/>
    <col min="8459" max="8459" width="10.28515625" bestFit="1" customWidth="1"/>
    <col min="8715" max="8715" width="10.28515625" bestFit="1" customWidth="1"/>
    <col min="8971" max="8971" width="10.28515625" bestFit="1" customWidth="1"/>
    <col min="9227" max="9227" width="10.28515625" bestFit="1" customWidth="1"/>
    <col min="9483" max="9483" width="10.28515625" bestFit="1" customWidth="1"/>
    <col min="9739" max="9739" width="10.28515625" bestFit="1" customWidth="1"/>
    <col min="9995" max="9995" width="10.28515625" bestFit="1" customWidth="1"/>
    <col min="10251" max="10251" width="10.28515625" bestFit="1" customWidth="1"/>
    <col min="10507" max="10507" width="10.28515625" bestFit="1" customWidth="1"/>
    <col min="10763" max="10763" width="10.28515625" bestFit="1" customWidth="1"/>
    <col min="11019" max="11019" width="10.28515625" bestFit="1" customWidth="1"/>
    <col min="11275" max="11275" width="10.28515625" bestFit="1" customWidth="1"/>
    <col min="11531" max="11531" width="10.28515625" bestFit="1" customWidth="1"/>
    <col min="11787" max="11787" width="10.28515625" bestFit="1" customWidth="1"/>
    <col min="12043" max="12043" width="10.28515625" bestFit="1" customWidth="1"/>
    <col min="12299" max="12299" width="10.28515625" bestFit="1" customWidth="1"/>
    <col min="12555" max="12555" width="10.28515625" bestFit="1" customWidth="1"/>
    <col min="12811" max="12811" width="10.28515625" bestFit="1" customWidth="1"/>
    <col min="13067" max="13067" width="10.28515625" bestFit="1" customWidth="1"/>
    <col min="13323" max="13323" width="10.28515625" bestFit="1" customWidth="1"/>
    <col min="13579" max="13579" width="10.28515625" bestFit="1" customWidth="1"/>
    <col min="13835" max="13835" width="10.28515625" bestFit="1" customWidth="1"/>
    <col min="14091" max="14091" width="10.28515625" bestFit="1" customWidth="1"/>
    <col min="14347" max="14347" width="10.28515625" bestFit="1" customWidth="1"/>
    <col min="14603" max="14603" width="10.28515625" bestFit="1" customWidth="1"/>
    <col min="14859" max="14859" width="10.28515625" bestFit="1" customWidth="1"/>
    <col min="15115" max="15115" width="10.28515625" bestFit="1" customWidth="1"/>
    <col min="15371" max="15371" width="10.28515625" bestFit="1" customWidth="1"/>
    <col min="15627" max="15627" width="10.28515625" bestFit="1" customWidth="1"/>
    <col min="15883" max="15883" width="10.28515625" bestFit="1" customWidth="1"/>
    <col min="16139" max="16139" width="10.28515625" bestFit="1" customWidth="1"/>
  </cols>
  <sheetData>
    <row r="4" spans="4:17" ht="21" x14ac:dyDescent="0.35">
      <c r="F4" s="1" t="s">
        <v>99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4:17" ht="21" x14ac:dyDescent="0.35">
      <c r="F5" s="1" t="s">
        <v>100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4:17" ht="21" x14ac:dyDescent="0.35">
      <c r="F6" s="1" t="s">
        <v>101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4:17" ht="21" x14ac:dyDescent="0.35">
      <c r="F7" s="1" t="s">
        <v>102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4:17" ht="21" x14ac:dyDescent="0.35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4:17" ht="21" x14ac:dyDescent="0.35">
      <c r="F9" s="1" t="s">
        <v>88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4:17" ht="21" x14ac:dyDescent="0.35">
      <c r="F10" s="1" t="s">
        <v>89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4:17" ht="21" x14ac:dyDescent="0.35">
      <c r="F11" s="1" t="s">
        <v>103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3" spans="4:17" x14ac:dyDescent="0.25">
      <c r="D13" s="14"/>
    </row>
    <row r="14" spans="4:17" x14ac:dyDescent="0.25">
      <c r="J14" s="13" t="s">
        <v>38</v>
      </c>
      <c r="K14" s="13"/>
      <c r="L14" s="13"/>
      <c r="M14" s="13"/>
    </row>
    <row r="15" spans="4:17" x14ac:dyDescent="0.25">
      <c r="F15" t="s">
        <v>98</v>
      </c>
      <c r="G15">
        <v>11750</v>
      </c>
      <c r="J15" s="13"/>
      <c r="L15" t="s">
        <v>90</v>
      </c>
      <c r="M15" t="s">
        <v>91</v>
      </c>
      <c r="N15" t="s">
        <v>92</v>
      </c>
    </row>
    <row r="16" spans="4:17" x14ac:dyDescent="0.25">
      <c r="F16" t="s">
        <v>107</v>
      </c>
      <c r="H16">
        <v>4.0000000000000001E-3</v>
      </c>
      <c r="J16" s="13"/>
      <c r="K16" t="s">
        <v>93</v>
      </c>
      <c r="L16">
        <f>H18-H19</f>
        <v>-23800</v>
      </c>
      <c r="M16">
        <f>H18-H20</f>
        <v>-13800</v>
      </c>
      <c r="N16">
        <f>H18</f>
        <v>1200</v>
      </c>
    </row>
    <row r="17" spans="5:14" x14ac:dyDescent="0.25">
      <c r="E17" s="18"/>
      <c r="F17" s="18" t="s">
        <v>105</v>
      </c>
      <c r="H17">
        <v>6.0000000000000001E-3</v>
      </c>
      <c r="K17" t="s">
        <v>68</v>
      </c>
      <c r="L17">
        <v>4.0000000000000001E-3</v>
      </c>
      <c r="M17">
        <f>0.006</f>
        <v>6.0000000000000001E-3</v>
      </c>
      <c r="N17">
        <f>1-L17-M17</f>
        <v>0.99</v>
      </c>
    </row>
    <row r="18" spans="5:14" x14ac:dyDescent="0.25">
      <c r="E18" s="18"/>
      <c r="F18" s="18" t="s">
        <v>104</v>
      </c>
      <c r="H18">
        <v>1200</v>
      </c>
      <c r="J18" s="15"/>
    </row>
    <row r="19" spans="5:14" x14ac:dyDescent="0.25">
      <c r="E19" s="18"/>
      <c r="F19" s="18" t="s">
        <v>96</v>
      </c>
      <c r="H19">
        <v>25000</v>
      </c>
      <c r="J19" s="16"/>
      <c r="K19" t="s">
        <v>106</v>
      </c>
      <c r="L19">
        <f>L16*L17+M16*M17+N16*N17</f>
        <v>1010</v>
      </c>
    </row>
    <row r="20" spans="5:14" x14ac:dyDescent="0.25">
      <c r="E20" s="18"/>
      <c r="F20" s="18" t="s">
        <v>95</v>
      </c>
      <c r="H20">
        <v>15000</v>
      </c>
      <c r="J20" s="15"/>
      <c r="K20" t="s">
        <v>97</v>
      </c>
      <c r="L20">
        <f>L16^2*L17+M16^2*M17+N16^2*N17-L19^2</f>
        <v>3813900</v>
      </c>
    </row>
    <row r="21" spans="5:14" x14ac:dyDescent="0.25">
      <c r="K21" t="s">
        <v>6</v>
      </c>
      <c r="L21">
        <f>SQRT(L20)</f>
        <v>1952.920889334742</v>
      </c>
    </row>
    <row r="22" spans="5:14" x14ac:dyDescent="0.25">
      <c r="J22" s="13"/>
    </row>
    <row r="23" spans="5:14" x14ac:dyDescent="0.25">
      <c r="K23" s="12" t="s">
        <v>94</v>
      </c>
      <c r="L23" s="13">
        <f>_xlfn.NORM.DIST(0,G15*L19,SQRT(G15)*L21,1)</f>
        <v>0</v>
      </c>
    </row>
    <row r="24" spans="5:14" x14ac:dyDescent="0.25">
      <c r="L24" t="s">
        <v>108</v>
      </c>
    </row>
    <row r="28" spans="5:14" x14ac:dyDescent="0.25">
      <c r="E28" s="14"/>
      <c r="I28" s="13" t="s">
        <v>39</v>
      </c>
      <c r="J28" t="s">
        <v>109</v>
      </c>
      <c r="N28" s="13">
        <f>_xlfn.NORM.DIST(2000000,G15*L19,SQRT(G15)*L21,1)</f>
        <v>0</v>
      </c>
    </row>
    <row r="29" spans="5:14" x14ac:dyDescent="0.25">
      <c r="N29" s="12" t="s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810A-B4A7-4052-857D-B9508A811B35}">
  <dimension ref="A6:L39"/>
  <sheetViews>
    <sheetView topLeftCell="A8" zoomScale="97" workbookViewId="0">
      <selection activeCell="C40" sqref="C40"/>
    </sheetView>
  </sheetViews>
  <sheetFormatPr defaultRowHeight="15" x14ac:dyDescent="0.25"/>
  <cols>
    <col min="6" max="6" width="15" customWidth="1"/>
  </cols>
  <sheetData>
    <row r="6" spans="2:11" ht="18.75" x14ac:dyDescent="0.3">
      <c r="B6" s="20" t="s">
        <v>111</v>
      </c>
    </row>
    <row r="9" spans="2:11" ht="15.75" thickBot="1" x14ac:dyDescent="0.3"/>
    <row r="10" spans="2:11" ht="24" thickBot="1" x14ac:dyDescent="0.3">
      <c r="F10" s="21" t="s">
        <v>69</v>
      </c>
      <c r="G10" s="22" t="s">
        <v>112</v>
      </c>
      <c r="H10" t="s">
        <v>126</v>
      </c>
      <c r="I10" t="s">
        <v>127</v>
      </c>
      <c r="J10" t="s">
        <v>128</v>
      </c>
      <c r="K10" t="s">
        <v>129</v>
      </c>
    </row>
    <row r="11" spans="2:11" ht="21" thickBot="1" x14ac:dyDescent="0.3">
      <c r="E11">
        <v>3</v>
      </c>
      <c r="F11" s="23" t="s">
        <v>113</v>
      </c>
      <c r="G11" s="24">
        <v>12</v>
      </c>
      <c r="H11">
        <f>G11/$G$16</f>
        <v>0.12</v>
      </c>
      <c r="I11">
        <f>H11</f>
        <v>0.12</v>
      </c>
      <c r="J11">
        <f>E11*H11</f>
        <v>0.36</v>
      </c>
      <c r="K11">
        <f>H11*(E11-$C$29)^2</f>
        <v>2.0369279999999996</v>
      </c>
    </row>
    <row r="12" spans="2:11" ht="21" thickBot="1" x14ac:dyDescent="0.35">
      <c r="B12" s="46" t="s">
        <v>114</v>
      </c>
      <c r="C12" s="47"/>
      <c r="D12" s="25"/>
      <c r="E12">
        <v>5</v>
      </c>
      <c r="F12" s="23" t="s">
        <v>115</v>
      </c>
      <c r="G12" s="24">
        <v>27</v>
      </c>
      <c r="H12">
        <f t="shared" ref="H12:H14" si="0">G12/$G$16</f>
        <v>0.27</v>
      </c>
      <c r="I12">
        <f>I11+H12</f>
        <v>0.39</v>
      </c>
      <c r="J12">
        <f t="shared" ref="J12:J15" si="1">E12*H12</f>
        <v>1.35</v>
      </c>
      <c r="K12">
        <f t="shared" ref="K12:K15" si="2">H12*(E12-$C$29)^2</f>
        <v>1.2134880000000003</v>
      </c>
    </row>
    <row r="13" spans="2:11" ht="21" thickBot="1" x14ac:dyDescent="0.3">
      <c r="E13">
        <v>7</v>
      </c>
      <c r="F13" s="23" t="s">
        <v>116</v>
      </c>
      <c r="G13" s="24">
        <v>24</v>
      </c>
      <c r="H13">
        <f t="shared" si="0"/>
        <v>0.24</v>
      </c>
      <c r="I13">
        <f t="shared" ref="I13:I15" si="3">I12+H13</f>
        <v>0.63</v>
      </c>
      <c r="J13">
        <f t="shared" si="1"/>
        <v>1.68</v>
      </c>
      <c r="K13">
        <f t="shared" si="2"/>
        <v>3.4560000000000059E-3</v>
      </c>
    </row>
    <row r="14" spans="2:11" ht="21" thickBot="1" x14ac:dyDescent="0.3">
      <c r="E14">
        <v>9</v>
      </c>
      <c r="F14" s="23" t="s">
        <v>117</v>
      </c>
      <c r="G14" s="24">
        <v>17</v>
      </c>
      <c r="H14">
        <f t="shared" si="0"/>
        <v>0.17</v>
      </c>
      <c r="I14">
        <f t="shared" si="3"/>
        <v>0.8</v>
      </c>
      <c r="J14">
        <f t="shared" si="1"/>
        <v>1.53</v>
      </c>
      <c r="K14">
        <f t="shared" si="2"/>
        <v>0.60084800000000005</v>
      </c>
    </row>
    <row r="15" spans="2:11" ht="18" customHeight="1" thickBot="1" x14ac:dyDescent="0.3">
      <c r="E15">
        <v>11</v>
      </c>
      <c r="F15" s="23" t="s">
        <v>118</v>
      </c>
      <c r="G15" s="24">
        <v>20</v>
      </c>
      <c r="H15">
        <f>G15/$G$16</f>
        <v>0.2</v>
      </c>
      <c r="I15">
        <f t="shared" si="3"/>
        <v>1</v>
      </c>
      <c r="J15">
        <f t="shared" si="1"/>
        <v>2.2000000000000002</v>
      </c>
      <c r="K15">
        <f t="shared" si="2"/>
        <v>3.0108800000000002</v>
      </c>
    </row>
    <row r="16" spans="2:11" ht="20.25" customHeight="1" x14ac:dyDescent="0.25">
      <c r="G16">
        <f>SUM(G11:G15)</f>
        <v>100</v>
      </c>
    </row>
    <row r="19" spans="1:12" ht="21" x14ac:dyDescent="0.35">
      <c r="A19" t="s">
        <v>119</v>
      </c>
      <c r="B19" s="19" t="s">
        <v>120</v>
      </c>
      <c r="C19" s="1"/>
      <c r="D19" s="1"/>
      <c r="E19" s="1"/>
      <c r="F19" s="26"/>
      <c r="G19" s="1"/>
      <c r="H19" s="1"/>
      <c r="I19" s="1"/>
      <c r="J19" s="1"/>
      <c r="K19" s="1"/>
      <c r="L19" s="1"/>
    </row>
    <row r="20" spans="1:12" ht="21" x14ac:dyDescent="0.35">
      <c r="B20" s="1"/>
      <c r="C20" s="1"/>
      <c r="D20" s="1"/>
      <c r="E20" s="1"/>
      <c r="F20" s="26"/>
      <c r="G20" s="1"/>
      <c r="H20" s="1"/>
      <c r="I20" s="1"/>
      <c r="J20" s="1"/>
      <c r="K20" s="1"/>
      <c r="L20" s="1"/>
    </row>
    <row r="21" spans="1:12" ht="21" x14ac:dyDescent="0.35">
      <c r="A21" t="s">
        <v>121</v>
      </c>
      <c r="B21" s="19" t="s">
        <v>122</v>
      </c>
      <c r="C21" s="1"/>
      <c r="D21" s="1"/>
      <c r="E21" s="1"/>
      <c r="F21" s="26"/>
      <c r="G21" s="1"/>
      <c r="H21" s="1"/>
      <c r="I21" s="1"/>
      <c r="J21" s="1"/>
      <c r="K21" s="1"/>
      <c r="L21" s="1"/>
    </row>
    <row r="22" spans="1:12" ht="21" x14ac:dyDescent="0.35">
      <c r="B22" s="19" t="s">
        <v>123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2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21" x14ac:dyDescent="0.35">
      <c r="A24" t="s">
        <v>124</v>
      </c>
      <c r="B24" s="19" t="s">
        <v>125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8" spans="1:12" x14ac:dyDescent="0.25">
      <c r="A28" t="s">
        <v>38</v>
      </c>
      <c r="B28" t="s">
        <v>130</v>
      </c>
      <c r="C28">
        <f>NORMSINV(1-0.05/2)</f>
        <v>1.9599639845400536</v>
      </c>
    </row>
    <row r="29" spans="1:12" x14ac:dyDescent="0.25">
      <c r="B29" t="s">
        <v>131</v>
      </c>
      <c r="C29">
        <f>SUM(J11:J15)</f>
        <v>7.12</v>
      </c>
      <c r="F29">
        <f>C29-C28*C32/SQRT(G16)</f>
        <v>6.6064445533405616</v>
      </c>
      <c r="G29" t="s">
        <v>132</v>
      </c>
      <c r="H29" t="s">
        <v>5</v>
      </c>
      <c r="I29" t="s">
        <v>132</v>
      </c>
      <c r="J29">
        <f>C29+C28*C32/SQRT(G16)</f>
        <v>7.6335554466594386</v>
      </c>
    </row>
    <row r="31" spans="1:12" x14ac:dyDescent="0.25">
      <c r="B31" t="s">
        <v>15</v>
      </c>
      <c r="C31">
        <f>SUM(K11:K15)</f>
        <v>6.8656000000000006</v>
      </c>
    </row>
    <row r="32" spans="1:12" x14ac:dyDescent="0.25">
      <c r="B32" t="s">
        <v>6</v>
      </c>
      <c r="C32">
        <f>SQRT(C31)</f>
        <v>2.6202289976259712</v>
      </c>
    </row>
    <row r="35" spans="1:10" x14ac:dyDescent="0.25">
      <c r="A35" t="s">
        <v>39</v>
      </c>
      <c r="B35" t="s">
        <v>133</v>
      </c>
      <c r="C35">
        <f>G15/G16</f>
        <v>0.2</v>
      </c>
      <c r="F35">
        <f>C35-C28*(SQRT(C35*(1-C35)/(G16-1)))</f>
        <v>0.12120648315964498</v>
      </c>
      <c r="G35" t="s">
        <v>132</v>
      </c>
      <c r="H35" t="s">
        <v>134</v>
      </c>
      <c r="I35" t="s">
        <v>132</v>
      </c>
      <c r="J35">
        <f>C35+C28*(SQRT(C35*(1-C35)/(G16-1)))</f>
        <v>0.27879351684035503</v>
      </c>
    </row>
    <row r="38" spans="1:10" x14ac:dyDescent="0.25">
      <c r="A38" t="s">
        <v>40</v>
      </c>
      <c r="B38" t="s">
        <v>135</v>
      </c>
      <c r="C38">
        <f>4+2*(G12-G11)/(2*G12-G11-G13)</f>
        <v>5.666666666666667</v>
      </c>
    </row>
    <row r="39" spans="1:10" x14ac:dyDescent="0.25">
      <c r="B39" t="s">
        <v>136</v>
      </c>
      <c r="C39" s="27">
        <f>6+2*(0.5-I12)/H13</f>
        <v>6.916666666666667</v>
      </c>
    </row>
  </sheetData>
  <mergeCells count="1">
    <mergeCell ref="B12:C1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7169" r:id="rId3">
          <objectPr defaultSize="0" autoPict="0" r:id="rId4">
            <anchor moveWithCells="1" sizeWithCells="1">
              <from>
                <xdr:col>4</xdr:col>
                <xdr:colOff>419100</xdr:colOff>
                <xdr:row>21</xdr:row>
                <xdr:rowOff>47625</xdr:rowOff>
              </from>
              <to>
                <xdr:col>5</xdr:col>
                <xdr:colOff>381000</xdr:colOff>
                <xdr:row>21</xdr:row>
                <xdr:rowOff>228600</xdr:rowOff>
              </to>
            </anchor>
          </objectPr>
        </oleObject>
      </mc:Choice>
      <mc:Fallback>
        <oleObject progId="Equation.DSMT4" shapeId="7169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3E02-8122-4F4B-B0BF-7381BDA6CA39}">
  <dimension ref="E5:I20"/>
  <sheetViews>
    <sheetView topLeftCell="B2" zoomScale="165" zoomScaleNormal="130" workbookViewId="0">
      <selection activeCell="O10" sqref="O10"/>
    </sheetView>
  </sheetViews>
  <sheetFormatPr defaultRowHeight="15" x14ac:dyDescent="0.25"/>
  <sheetData>
    <row r="5" spans="5:6" x14ac:dyDescent="0.25">
      <c r="E5" t="s">
        <v>138</v>
      </c>
    </row>
    <row r="6" spans="5:6" x14ac:dyDescent="0.25">
      <c r="E6" t="s">
        <v>139</v>
      </c>
    </row>
    <row r="7" spans="5:6" x14ac:dyDescent="0.25">
      <c r="E7" t="s">
        <v>140</v>
      </c>
    </row>
    <row r="8" spans="5:6" x14ac:dyDescent="0.25">
      <c r="E8" t="s">
        <v>141</v>
      </c>
    </row>
    <row r="9" spans="5:6" x14ac:dyDescent="0.25">
      <c r="E9" t="s">
        <v>142</v>
      </c>
    </row>
    <row r="10" spans="5:6" x14ac:dyDescent="0.25">
      <c r="E10" t="s">
        <v>143</v>
      </c>
    </row>
    <row r="13" spans="5:6" x14ac:dyDescent="0.25">
      <c r="E13" t="s">
        <v>4</v>
      </c>
      <c r="F13">
        <v>100</v>
      </c>
    </row>
    <row r="14" spans="5:6" x14ac:dyDescent="0.25">
      <c r="E14" t="s">
        <v>405</v>
      </c>
      <c r="F14">
        <v>2.5499999999999998</v>
      </c>
    </row>
    <row r="15" spans="5:6" x14ac:dyDescent="0.25">
      <c r="E15" t="s">
        <v>84</v>
      </c>
      <c r="F15">
        <v>0.44</v>
      </c>
    </row>
    <row r="17" spans="5:9" x14ac:dyDescent="0.25">
      <c r="E17" t="s">
        <v>144</v>
      </c>
      <c r="H17" t="s">
        <v>147</v>
      </c>
      <c r="I17">
        <f>(F14-2.5)/(F15/SQRT(F13))</f>
        <v>1.1363636363636325</v>
      </c>
    </row>
    <row r="18" spans="5:9" x14ac:dyDescent="0.25">
      <c r="E18" t="s">
        <v>145</v>
      </c>
      <c r="H18" t="s">
        <v>148</v>
      </c>
      <c r="I18">
        <f>_xlfn.T.INV.2T(0.05,100-1)</f>
        <v>1.9842169515864165</v>
      </c>
    </row>
    <row r="20" spans="5:9" x14ac:dyDescent="0.25">
      <c r="E20" t="s">
        <v>146</v>
      </c>
      <c r="H20" t="s">
        <v>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CEAD-458D-4383-AAA2-503539629CB3}">
  <dimension ref="C3:H19"/>
  <sheetViews>
    <sheetView zoomScale="160" zoomScaleNormal="160" workbookViewId="0">
      <selection activeCell="H16" sqref="H16"/>
    </sheetView>
  </sheetViews>
  <sheetFormatPr defaultRowHeight="15" x14ac:dyDescent="0.25"/>
  <sheetData>
    <row r="3" spans="3:8" x14ac:dyDescent="0.25">
      <c r="C3" t="s">
        <v>150</v>
      </c>
    </row>
    <row r="4" spans="3:8" x14ac:dyDescent="0.25">
      <c r="C4" t="s">
        <v>151</v>
      </c>
    </row>
    <row r="5" spans="3:8" x14ac:dyDescent="0.25">
      <c r="C5" t="s">
        <v>152</v>
      </c>
    </row>
    <row r="6" spans="3:8" x14ac:dyDescent="0.25">
      <c r="C6" t="s">
        <v>153</v>
      </c>
    </row>
    <row r="7" spans="3:8" x14ac:dyDescent="0.25">
      <c r="C7" t="s">
        <v>154</v>
      </c>
    </row>
    <row r="8" spans="3:8" x14ac:dyDescent="0.25">
      <c r="C8" t="s">
        <v>155</v>
      </c>
    </row>
    <row r="9" spans="3:8" x14ac:dyDescent="0.25">
      <c r="C9" t="s">
        <v>156</v>
      </c>
    </row>
    <row r="12" spans="3:8" x14ac:dyDescent="0.25">
      <c r="C12" t="s">
        <v>4</v>
      </c>
      <c r="D12">
        <v>200</v>
      </c>
    </row>
    <row r="13" spans="3:8" x14ac:dyDescent="0.25">
      <c r="C13" t="s">
        <v>98</v>
      </c>
      <c r="D13">
        <v>190</v>
      </c>
      <c r="F13" t="s">
        <v>163</v>
      </c>
      <c r="G13" t="s">
        <v>159</v>
      </c>
    </row>
    <row r="14" spans="3:8" x14ac:dyDescent="0.25">
      <c r="C14" t="s">
        <v>137</v>
      </c>
      <c r="D14">
        <v>0.01</v>
      </c>
    </row>
    <row r="15" spans="3:8" x14ac:dyDescent="0.25">
      <c r="C15" t="s">
        <v>161</v>
      </c>
      <c r="D15">
        <f>D13/D12</f>
        <v>0.95</v>
      </c>
      <c r="G15" t="s">
        <v>160</v>
      </c>
      <c r="H15">
        <f>(D15-0.85)/(SQRT(0.85*(1-0.85)/D12))</f>
        <v>3.9605901719066963</v>
      </c>
    </row>
    <row r="16" spans="3:8" x14ac:dyDescent="0.25">
      <c r="G16" t="s">
        <v>162</v>
      </c>
      <c r="H16">
        <f>NORMSINV(0.99)</f>
        <v>2.3263478740408408</v>
      </c>
    </row>
    <row r="18" spans="3:7" x14ac:dyDescent="0.25">
      <c r="C18" t="s">
        <v>157</v>
      </c>
      <c r="G18" t="s">
        <v>164</v>
      </c>
    </row>
    <row r="19" spans="3:7" x14ac:dyDescent="0.25">
      <c r="C1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risk value_1</vt:lpstr>
      <vt:lpstr>risk_value_2</vt:lpstr>
      <vt:lpstr>Portfolio_1</vt:lpstr>
      <vt:lpstr>Portfolio_2</vt:lpstr>
      <vt:lpstr>Binom_dist</vt:lpstr>
      <vt:lpstr>insurance</vt:lpstr>
      <vt:lpstr>interval</vt:lpstr>
      <vt:lpstr>T_dist</vt:lpstr>
      <vt:lpstr>filled_orders_corretly</vt:lpstr>
      <vt:lpstr>t-test</vt:lpstr>
      <vt:lpstr>Z_test</vt:lpstr>
      <vt:lpstr>F_test_hypofvars</vt:lpstr>
      <vt:lpstr>anova_1</vt:lpstr>
      <vt:lpstr>anova_2</vt:lpstr>
      <vt:lpstr>chi^2_1</vt:lpstr>
      <vt:lpstr>chi^2_2</vt:lpstr>
      <vt:lpstr>chi_percentages</vt:lpstr>
      <vt:lpstr>goodness_of_fits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 its Diana</dc:creator>
  <cp:lastModifiedBy>User</cp:lastModifiedBy>
  <dcterms:created xsi:type="dcterms:W3CDTF">2015-06-05T18:17:20Z</dcterms:created>
  <dcterms:modified xsi:type="dcterms:W3CDTF">2022-01-09T23:16:27Z</dcterms:modified>
</cp:coreProperties>
</file>