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chool\大三下\流量计标定实验\"/>
    </mc:Choice>
  </mc:AlternateContent>
  <bookViews>
    <workbookView xWindow="0" yWindow="0" windowWidth="23040" windowHeight="9504" activeTab="1"/>
  </bookViews>
  <sheets>
    <sheet name="液体" sheetId="1" r:id="rId1"/>
    <sheet name="气体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2" l="1"/>
  <c r="D23" i="2"/>
  <c r="D22" i="2"/>
  <c r="D34" i="2"/>
  <c r="D25" i="2"/>
  <c r="H18" i="2"/>
  <c r="H19" i="2"/>
  <c r="H17" i="2"/>
  <c r="G18" i="2"/>
  <c r="G19" i="2"/>
  <c r="G17" i="2"/>
  <c r="D26" i="2"/>
  <c r="D29" i="2" s="1"/>
  <c r="D31" i="2"/>
  <c r="D32" i="2" s="1"/>
  <c r="B19" i="2"/>
  <c r="C19" i="2"/>
  <c r="D19" i="2"/>
  <c r="E19" i="2"/>
  <c r="F19" i="2"/>
  <c r="C18" i="2"/>
  <c r="D18" i="2"/>
  <c r="E18" i="2"/>
  <c r="F18" i="2"/>
  <c r="B18" i="2"/>
  <c r="C17" i="2"/>
  <c r="D17" i="2"/>
  <c r="E17" i="2"/>
  <c r="F17" i="2"/>
  <c r="B17" i="2"/>
  <c r="D14" i="1"/>
  <c r="D13" i="1"/>
  <c r="B44" i="1"/>
  <c r="B10" i="1"/>
  <c r="C10" i="1" s="1"/>
  <c r="B11" i="1"/>
  <c r="C11" i="1" s="1"/>
  <c r="B9" i="1"/>
  <c r="C9" i="1" s="1"/>
  <c r="B47" i="1" s="1"/>
  <c r="D16" i="1"/>
  <c r="D20" i="1"/>
  <c r="D18" i="1"/>
  <c r="D22" i="1" s="1"/>
  <c r="D17" i="1"/>
  <c r="D19" i="1" s="1"/>
  <c r="D30" i="2" l="1"/>
  <c r="D27" i="2"/>
  <c r="D28" i="2"/>
  <c r="B45" i="1"/>
  <c r="B46" i="1"/>
  <c r="D21" i="1"/>
  <c r="D15" i="1"/>
  <c r="D23" i="1"/>
  <c r="D26" i="1" s="1"/>
  <c r="D24" i="1" l="1"/>
  <c r="D27" i="1" s="1"/>
  <c r="D28" i="1" s="1"/>
  <c r="D29" i="1" s="1"/>
  <c r="D35" i="2" l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30" i="1"/>
  <c r="D31" i="1" s="1"/>
  <c r="D32" i="1" s="1"/>
  <c r="D33" i="1" s="1"/>
  <c r="D34" i="1" s="1"/>
  <c r="D35" i="1" s="1"/>
  <c r="D36" i="1" s="1"/>
  <c r="D37" i="1" s="1"/>
  <c r="D38" i="1" s="1"/>
  <c r="D39" i="1" s="1"/>
  <c r="D42" i="1" s="1"/>
  <c r="D48" i="2" l="1"/>
  <c r="D49" i="2" s="1"/>
  <c r="D50" i="2"/>
  <c r="D40" i="1"/>
  <c r="D41" i="1" s="1"/>
</calcChain>
</file>

<file path=xl/sharedStrings.xml><?xml version="1.0" encoding="utf-8"?>
<sst xmlns="http://schemas.openxmlformats.org/spreadsheetml/2006/main" count="209" uniqueCount="76">
  <si>
    <t>标定点</t>
    <phoneticPr fontId="1" type="noConversion"/>
  </si>
  <si>
    <t>水温</t>
    <phoneticPr fontId="1" type="noConversion"/>
  </si>
  <si>
    <t>孔板入口压力</t>
    <phoneticPr fontId="1" type="noConversion"/>
  </si>
  <si>
    <t>孔板差压</t>
    <phoneticPr fontId="1" type="noConversion"/>
  </si>
  <si>
    <t>涡街流量计</t>
    <phoneticPr fontId="1" type="noConversion"/>
  </si>
  <si>
    <t>起始重量</t>
    <phoneticPr fontId="1" type="noConversion"/>
  </si>
  <si>
    <t>结束重量</t>
    <phoneticPr fontId="1" type="noConversion"/>
  </si>
  <si>
    <t>时长</t>
    <phoneticPr fontId="1" type="noConversion"/>
  </si>
  <si>
    <t>m³/h</t>
    <phoneticPr fontId="1" type="noConversion"/>
  </si>
  <si>
    <t>℃</t>
    <phoneticPr fontId="1" type="noConversion"/>
  </si>
  <si>
    <t>kPa</t>
    <phoneticPr fontId="1" type="noConversion"/>
  </si>
  <si>
    <t>kPa</t>
    <phoneticPr fontId="1" type="noConversion"/>
  </si>
  <si>
    <t>kg</t>
    <phoneticPr fontId="1" type="noConversion"/>
  </si>
  <si>
    <t>kg</t>
    <phoneticPr fontId="1" type="noConversion"/>
  </si>
  <si>
    <t>秒</t>
    <phoneticPr fontId="1" type="noConversion"/>
  </si>
  <si>
    <t>空气温度</t>
    <phoneticPr fontId="1" type="noConversion"/>
  </si>
  <si>
    <t>涡轮入口压力</t>
    <phoneticPr fontId="1" type="noConversion"/>
  </si>
  <si>
    <t>涡轮流量</t>
    <phoneticPr fontId="1" type="noConversion"/>
  </si>
  <si>
    <t>kPa</t>
    <phoneticPr fontId="1" type="noConversion"/>
  </si>
  <si>
    <t>kg/s</t>
    <phoneticPr fontId="1" type="noConversion"/>
  </si>
  <si>
    <t>实际体积流量</t>
    <phoneticPr fontId="1" type="noConversion"/>
  </si>
  <si>
    <t>β</t>
    <phoneticPr fontId="1" type="noConversion"/>
  </si>
  <si>
    <t>C</t>
    <phoneticPr fontId="1" type="noConversion"/>
  </si>
  <si>
    <t>Re</t>
    <phoneticPr fontId="1" type="noConversion"/>
  </si>
  <si>
    <t>q_m</t>
    <phoneticPr fontId="1" type="noConversion"/>
  </si>
  <si>
    <t>d</t>
    <phoneticPr fontId="1" type="noConversion"/>
  </si>
  <si>
    <t>D</t>
    <phoneticPr fontId="1" type="noConversion"/>
  </si>
  <si>
    <t>孔板孔径</t>
    <phoneticPr fontId="1" type="noConversion"/>
  </si>
  <si>
    <t>管道内径</t>
    <phoneticPr fontId="1" type="noConversion"/>
  </si>
  <si>
    <t>雷诺数</t>
    <phoneticPr fontId="1" type="noConversion"/>
  </si>
  <si>
    <t>质量流量</t>
    <phoneticPr fontId="1" type="noConversion"/>
  </si>
  <si>
    <t>kg/s</t>
    <phoneticPr fontId="1" type="noConversion"/>
  </si>
  <si>
    <t>E</t>
    <phoneticPr fontId="1" type="noConversion"/>
  </si>
  <si>
    <t>速度渐进系数</t>
    <phoneticPr fontId="1" type="noConversion"/>
  </si>
  <si>
    <t>液体密度</t>
    <phoneticPr fontId="1" type="noConversion"/>
  </si>
  <si>
    <t>\rho</t>
    <phoneticPr fontId="1" type="noConversion"/>
  </si>
  <si>
    <t>kg/m³</t>
    <phoneticPr fontId="1" type="noConversion"/>
  </si>
  <si>
    <t>L_1</t>
    <phoneticPr fontId="1" type="noConversion"/>
  </si>
  <si>
    <t>L_2</t>
    <phoneticPr fontId="1" type="noConversion"/>
  </si>
  <si>
    <t>v</t>
    <phoneticPr fontId="1" type="noConversion"/>
  </si>
  <si>
    <t>m/s</t>
    <phoneticPr fontId="1" type="noConversion"/>
  </si>
  <si>
    <t>开孔面积</t>
    <phoneticPr fontId="1" type="noConversion"/>
  </si>
  <si>
    <t>管道截面积</t>
    <phoneticPr fontId="1" type="noConversion"/>
  </si>
  <si>
    <t>S_d</t>
    <phoneticPr fontId="1" type="noConversion"/>
  </si>
  <si>
    <t>S_D</t>
    <phoneticPr fontId="1" type="noConversion"/>
  </si>
  <si>
    <t>㎡</t>
    <phoneticPr fontId="1" type="noConversion"/>
  </si>
  <si>
    <t>Re</t>
    <phoneticPr fontId="1" type="noConversion"/>
  </si>
  <si>
    <t>Pa·s</t>
    <phoneticPr fontId="1" type="noConversion"/>
  </si>
  <si>
    <t>\mu</t>
    <phoneticPr fontId="1" type="noConversion"/>
  </si>
  <si>
    <t>液体动力粘度系数</t>
    <phoneticPr fontId="1" type="noConversion"/>
  </si>
  <si>
    <t>流速</t>
    <phoneticPr fontId="1" type="noConversion"/>
  </si>
  <si>
    <t>体积流量</t>
    <phoneticPr fontId="1" type="noConversion"/>
  </si>
  <si>
    <t>q_v</t>
    <phoneticPr fontId="1" type="noConversion"/>
  </si>
  <si>
    <t>m</t>
    <phoneticPr fontId="1" type="noConversion"/>
  </si>
  <si>
    <t>m</t>
    <phoneticPr fontId="1" type="noConversion"/>
  </si>
  <si>
    <t>孔板差压</t>
    <phoneticPr fontId="1" type="noConversion"/>
  </si>
  <si>
    <t>Δp</t>
    <phoneticPr fontId="1" type="noConversion"/>
  </si>
  <si>
    <t>Pa</t>
    <phoneticPr fontId="1" type="noConversion"/>
  </si>
  <si>
    <t>流出系数</t>
    <phoneticPr fontId="1" type="noConversion"/>
  </si>
  <si>
    <t>流体温度</t>
    <phoneticPr fontId="1" type="noConversion"/>
  </si>
  <si>
    <t>t</t>
    <phoneticPr fontId="1" type="noConversion"/>
  </si>
  <si>
    <t>孔板流量计</t>
    <phoneticPr fontId="1" type="noConversion"/>
  </si>
  <si>
    <t>m³/h</t>
    <phoneticPr fontId="1" type="noConversion"/>
  </si>
  <si>
    <t>孔板流量计标定直线斜率</t>
    <phoneticPr fontId="1" type="noConversion"/>
  </si>
  <si>
    <t>孔板流量计标定直线截距</t>
    <phoneticPr fontId="1" type="noConversion"/>
  </si>
  <si>
    <t>涡街流量计标定直线斜率</t>
    <phoneticPr fontId="1" type="noConversion"/>
  </si>
  <si>
    <t>涡街流量计标定直线截距</t>
    <phoneticPr fontId="1" type="noConversion"/>
  </si>
  <si>
    <t>密度</t>
    <phoneticPr fontId="1" type="noConversion"/>
  </si>
  <si>
    <t>kg/m³</t>
    <phoneticPr fontId="1" type="noConversion"/>
  </si>
  <si>
    <t>Pa·s</t>
    <phoneticPr fontId="1" type="noConversion"/>
  </si>
  <si>
    <t>大气压</t>
  </si>
  <si>
    <t>温度</t>
  </si>
  <si>
    <t>kPa</t>
    <phoneticPr fontId="1" type="noConversion"/>
  </si>
  <si>
    <t>℃</t>
    <phoneticPr fontId="1" type="noConversion"/>
  </si>
  <si>
    <t>动力粘度</t>
    <phoneticPr fontId="1" type="noConversion"/>
  </si>
  <si>
    <t>孔板流量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</si>
</sst>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82" formatCode="0.000E+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液体!$C$9:$C$11</c:f>
              <c:numCache>
                <c:formatCode>0.000</c:formatCode>
                <c:ptCount val="3"/>
                <c:pt idx="0">
                  <c:v>1.7147251227061777</c:v>
                </c:pt>
                <c:pt idx="1">
                  <c:v>2.8390644580428432</c:v>
                </c:pt>
                <c:pt idx="2">
                  <c:v>3.7344368362325704</c:v>
                </c:pt>
              </c:numCache>
            </c:numRef>
          </c:xVal>
          <c:yVal>
            <c:numRef>
              <c:f>液体!$D$9:$D$11</c:f>
              <c:numCache>
                <c:formatCode>0.000</c:formatCode>
                <c:ptCount val="3"/>
                <c:pt idx="0">
                  <c:v>1.6746046141288209</c:v>
                </c:pt>
                <c:pt idx="1">
                  <c:v>2.5188895660375903</c:v>
                </c:pt>
                <c:pt idx="2">
                  <c:v>3.3309088869907142</c:v>
                </c:pt>
              </c:numCache>
            </c:numRef>
          </c:y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892140080"/>
        <c:axId val="1892134096"/>
      </c:scatterChart>
      <c:valAx>
        <c:axId val="189214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实际体积流量 </a:t>
                </a:r>
                <a:r>
                  <a:rPr lang="en-US" altLang="zh-CN"/>
                  <a:t>m³/h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92134096"/>
        <c:crosses val="autoZero"/>
        <c:crossBetween val="midCat"/>
      </c:valAx>
      <c:valAx>
        <c:axId val="189213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000" b="0" i="0" u="none" strike="noStrike" baseline="0">
                    <a:effectLst/>
                  </a:rPr>
                  <a:t>孔板流量计 </a:t>
                </a:r>
                <a:r>
                  <a:rPr lang="en-US" altLang="zh-CN" sz="1000" b="0" i="0" u="none" strike="noStrike" baseline="0">
                    <a:effectLst/>
                  </a:rPr>
                  <a:t>m³/h</a:t>
                </a:r>
                <a:r>
                  <a:rPr lang="zh-CN" altLang="en-US" sz="1000" b="0" i="0" u="none" strike="noStrike" baseline="0"/>
                  <a:t> 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9214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液体!$C$9:$C$11</c:f>
              <c:numCache>
                <c:formatCode>0.000</c:formatCode>
                <c:ptCount val="3"/>
                <c:pt idx="0">
                  <c:v>1.7147251227061777</c:v>
                </c:pt>
                <c:pt idx="1">
                  <c:v>2.8390644580428432</c:v>
                </c:pt>
                <c:pt idx="2">
                  <c:v>3.7344368362325704</c:v>
                </c:pt>
              </c:numCache>
            </c:numRef>
          </c:xVal>
          <c:yVal>
            <c:numRef>
              <c:f>液体!$E$9:$E$11</c:f>
              <c:numCache>
                <c:formatCode>0.000</c:formatCode>
                <c:ptCount val="3"/>
                <c:pt idx="0">
                  <c:v>1.9890000000000001</c:v>
                </c:pt>
                <c:pt idx="1">
                  <c:v>2.992</c:v>
                </c:pt>
                <c:pt idx="2">
                  <c:v>3.9580000000000002</c:v>
                </c:pt>
              </c:numCache>
            </c:numRef>
          </c:y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5653792"/>
        <c:axId val="45652160"/>
      </c:scatterChart>
      <c:valAx>
        <c:axId val="4565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实际体积流量 </a:t>
                </a:r>
                <a:r>
                  <a:rPr lang="en-US" altLang="zh-CN"/>
                  <a:t>m³/h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652160"/>
        <c:crosses val="autoZero"/>
        <c:crossBetween val="midCat"/>
      </c:valAx>
      <c:valAx>
        <c:axId val="4565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000" b="0" i="0" u="none" strike="noStrike" baseline="0">
                    <a:effectLst/>
                  </a:rPr>
                  <a:t>涡街流量计 </a:t>
                </a:r>
                <a:r>
                  <a:rPr lang="en-US" altLang="zh-CN" sz="1000" b="0" i="0" u="none" strike="noStrike" baseline="0">
                    <a:effectLst/>
                  </a:rPr>
                  <a:t>m³/h</a:t>
                </a:r>
                <a:r>
                  <a:rPr lang="en-US" altLang="zh-CN" sz="1000" b="0" i="0" u="none" strike="noStrike" baseline="0"/>
                  <a:t> </a:t>
                </a:r>
                <a:r>
                  <a:rPr lang="zh-CN" altLang="en-US" sz="1000" b="0" i="0" u="none" strike="noStrike" baseline="0"/>
                  <a:t> 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653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148590</xdr:colOff>
      <xdr:row>7</xdr:row>
      <xdr:rowOff>152400</xdr:rowOff>
    </xdr:from>
    <xdr:to>
      <xdr:col>11</xdr:col>
      <xdr:colOff>605790</xdr:colOff>
      <xdr:row>22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179070</xdr:colOff>
      <xdr:row>23</xdr:row>
      <xdr:rowOff>91440</xdr:rowOff>
    </xdr:from>
    <xdr:to>
      <xdr:col>12</xdr:col>
      <xdr:colOff>26670</xdr:colOff>
      <xdr:row>38</xdr:row>
      <xdr:rowOff>91440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6" workbookViewId="0">
      <selection activeCell="A14" sqref="A14:D14"/>
    </sheetView>
  </sheetViews>
  <sheetFormatPr defaultRowHeight="14.4" x14ac:dyDescent="0.25"/>
  <cols>
    <col min="1" max="1" width="24.88671875" bestFit="1" customWidth="1"/>
    <col min="2" max="2" width="12.77734375" bestFit="1" customWidth="1"/>
    <col min="3" max="3" width="13.88671875" bestFit="1" customWidth="1"/>
    <col min="4" max="5" width="11.6640625" bestFit="1" customWidth="1"/>
    <col min="6" max="7" width="13.88671875" bestFit="1" customWidth="1"/>
    <col min="8" max="8" width="5.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8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s="1">
        <v>27.29</v>
      </c>
      <c r="C3" s="2">
        <v>38.631999999999998</v>
      </c>
      <c r="D3" s="2">
        <v>16.864000000000001</v>
      </c>
      <c r="E3" s="2">
        <v>1.9890000000000001</v>
      </c>
      <c r="F3" s="2">
        <v>16.855</v>
      </c>
      <c r="G3" s="2">
        <v>40.585000000000001</v>
      </c>
      <c r="H3">
        <v>50</v>
      </c>
    </row>
    <row r="4" spans="1:8" x14ac:dyDescent="0.25">
      <c r="A4">
        <v>3</v>
      </c>
      <c r="B4" s="1">
        <v>26.98</v>
      </c>
      <c r="C4" s="2">
        <v>74.561999999999998</v>
      </c>
      <c r="D4" s="2">
        <v>38.521000000000001</v>
      </c>
      <c r="E4" s="2">
        <v>2.992</v>
      </c>
      <c r="F4" s="2">
        <v>16.864999999999998</v>
      </c>
      <c r="G4" s="2">
        <v>44.37</v>
      </c>
      <c r="H4">
        <v>35</v>
      </c>
    </row>
    <row r="5" spans="1:8" x14ac:dyDescent="0.25">
      <c r="A5">
        <v>4</v>
      </c>
      <c r="B5" s="1">
        <v>26.6</v>
      </c>
      <c r="C5" s="2">
        <v>122.584</v>
      </c>
      <c r="D5" s="2">
        <v>67.703000000000003</v>
      </c>
      <c r="E5" s="2">
        <v>3.9580000000000002</v>
      </c>
      <c r="F5" s="2">
        <v>16.48</v>
      </c>
      <c r="G5" s="2">
        <v>42.325000000000003</v>
      </c>
      <c r="H5">
        <v>25</v>
      </c>
    </row>
    <row r="6" spans="1:8" x14ac:dyDescent="0.25">
      <c r="B6" s="1"/>
    </row>
    <row r="7" spans="1:8" x14ac:dyDescent="0.25">
      <c r="A7" t="s">
        <v>0</v>
      </c>
      <c r="B7" t="s">
        <v>34</v>
      </c>
      <c r="C7" t="s">
        <v>20</v>
      </c>
      <c r="D7" t="s">
        <v>61</v>
      </c>
      <c r="E7" t="s">
        <v>4</v>
      </c>
    </row>
    <row r="8" spans="1:8" x14ac:dyDescent="0.25">
      <c r="A8" t="s">
        <v>8</v>
      </c>
      <c r="B8" t="s">
        <v>36</v>
      </c>
      <c r="C8" t="s">
        <v>8</v>
      </c>
      <c r="D8" t="s">
        <v>62</v>
      </c>
      <c r="E8" t="s">
        <v>8</v>
      </c>
    </row>
    <row r="9" spans="1:8" x14ac:dyDescent="0.25">
      <c r="A9">
        <v>2</v>
      </c>
      <c r="B9" s="1">
        <f>997+(995.7-997)/5*(B3-25)</f>
        <v>996.40460000000007</v>
      </c>
      <c r="C9" s="2">
        <f>(G3-F3)/H3/B9*3600</f>
        <v>1.7147251227061777</v>
      </c>
      <c r="D9" s="2">
        <v>1.6746046141288209</v>
      </c>
      <c r="E9" s="2">
        <v>1.9890000000000001</v>
      </c>
    </row>
    <row r="10" spans="1:8" x14ac:dyDescent="0.25">
      <c r="A10">
        <v>3</v>
      </c>
      <c r="B10" s="1">
        <f t="shared" ref="B10:B11" si="0">997+(995.7-997)/5*(B4-25)</f>
        <v>996.48519999999996</v>
      </c>
      <c r="C10" s="2">
        <f>(G4-F4)/H4/B10*3600</f>
        <v>2.8390644580428432</v>
      </c>
      <c r="D10" s="2">
        <v>2.5188895660375903</v>
      </c>
      <c r="E10" s="2">
        <v>2.992</v>
      </c>
    </row>
    <row r="11" spans="1:8" x14ac:dyDescent="0.25">
      <c r="A11">
        <v>4</v>
      </c>
      <c r="B11" s="1">
        <f t="shared" si="0"/>
        <v>996.58400000000006</v>
      </c>
      <c r="C11" s="2">
        <f>(G5-F5)/H5/B11*3600</f>
        <v>3.7344368362325704</v>
      </c>
      <c r="D11" s="2">
        <v>3.3309088869907142</v>
      </c>
      <c r="E11" s="2">
        <v>3.9580000000000002</v>
      </c>
    </row>
    <row r="13" spans="1:8" x14ac:dyDescent="0.25">
      <c r="A13" t="s">
        <v>59</v>
      </c>
      <c r="B13" t="s">
        <v>60</v>
      </c>
      <c r="C13" t="s">
        <v>9</v>
      </c>
      <c r="D13" s="1">
        <f>B3</f>
        <v>27.29</v>
      </c>
    </row>
    <row r="14" spans="1:8" x14ac:dyDescent="0.25">
      <c r="A14" t="s">
        <v>55</v>
      </c>
      <c r="B14" t="s">
        <v>56</v>
      </c>
      <c r="C14" t="s">
        <v>57</v>
      </c>
      <c r="D14" s="4">
        <f>D3*1000</f>
        <v>16864</v>
      </c>
    </row>
    <row r="15" spans="1:8" x14ac:dyDescent="0.25">
      <c r="A15" t="s">
        <v>34</v>
      </c>
      <c r="B15" t="s">
        <v>35</v>
      </c>
      <c r="C15" t="s">
        <v>36</v>
      </c>
      <c r="D15">
        <f>997+(995.7-997)/5*(D13-25)</f>
        <v>996.40460000000007</v>
      </c>
    </row>
    <row r="16" spans="1:8" x14ac:dyDescent="0.25">
      <c r="A16" t="s">
        <v>49</v>
      </c>
      <c r="B16" t="s">
        <v>48</v>
      </c>
      <c r="C16" t="s">
        <v>47</v>
      </c>
      <c r="D16">
        <f>(0.89+(0.798-0.89)/5*(D13-25))*0.001</f>
        <v>8.4786400000000004E-4</v>
      </c>
    </row>
    <row r="17" spans="1:4" x14ac:dyDescent="0.25">
      <c r="A17" t="s">
        <v>27</v>
      </c>
      <c r="B17" t="s">
        <v>25</v>
      </c>
      <c r="C17" t="s">
        <v>53</v>
      </c>
      <c r="D17">
        <f>12.17/1000</f>
        <v>1.217E-2</v>
      </c>
    </row>
    <row r="18" spans="1:4" x14ac:dyDescent="0.25">
      <c r="A18" t="s">
        <v>28</v>
      </c>
      <c r="B18" t="s">
        <v>26</v>
      </c>
      <c r="C18" t="s">
        <v>54</v>
      </c>
      <c r="D18">
        <f>19/1000</f>
        <v>1.9E-2</v>
      </c>
    </row>
    <row r="19" spans="1:4" x14ac:dyDescent="0.25">
      <c r="A19" t="s">
        <v>41</v>
      </c>
      <c r="B19" t="s">
        <v>43</v>
      </c>
      <c r="C19" t="s">
        <v>45</v>
      </c>
      <c r="D19">
        <f>PI()/4*D17^2</f>
        <v>1.1632445804281633E-4</v>
      </c>
    </row>
    <row r="20" spans="1:4" x14ac:dyDescent="0.25">
      <c r="A20" t="s">
        <v>42</v>
      </c>
      <c r="B20" t="s">
        <v>44</v>
      </c>
      <c r="C20" t="s">
        <v>45</v>
      </c>
      <c r="D20">
        <f>PI()/4*D18^2</f>
        <v>2.835287369864788E-4</v>
      </c>
    </row>
    <row r="21" spans="1:4" x14ac:dyDescent="0.25">
      <c r="B21" t="s">
        <v>37</v>
      </c>
      <c r="D21" s="4">
        <f>0.0254/D18</f>
        <v>1.3368421052631578</v>
      </c>
    </row>
    <row r="22" spans="1:4" x14ac:dyDescent="0.25">
      <c r="B22" t="s">
        <v>38</v>
      </c>
      <c r="D22" s="4">
        <f>0.0254/D18</f>
        <v>1.3368421052631578</v>
      </c>
    </row>
    <row r="23" spans="1:4" x14ac:dyDescent="0.25">
      <c r="B23" t="s">
        <v>21</v>
      </c>
      <c r="D23" s="4">
        <f>D17/D18</f>
        <v>0.64052631578947372</v>
      </c>
    </row>
    <row r="24" spans="1:4" x14ac:dyDescent="0.25">
      <c r="A24" t="s">
        <v>33</v>
      </c>
      <c r="B24" t="s">
        <v>32</v>
      </c>
      <c r="D24" s="4">
        <f>1/SQRT(1-D23^4)</f>
        <v>1.0965365299391157</v>
      </c>
    </row>
    <row r="25" spans="1:4" x14ac:dyDescent="0.25">
      <c r="A25" t="s">
        <v>29</v>
      </c>
      <c r="B25" t="s">
        <v>23</v>
      </c>
      <c r="D25" s="4">
        <v>500000</v>
      </c>
    </row>
    <row r="26" spans="1:4" x14ac:dyDescent="0.25">
      <c r="A26" t="s">
        <v>58</v>
      </c>
      <c r="B26" t="s">
        <v>22</v>
      </c>
      <c r="D26" s="4">
        <f>0.5959+0.0312*$D$23^2.1-0.184*$D$23^8+0.0029*$D$23^2.5*(1000000/D25)^0.75+0.09*$D$21*$D$23^4*(1-$D$23^4)^(-1)-0.0337*$D$22*$D$23^3</f>
        <v>0.61704281446833764</v>
      </c>
    </row>
    <row r="27" spans="1:4" x14ac:dyDescent="0.25">
      <c r="A27" t="s">
        <v>30</v>
      </c>
      <c r="B27" t="s">
        <v>24</v>
      </c>
      <c r="C27" t="s">
        <v>31</v>
      </c>
      <c r="D27" s="4">
        <f>D26*$D$24*$D$19*SQRT(2*$D$15*$D$14)</f>
        <v>0.45627071788497536</v>
      </c>
    </row>
    <row r="28" spans="1:4" x14ac:dyDescent="0.25">
      <c r="A28" t="s">
        <v>50</v>
      </c>
      <c r="B28" t="s">
        <v>39</v>
      </c>
      <c r="C28" t="s">
        <v>40</v>
      </c>
      <c r="D28" s="4">
        <f>D27/$D$15/$D$20</f>
        <v>1.6150642010413103</v>
      </c>
    </row>
    <row r="29" spans="1:4" x14ac:dyDescent="0.25">
      <c r="A29" t="s">
        <v>29</v>
      </c>
      <c r="B29" t="s">
        <v>46</v>
      </c>
      <c r="D29" s="4">
        <f>$D$15*D28*$D$18/$D$16</f>
        <v>36062.258316245105</v>
      </c>
    </row>
    <row r="30" spans="1:4" x14ac:dyDescent="0.25">
      <c r="A30" t="s">
        <v>58</v>
      </c>
      <c r="B30" t="s">
        <v>22</v>
      </c>
      <c r="D30" s="4">
        <f>0.5959+0.0312*$D$23^2.1-0.184*$D$23^8+0.0029*$D$23^2.5*(1000000/D29)^0.75+0.09*$D$21*$D$23^4*(1-$D$23^4)^(-1)-0.0337*$D$22*$D$23^3</f>
        <v>0.62694806507218126</v>
      </c>
    </row>
    <row r="31" spans="1:4" x14ac:dyDescent="0.25">
      <c r="A31" t="s">
        <v>30</v>
      </c>
      <c r="B31" t="s">
        <v>24</v>
      </c>
      <c r="C31" t="s">
        <v>19</v>
      </c>
      <c r="D31" s="4">
        <f>D30*$D$24*$D$19*SQRT(2*$D$15*$D$14)</f>
        <v>0.46359512989962687</v>
      </c>
    </row>
    <row r="32" spans="1:4" x14ac:dyDescent="0.25">
      <c r="A32" t="s">
        <v>50</v>
      </c>
      <c r="B32" t="s">
        <v>39</v>
      </c>
      <c r="C32" t="s">
        <v>40</v>
      </c>
      <c r="D32" s="4">
        <f>D31/$D$15/$D$20</f>
        <v>1.6409904662493322</v>
      </c>
    </row>
    <row r="33" spans="1:4" x14ac:dyDescent="0.25">
      <c r="A33" t="s">
        <v>29</v>
      </c>
      <c r="B33" t="s">
        <v>46</v>
      </c>
      <c r="D33" s="4">
        <f>$D$15*D32*$D$18/$D$16</f>
        <v>36641.157701485856</v>
      </c>
    </row>
    <row r="34" spans="1:4" x14ac:dyDescent="0.25">
      <c r="A34" t="s">
        <v>58</v>
      </c>
      <c r="B34" t="s">
        <v>22</v>
      </c>
      <c r="D34" s="4">
        <f>0.5959+0.0312*$D$23^2.1-0.184*$D$23^8+0.0029*$D$23^2.5*(1000000/D33)^0.75+0.09*$D$21*$D$23^4*(1-$D$23^4)^(-1)-0.0337*$D$22*$D$23^3</f>
        <v>0.62681144690917279</v>
      </c>
    </row>
    <row r="35" spans="1:4" x14ac:dyDescent="0.25">
      <c r="A35" t="s">
        <v>30</v>
      </c>
      <c r="B35" t="s">
        <v>24</v>
      </c>
      <c r="C35" t="s">
        <v>19</v>
      </c>
      <c r="D35" s="4">
        <f>D34*$D$24*$D$19*SQRT(2*$D$15*$D$14)</f>
        <v>0.46349410795131091</v>
      </c>
    </row>
    <row r="36" spans="1:4" x14ac:dyDescent="0.25">
      <c r="A36" t="s">
        <v>50</v>
      </c>
      <c r="B36" t="s">
        <v>39</v>
      </c>
      <c r="C36" t="s">
        <v>40</v>
      </c>
      <c r="D36" s="4">
        <f>D35/$D$15/$D$20</f>
        <v>1.6406328782520117</v>
      </c>
    </row>
    <row r="37" spans="1:4" x14ac:dyDescent="0.25">
      <c r="A37" t="s">
        <v>29</v>
      </c>
      <c r="B37" t="s">
        <v>46</v>
      </c>
      <c r="D37" s="4">
        <f>$D$15*D36*$D$18/$D$16</f>
        <v>36633.173232062385</v>
      </c>
    </row>
    <row r="38" spans="1:4" x14ac:dyDescent="0.25">
      <c r="A38" t="s">
        <v>58</v>
      </c>
      <c r="B38" t="s">
        <v>22</v>
      </c>
      <c r="D38" s="4">
        <f>0.5959+0.0312*$D$23^2.1-0.184*$D$23^8+0.0029*$D$23^2.5*(1000000/D37)^0.75+0.09*$D$21*$D$23^4*(1-$D$23^4)^(-1)-0.0337*$D$22*$D$23^3</f>
        <v>0.6268133055030638</v>
      </c>
    </row>
    <row r="39" spans="1:4" x14ac:dyDescent="0.25">
      <c r="A39" t="s">
        <v>30</v>
      </c>
      <c r="B39" t="s">
        <v>24</v>
      </c>
      <c r="C39" t="s">
        <v>19</v>
      </c>
      <c r="D39" s="4">
        <f>D38*$D$24*$D$19*SQRT(2*$D$15*$D$14)</f>
        <v>0.46349548228377052</v>
      </c>
    </row>
    <row r="40" spans="1:4" x14ac:dyDescent="0.25">
      <c r="A40" t="s">
        <v>50</v>
      </c>
      <c r="B40" t="s">
        <v>39</v>
      </c>
      <c r="C40" t="s">
        <v>40</v>
      </c>
      <c r="D40" s="4">
        <f>D39/$D$15/$D$20</f>
        <v>1.6406377429848749</v>
      </c>
    </row>
    <row r="41" spans="1:4" x14ac:dyDescent="0.25">
      <c r="A41" t="s">
        <v>29</v>
      </c>
      <c r="B41" t="s">
        <v>46</v>
      </c>
      <c r="D41" s="4">
        <f>$D$15*D40*$D$18/$D$16</f>
        <v>36633.281855145629</v>
      </c>
    </row>
    <row r="42" spans="1:4" x14ac:dyDescent="0.25">
      <c r="A42" t="s">
        <v>51</v>
      </c>
      <c r="B42" t="s">
        <v>52</v>
      </c>
      <c r="C42" t="s">
        <v>8</v>
      </c>
      <c r="D42" s="4">
        <f>D39/$D$15*3600</f>
        <v>1.6746046096350555</v>
      </c>
    </row>
    <row r="44" spans="1:4" x14ac:dyDescent="0.25">
      <c r="A44" t="s">
        <v>63</v>
      </c>
      <c r="B44">
        <f>SLOPE(D9:D11,C9:C11)</f>
        <v>0.81717259971564049</v>
      </c>
    </row>
    <row r="45" spans="1:4" x14ac:dyDescent="0.25">
      <c r="A45" t="s">
        <v>64</v>
      </c>
      <c r="B45">
        <f>INTERCEPT(D9:D11,C9:C11)</f>
        <v>0.25049717965347718</v>
      </c>
    </row>
    <row r="46" spans="1:4" x14ac:dyDescent="0.25">
      <c r="A46" t="s">
        <v>65</v>
      </c>
      <c r="B46">
        <f>SLOPE(E9:E11,C9:C11)</f>
        <v>0.9714223400451687</v>
      </c>
    </row>
    <row r="47" spans="1:4" x14ac:dyDescent="0.25">
      <c r="A47" t="s">
        <v>66</v>
      </c>
      <c r="B47">
        <f>INTERCEPT(E9:E11,C9:C11)</f>
        <v>0.29587723306385305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5" workbookViewId="0">
      <selection activeCell="C20" sqref="C20"/>
    </sheetView>
  </sheetViews>
  <sheetFormatPr defaultRowHeight="14.4" x14ac:dyDescent="0.25"/>
  <cols>
    <col min="1" max="1" width="18.33203125" bestFit="1" customWidth="1"/>
    <col min="2" max="2" width="9.5546875" bestFit="1" customWidth="1"/>
    <col min="3" max="3" width="13.88671875" bestFit="1" customWidth="1"/>
    <col min="4" max="4" width="12.77734375" bestFit="1" customWidth="1"/>
    <col min="5" max="5" width="13.88671875" bestFit="1" customWidth="1"/>
    <col min="6" max="7" width="9.5546875" bestFit="1" customWidth="1"/>
    <col min="8" max="8" width="10.5546875" bestFit="1" customWidth="1"/>
  </cols>
  <sheetData>
    <row r="1" spans="1:9" x14ac:dyDescent="0.25">
      <c r="A1" t="s">
        <v>0</v>
      </c>
      <c r="B1" t="s">
        <v>15</v>
      </c>
      <c r="C1" t="s">
        <v>2</v>
      </c>
      <c r="D1" t="s">
        <v>3</v>
      </c>
      <c r="E1" t="s">
        <v>16</v>
      </c>
      <c r="F1" t="s">
        <v>17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18</v>
      </c>
      <c r="F2" t="s">
        <v>8</v>
      </c>
    </row>
    <row r="3" spans="1:9" x14ac:dyDescent="0.25">
      <c r="A3" s="3">
        <v>20</v>
      </c>
      <c r="B3" s="1">
        <v>31.15</v>
      </c>
      <c r="C3" s="1">
        <v>3.53</v>
      </c>
      <c r="D3" s="1">
        <v>2.1</v>
      </c>
      <c r="E3" s="1">
        <v>4.33</v>
      </c>
      <c r="F3" s="1">
        <v>20.23</v>
      </c>
    </row>
    <row r="4" spans="1:9" x14ac:dyDescent="0.25">
      <c r="A4" s="3"/>
      <c r="B4" s="1">
        <v>31.13</v>
      </c>
      <c r="C4" s="1">
        <v>3.59</v>
      </c>
      <c r="D4" s="1">
        <v>2.0699999999999998</v>
      </c>
      <c r="E4" s="1">
        <v>4.4000000000000004</v>
      </c>
      <c r="F4" s="1">
        <v>19.97</v>
      </c>
    </row>
    <row r="5" spans="1:9" x14ac:dyDescent="0.25">
      <c r="A5" s="3"/>
      <c r="B5" s="1">
        <v>31.03</v>
      </c>
      <c r="C5" s="1">
        <v>3.77</v>
      </c>
      <c r="D5" s="1">
        <v>2.0299999999999998</v>
      </c>
      <c r="E5" s="1">
        <v>4.5199999999999996</v>
      </c>
      <c r="F5" s="1">
        <v>20.010000000000002</v>
      </c>
    </row>
    <row r="6" spans="1:9" x14ac:dyDescent="0.25">
      <c r="A6" s="3">
        <v>30</v>
      </c>
      <c r="B6" s="1">
        <v>31.12</v>
      </c>
      <c r="C6" s="1">
        <v>9.2200000000000006</v>
      </c>
      <c r="D6" s="1">
        <v>4.95</v>
      </c>
      <c r="E6" s="1">
        <v>10.92</v>
      </c>
      <c r="F6" s="1">
        <v>29.51</v>
      </c>
    </row>
    <row r="7" spans="1:9" x14ac:dyDescent="0.25">
      <c r="A7" s="3"/>
      <c r="B7" s="1">
        <v>31.2</v>
      </c>
      <c r="C7" s="1">
        <v>9.2799999999999994</v>
      </c>
      <c r="D7" s="1">
        <v>4.99</v>
      </c>
      <c r="E7" s="1">
        <v>10.99</v>
      </c>
      <c r="F7" s="1">
        <v>29.49</v>
      </c>
    </row>
    <row r="8" spans="1:9" x14ac:dyDescent="0.25">
      <c r="A8" s="3"/>
      <c r="B8" s="1">
        <v>31.18</v>
      </c>
      <c r="C8" s="1">
        <v>9.3000000000000007</v>
      </c>
      <c r="D8" s="1">
        <v>4.9800000000000004</v>
      </c>
      <c r="E8" s="1">
        <v>11.01</v>
      </c>
      <c r="F8" s="1">
        <v>29.67</v>
      </c>
    </row>
    <row r="9" spans="1:9" x14ac:dyDescent="0.25">
      <c r="A9" s="3">
        <v>40</v>
      </c>
      <c r="B9" s="1">
        <v>31.55</v>
      </c>
      <c r="C9" s="1">
        <v>16.72</v>
      </c>
      <c r="D9" s="1">
        <v>10.28</v>
      </c>
      <c r="E9" s="1">
        <v>19.89</v>
      </c>
      <c r="F9" s="1">
        <v>39.880000000000003</v>
      </c>
    </row>
    <row r="10" spans="1:9" x14ac:dyDescent="0.25">
      <c r="A10" s="3"/>
      <c r="B10" s="1">
        <v>31.55</v>
      </c>
      <c r="C10" s="1">
        <v>16.73</v>
      </c>
      <c r="D10" s="1">
        <v>10.27</v>
      </c>
      <c r="E10" s="1">
        <v>19.91</v>
      </c>
      <c r="F10" s="1">
        <v>39.880000000000003</v>
      </c>
    </row>
    <row r="11" spans="1:9" x14ac:dyDescent="0.25">
      <c r="A11" s="3"/>
      <c r="B11" s="1">
        <v>31.5</v>
      </c>
      <c r="C11" s="1">
        <v>16.73</v>
      </c>
      <c r="D11" s="1">
        <v>10.28</v>
      </c>
      <c r="E11" s="1">
        <v>19.91</v>
      </c>
      <c r="F11" s="1">
        <v>39.93</v>
      </c>
    </row>
    <row r="13" spans="1:9" x14ac:dyDescent="0.25">
      <c r="A13" t="s">
        <v>70</v>
      </c>
      <c r="B13" t="s">
        <v>72</v>
      </c>
      <c r="C13">
        <v>94.43</v>
      </c>
      <c r="D13" t="s">
        <v>71</v>
      </c>
      <c r="E13" t="s">
        <v>73</v>
      </c>
      <c r="F13">
        <v>27.8</v>
      </c>
    </row>
    <row r="15" spans="1:9" x14ac:dyDescent="0.25">
      <c r="A15" t="s">
        <v>0</v>
      </c>
      <c r="B15" t="s">
        <v>15</v>
      </c>
      <c r="C15" t="s">
        <v>2</v>
      </c>
      <c r="D15" t="s">
        <v>3</v>
      </c>
      <c r="E15" t="s">
        <v>16</v>
      </c>
      <c r="F15" t="s">
        <v>17</v>
      </c>
      <c r="G15" t="s">
        <v>67</v>
      </c>
      <c r="H15" t="s">
        <v>74</v>
      </c>
      <c r="I15" t="s">
        <v>75</v>
      </c>
    </row>
    <row r="16" spans="1:9" x14ac:dyDescent="0.25">
      <c r="A16" t="s">
        <v>8</v>
      </c>
      <c r="B16" t="s">
        <v>9</v>
      </c>
      <c r="C16" t="s">
        <v>10</v>
      </c>
      <c r="D16" t="s">
        <v>10</v>
      </c>
      <c r="E16" t="s">
        <v>10</v>
      </c>
      <c r="F16" t="s">
        <v>8</v>
      </c>
      <c r="G16" t="s">
        <v>68</v>
      </c>
      <c r="H16" t="s">
        <v>69</v>
      </c>
      <c r="I16" t="s">
        <v>8</v>
      </c>
    </row>
    <row r="17" spans="1:9" x14ac:dyDescent="0.25">
      <c r="A17">
        <v>20</v>
      </c>
      <c r="B17" s="1">
        <f>AVERAGE(B3:B5)</f>
        <v>31.103333333333335</v>
      </c>
      <c r="C17" s="1">
        <f t="shared" ref="C17:F17" si="0">AVERAGE(C3:C5)</f>
        <v>3.6299999999999994</v>
      </c>
      <c r="D17" s="1">
        <f t="shared" si="0"/>
        <v>2.0666666666666664</v>
      </c>
      <c r="E17" s="1">
        <f t="shared" si="0"/>
        <v>4.416666666666667</v>
      </c>
      <c r="F17" s="1">
        <f t="shared" si="0"/>
        <v>20.070000000000004</v>
      </c>
      <c r="G17" s="2">
        <f>1.2046*($C$13+C17)*293.15/(101.325*(B17+273.15))</f>
        <v>1.1232403311821939</v>
      </c>
      <c r="H17" s="5">
        <f>0.000017894*((B17+273.15)/288.15)^1.5*(288.15+110.4)/((B17+273.15)+110.4)</f>
        <v>1.8660796081468061E-5</v>
      </c>
      <c r="I17">
        <v>17.283887379781561</v>
      </c>
    </row>
    <row r="18" spans="1:9" x14ac:dyDescent="0.25">
      <c r="A18">
        <v>30</v>
      </c>
      <c r="B18" s="1">
        <f>AVERAGE(B6:B8)</f>
        <v>31.166666666666668</v>
      </c>
      <c r="C18" s="1">
        <f t="shared" ref="C18:F18" si="1">AVERAGE(C6:C8)</f>
        <v>9.2666666666666675</v>
      </c>
      <c r="D18" s="1">
        <f t="shared" si="1"/>
        <v>4.9733333333333336</v>
      </c>
      <c r="E18" s="1">
        <f t="shared" si="1"/>
        <v>10.973333333333334</v>
      </c>
      <c r="F18" s="1">
        <f t="shared" si="1"/>
        <v>29.556666666666668</v>
      </c>
      <c r="G18" s="2">
        <f t="shared" ref="G18:G19" si="2">1.2046*($C$13+C18)*293.15/(101.325*(B18+273.15))</f>
        <v>1.1875590206866202</v>
      </c>
      <c r="H18" s="5">
        <f t="shared" ref="H18:H19" si="3">0.000017894*((B18+273.15)/288.15)^1.5*(288.15+110.4)/((B18+273.15)+110.4)</f>
        <v>1.8663772360089619E-5</v>
      </c>
      <c r="I18">
        <v>25.86045347877171</v>
      </c>
    </row>
    <row r="19" spans="1:9" x14ac:dyDescent="0.25">
      <c r="A19">
        <v>40</v>
      </c>
      <c r="B19" s="1">
        <f>AVERAGE(B9:B11)</f>
        <v>31.533333333333331</v>
      </c>
      <c r="C19" s="1">
        <f t="shared" ref="C19:F19" si="4">AVERAGE(C9:C11)</f>
        <v>16.72666666666667</v>
      </c>
      <c r="D19" s="1">
        <f t="shared" si="4"/>
        <v>10.276666666666666</v>
      </c>
      <c r="E19" s="1">
        <f t="shared" si="4"/>
        <v>19.903333333333332</v>
      </c>
      <c r="F19" s="1">
        <f t="shared" si="4"/>
        <v>39.896666666666668</v>
      </c>
      <c r="G19" s="2">
        <f t="shared" si="2"/>
        <v>1.2714607600521148</v>
      </c>
      <c r="H19" s="5">
        <f t="shared" si="3"/>
        <v>1.8680997499718168E-5</v>
      </c>
      <c r="I19">
        <v>35.74115444110825</v>
      </c>
    </row>
    <row r="21" spans="1:9" x14ac:dyDescent="0.25">
      <c r="D21" s="1"/>
    </row>
    <row r="22" spans="1:9" x14ac:dyDescent="0.25">
      <c r="A22" t="s">
        <v>55</v>
      </c>
      <c r="B22" t="s">
        <v>56</v>
      </c>
      <c r="C22" t="s">
        <v>57</v>
      </c>
      <c r="D22" s="4">
        <f>D19*1000</f>
        <v>10276.666666666666</v>
      </c>
    </row>
    <row r="23" spans="1:9" x14ac:dyDescent="0.25">
      <c r="A23" t="s">
        <v>34</v>
      </c>
      <c r="B23" t="s">
        <v>35</v>
      </c>
      <c r="C23" t="s">
        <v>36</v>
      </c>
      <c r="D23" s="2">
        <f>G19</f>
        <v>1.2714607600521148</v>
      </c>
    </row>
    <row r="24" spans="1:9" x14ac:dyDescent="0.25">
      <c r="A24" t="s">
        <v>49</v>
      </c>
      <c r="B24" t="s">
        <v>48</v>
      </c>
      <c r="C24" t="s">
        <v>47</v>
      </c>
      <c r="D24" s="5">
        <f>H19</f>
        <v>1.8680997499718168E-5</v>
      </c>
    </row>
    <row r="25" spans="1:9" x14ac:dyDescent="0.25">
      <c r="A25" t="s">
        <v>27</v>
      </c>
      <c r="B25" t="s">
        <v>25</v>
      </c>
      <c r="C25" t="s">
        <v>53</v>
      </c>
      <c r="D25">
        <f>12.07/1000</f>
        <v>1.2070000000000001E-2</v>
      </c>
    </row>
    <row r="26" spans="1:9" x14ac:dyDescent="0.25">
      <c r="A26" t="s">
        <v>28</v>
      </c>
      <c r="B26" t="s">
        <v>26</v>
      </c>
      <c r="C26" t="s">
        <v>54</v>
      </c>
      <c r="D26">
        <f>19/1000</f>
        <v>1.9E-2</v>
      </c>
    </row>
    <row r="27" spans="1:9" x14ac:dyDescent="0.25">
      <c r="A27" t="s">
        <v>41</v>
      </c>
      <c r="B27" t="s">
        <v>43</v>
      </c>
      <c r="C27" t="s">
        <v>45</v>
      </c>
      <c r="D27">
        <f>PI()/4*D25^2</f>
        <v>1.1442065289474092E-4</v>
      </c>
    </row>
    <row r="28" spans="1:9" x14ac:dyDescent="0.25">
      <c r="A28" t="s">
        <v>42</v>
      </c>
      <c r="B28" t="s">
        <v>44</v>
      </c>
      <c r="C28" t="s">
        <v>45</v>
      </c>
      <c r="D28">
        <f>PI()/4*D26^2</f>
        <v>2.835287369864788E-4</v>
      </c>
    </row>
    <row r="29" spans="1:9" x14ac:dyDescent="0.25">
      <c r="B29" t="s">
        <v>37</v>
      </c>
      <c r="D29" s="4">
        <f>0.0254/D26</f>
        <v>1.3368421052631578</v>
      </c>
    </row>
    <row r="30" spans="1:9" x14ac:dyDescent="0.25">
      <c r="B30" t="s">
        <v>38</v>
      </c>
      <c r="D30" s="4">
        <f>0.0254/D26</f>
        <v>1.3368421052631578</v>
      </c>
    </row>
    <row r="31" spans="1:9" x14ac:dyDescent="0.25">
      <c r="B31" t="s">
        <v>21</v>
      </c>
      <c r="D31" s="4">
        <f>D25/D26</f>
        <v>0.63526315789473686</v>
      </c>
    </row>
    <row r="32" spans="1:9" x14ac:dyDescent="0.25">
      <c r="A32" t="s">
        <v>33</v>
      </c>
      <c r="B32" t="s">
        <v>32</v>
      </c>
      <c r="D32" s="4">
        <f>1/SQRT(1-D31^4)</f>
        <v>1.0929517179572332</v>
      </c>
    </row>
    <row r="33" spans="1:4" x14ac:dyDescent="0.25">
      <c r="A33" t="s">
        <v>29</v>
      </c>
      <c r="B33" t="s">
        <v>23</v>
      </c>
      <c r="D33" s="4">
        <v>500000</v>
      </c>
    </row>
    <row r="34" spans="1:4" x14ac:dyDescent="0.25">
      <c r="A34" t="s">
        <v>58</v>
      </c>
      <c r="B34" t="s">
        <v>22</v>
      </c>
      <c r="D34" s="4">
        <f>0.5959+0.0312*$D$31^2.1-0.184*$D$31^8+0.0029*$D$31^2.5*(1000000/D33)^0.75+0.09*$D$29*$D$31^4*(1-$D$31^4)^(-1)-0.0337*$D$30*$D$31^3</f>
        <v>0.6164779267580891</v>
      </c>
    </row>
    <row r="35" spans="1:4" x14ac:dyDescent="0.25">
      <c r="A35" t="s">
        <v>30</v>
      </c>
      <c r="B35" t="s">
        <v>24</v>
      </c>
      <c r="C35" t="s">
        <v>19</v>
      </c>
      <c r="D35" s="4">
        <f>D34*$D$32*$D$27*SQRT(2*$D$23*$D$22)</f>
        <v>1.2462797637928872E-2</v>
      </c>
    </row>
    <row r="36" spans="1:4" x14ac:dyDescent="0.25">
      <c r="A36" t="s">
        <v>50</v>
      </c>
      <c r="B36" t="s">
        <v>39</v>
      </c>
      <c r="C36" t="s">
        <v>40</v>
      </c>
      <c r="D36" s="4">
        <f>D35/$D$23/$D$28</f>
        <v>34.571283103676919</v>
      </c>
    </row>
    <row r="37" spans="1:4" x14ac:dyDescent="0.25">
      <c r="A37" t="s">
        <v>29</v>
      </c>
      <c r="B37" t="s">
        <v>46</v>
      </c>
      <c r="D37" s="4">
        <f>$D$23*D36*$D$26/$D$24</f>
        <v>44706.636674041612</v>
      </c>
    </row>
    <row r="38" spans="1:4" x14ac:dyDescent="0.25">
      <c r="A38" t="s">
        <v>58</v>
      </c>
      <c r="B38" t="s">
        <v>22</v>
      </c>
      <c r="D38" s="4">
        <f>0.5959+0.0312*$D$31^2.1-0.184*$D$31^8+0.0029*$D$31^2.5*(1000000/D37)^0.75+0.09*$D$29*$D$31^4*(1-$D$31^4)^(-1)-0.0337*$D$30*$D$31^3</f>
        <v>0.62450324978612648</v>
      </c>
    </row>
    <row r="39" spans="1:4" x14ac:dyDescent="0.25">
      <c r="A39" t="s">
        <v>30</v>
      </c>
      <c r="B39" t="s">
        <v>24</v>
      </c>
      <c r="C39" t="s">
        <v>19</v>
      </c>
      <c r="D39" s="4">
        <f>D38*$D$32*$D$27*SQRT(2*$D$23*$D$22)</f>
        <v>1.2625038608020715E-2</v>
      </c>
    </row>
    <row r="40" spans="1:4" x14ac:dyDescent="0.25">
      <c r="A40" t="s">
        <v>50</v>
      </c>
      <c r="B40" t="s">
        <v>39</v>
      </c>
      <c r="C40" t="s">
        <v>40</v>
      </c>
      <c r="D40" s="4">
        <f>D39/$D$23/$D$28</f>
        <v>35.021332817313485</v>
      </c>
    </row>
    <row r="41" spans="1:4" x14ac:dyDescent="0.25">
      <c r="A41" t="s">
        <v>29</v>
      </c>
      <c r="B41" t="s">
        <v>46</v>
      </c>
      <c r="D41" s="4">
        <f>$D$23*D40*$D$26/$D$24</f>
        <v>45288.628640393203</v>
      </c>
    </row>
    <row r="42" spans="1:4" x14ac:dyDescent="0.25">
      <c r="A42" t="s">
        <v>58</v>
      </c>
      <c r="B42" t="s">
        <v>22</v>
      </c>
      <c r="D42" s="4">
        <f>0.5959+0.0312*$D$31^2.1-0.184*$D$31^8+0.0029*$D$31^2.5*(1000000/D41)^0.75+0.09*$D$29*$D$31^4*(1-$D$31^4)^(-1)-0.0337*$D$30*$D$31^3</f>
        <v>0.62441063228127691</v>
      </c>
    </row>
    <row r="43" spans="1:4" x14ac:dyDescent="0.25">
      <c r="A43" t="s">
        <v>30</v>
      </c>
      <c r="B43" t="s">
        <v>24</v>
      </c>
      <c r="C43" t="s">
        <v>19</v>
      </c>
      <c r="D43" s="4">
        <f>D42*$D$32*$D$27*SQRT(2*$D$23*$D$22)</f>
        <v>1.2623166240543196E-2</v>
      </c>
    </row>
    <row r="44" spans="1:4" x14ac:dyDescent="0.25">
      <c r="A44" t="s">
        <v>50</v>
      </c>
      <c r="B44" t="s">
        <v>39</v>
      </c>
      <c r="C44" t="s">
        <v>40</v>
      </c>
      <c r="D44" s="4">
        <f>D43/$D$23/$D$28</f>
        <v>35.016138947684851</v>
      </c>
    </row>
    <row r="45" spans="1:4" x14ac:dyDescent="0.25">
      <c r="A45" t="s">
        <v>29</v>
      </c>
      <c r="B45" t="s">
        <v>46</v>
      </c>
      <c r="D45" s="4">
        <f>$D$23*D44*$D$26/$D$24</f>
        <v>45281.912070408704</v>
      </c>
    </row>
    <row r="46" spans="1:4" x14ac:dyDescent="0.25">
      <c r="A46" t="s">
        <v>58</v>
      </c>
      <c r="B46" t="s">
        <v>22</v>
      </c>
      <c r="D46" s="4">
        <f>0.5959+0.0312*$D$31^2.1-0.184*$D$31^8+0.0029*$D$31^2.5*(1000000/D45)^0.75+0.09*$D$29*$D$31^4*(1-$D$31^4)^(-1)-0.0337*$D$30*$D$31^3</f>
        <v>0.62441168926011403</v>
      </c>
    </row>
    <row r="47" spans="1:4" x14ac:dyDescent="0.25">
      <c r="A47" t="s">
        <v>30</v>
      </c>
      <c r="B47" t="s">
        <v>24</v>
      </c>
      <c r="C47" t="s">
        <v>19</v>
      </c>
      <c r="D47" s="4">
        <f>D46*$D$32*$D$27*SQRT(2*$D$23*$D$22)</f>
        <v>1.2623187608564309E-2</v>
      </c>
    </row>
    <row r="48" spans="1:4" x14ac:dyDescent="0.25">
      <c r="A48" t="s">
        <v>50</v>
      </c>
      <c r="B48" t="s">
        <v>39</v>
      </c>
      <c r="C48" t="s">
        <v>40</v>
      </c>
      <c r="D48" s="4">
        <f>D47/$D$23/$D$28</f>
        <v>35.016198221688065</v>
      </c>
    </row>
    <row r="49" spans="1:4" x14ac:dyDescent="0.25">
      <c r="A49" t="s">
        <v>29</v>
      </c>
      <c r="B49" t="s">
        <v>46</v>
      </c>
      <c r="D49" s="4">
        <f>$D$23*D48*$D$26/$D$24</f>
        <v>45281.988721926617</v>
      </c>
    </row>
    <row r="50" spans="1:4" x14ac:dyDescent="0.25">
      <c r="A50" t="s">
        <v>51</v>
      </c>
      <c r="B50" t="s">
        <v>52</v>
      </c>
      <c r="C50" t="s">
        <v>8</v>
      </c>
      <c r="D50" s="4">
        <f>D47/$D$23*3600</f>
        <v>35.74115444110825</v>
      </c>
    </row>
  </sheetData>
  <mergeCells count="3">
    <mergeCell ref="A3:A5"/>
    <mergeCell ref="A6:A8"/>
    <mergeCell ref="A9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液体</vt:lpstr>
      <vt:lpstr>气体</vt:lpstr>
    </vt:vector>
  </TitlesOfParts>
  <Company>GanlvTech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Ganlv</dc:creator>
  <cp:lastModifiedBy>Ganlv</cp:lastModifiedBy>
  <dcterms:created xsi:type="dcterms:W3CDTF">2018-05-22T06:26:06Z</dcterms:created>
  <dcterms:modified xsi:type="dcterms:W3CDTF">2018-05-22T10:44:30Z</dcterms:modified>
</cp:coreProperties>
</file>