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下\离心压缩机气动实验\"/>
    </mc:Choice>
  </mc:AlternateContent>
  <bookViews>
    <workbookView xWindow="0" yWindow="0" windowWidth="23040" windowHeight="9504" activeTab="3"/>
  </bookViews>
  <sheets>
    <sheet name="原始数据" sheetId="1" r:id="rId1"/>
    <sheet name="平均" sheetId="2" r:id="rId2"/>
    <sheet name="处理" sheetId="3" r:id="rId3"/>
    <sheet name="设计工况性能换算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G37" i="4"/>
  <c r="F37" i="4"/>
  <c r="E37" i="4"/>
  <c r="D37" i="4"/>
  <c r="E26" i="4"/>
  <c r="H25" i="4"/>
  <c r="H26" i="4" s="1"/>
  <c r="G25" i="4"/>
  <c r="G26" i="4" s="1"/>
  <c r="F25" i="4"/>
  <c r="F26" i="4" s="1"/>
  <c r="E25" i="4"/>
  <c r="D25" i="4"/>
  <c r="D26" i="4" s="1"/>
  <c r="H24" i="4"/>
  <c r="H30" i="4" s="1"/>
  <c r="H32" i="4" s="1"/>
  <c r="G24" i="4"/>
  <c r="F24" i="4"/>
  <c r="E24" i="4"/>
  <c r="D24" i="4"/>
  <c r="D30" i="4" s="1"/>
  <c r="D32" i="4" s="1"/>
  <c r="H23" i="4"/>
  <c r="G23" i="4"/>
  <c r="F23" i="4"/>
  <c r="E23" i="4"/>
  <c r="E29" i="4" s="1"/>
  <c r="E31" i="4" s="1"/>
  <c r="D23" i="4"/>
  <c r="E21" i="3"/>
  <c r="F21" i="3"/>
  <c r="G21" i="3"/>
  <c r="H21" i="3"/>
  <c r="D21" i="3"/>
  <c r="G27" i="4" l="1"/>
  <c r="G29" i="4"/>
  <c r="G31" i="4" s="1"/>
  <c r="G28" i="4"/>
  <c r="D28" i="4"/>
  <c r="D27" i="4"/>
  <c r="H28" i="4"/>
  <c r="H27" i="4"/>
  <c r="D29" i="4"/>
  <c r="D31" i="4" s="1"/>
  <c r="D33" i="4" s="1"/>
  <c r="D34" i="4" s="1"/>
  <c r="D35" i="4" s="1"/>
  <c r="D36" i="4" s="1"/>
  <c r="D38" i="4" s="1"/>
  <c r="D9" i="4" s="1"/>
  <c r="D11" i="4" s="1"/>
  <c r="H29" i="4"/>
  <c r="H31" i="4" s="1"/>
  <c r="H33" i="4" s="1"/>
  <c r="H34" i="4" s="1"/>
  <c r="H35" i="4" s="1"/>
  <c r="H36" i="4" s="1"/>
  <c r="H38" i="4" s="1"/>
  <c r="H9" i="4" s="1"/>
  <c r="H11" i="4" s="1"/>
  <c r="G30" i="4"/>
  <c r="G32" i="4" s="1"/>
  <c r="G33" i="4" s="1"/>
  <c r="G34" i="4" s="1"/>
  <c r="G35" i="4" s="1"/>
  <c r="G36" i="4" s="1"/>
  <c r="G38" i="4" s="1"/>
  <c r="F28" i="4"/>
  <c r="F27" i="4"/>
  <c r="F30" i="4"/>
  <c r="F32" i="4" s="1"/>
  <c r="F33" i="4" s="1"/>
  <c r="F34" i="4" s="1"/>
  <c r="F35" i="4" s="1"/>
  <c r="F36" i="4" s="1"/>
  <c r="F38" i="4" s="1"/>
  <c r="F29" i="4"/>
  <c r="F31" i="4" s="1"/>
  <c r="E30" i="4"/>
  <c r="E32" i="4" s="1"/>
  <c r="E33" i="4" s="1"/>
  <c r="E34" i="4" s="1"/>
  <c r="E35" i="4" s="1"/>
  <c r="E36" i="4" s="1"/>
  <c r="E38" i="4" s="1"/>
  <c r="E27" i="4"/>
  <c r="E28" i="4"/>
  <c r="I5" i="4"/>
  <c r="H5" i="4"/>
  <c r="I33" i="4"/>
  <c r="I26" i="4"/>
  <c r="I6" i="4"/>
  <c r="I34" i="4" s="1"/>
  <c r="I35" i="4" s="1"/>
  <c r="E5" i="4"/>
  <c r="F5" i="4"/>
  <c r="G5" i="4"/>
  <c r="D5" i="4"/>
  <c r="D2" i="4"/>
  <c r="E2" i="4"/>
  <c r="F2" i="4"/>
  <c r="G2" i="4"/>
  <c r="G3" i="4" s="1"/>
  <c r="H2" i="4"/>
  <c r="F3" i="4" l="1"/>
  <c r="G9" i="4"/>
  <c r="G11" i="4" s="1"/>
  <c r="E9" i="4"/>
  <c r="E11" i="4" s="1"/>
  <c r="D4" i="4"/>
  <c r="D6" i="4" s="1"/>
  <c r="D7" i="4" s="1"/>
  <c r="F9" i="4"/>
  <c r="F11" i="4" s="1"/>
  <c r="H4" i="4"/>
  <c r="H6" i="4" s="1"/>
  <c r="E4" i="4"/>
  <c r="E6" i="4" s="1"/>
  <c r="E8" i="4" s="1"/>
  <c r="I36" i="4"/>
  <c r="I38" i="4" s="1"/>
  <c r="I9" i="4" s="1"/>
  <c r="I11" i="4" s="1"/>
  <c r="G4" i="4"/>
  <c r="I4" i="4"/>
  <c r="I10" i="4" s="1"/>
  <c r="I12" i="4" s="1"/>
  <c r="D3" i="4"/>
  <c r="E3" i="4"/>
  <c r="H3" i="4"/>
  <c r="E26" i="3"/>
  <c r="F26" i="3"/>
  <c r="G26" i="3"/>
  <c r="H26" i="3"/>
  <c r="D26" i="3"/>
  <c r="F22" i="3"/>
  <c r="F23" i="3" s="1"/>
  <c r="F24" i="3" s="1"/>
  <c r="G15" i="3"/>
  <c r="G16" i="3" s="1"/>
  <c r="E14" i="3"/>
  <c r="E15" i="3" s="1"/>
  <c r="F14" i="3"/>
  <c r="F15" i="3" s="1"/>
  <c r="G14" i="3"/>
  <c r="H14" i="3"/>
  <c r="H15" i="3" s="1"/>
  <c r="D14" i="3"/>
  <c r="D15" i="3" s="1"/>
  <c r="E13" i="3"/>
  <c r="F13" i="3"/>
  <c r="F19" i="3" s="1"/>
  <c r="G13" i="3"/>
  <c r="G19" i="3" s="1"/>
  <c r="H13" i="3"/>
  <c r="H19" i="3" s="1"/>
  <c r="E12" i="3"/>
  <c r="F12" i="3"/>
  <c r="F18" i="3" s="1"/>
  <c r="F20" i="3" s="1"/>
  <c r="G12" i="3"/>
  <c r="G18" i="3" s="1"/>
  <c r="G20" i="3" s="1"/>
  <c r="G22" i="3" s="1"/>
  <c r="G23" i="3" s="1"/>
  <c r="G24" i="3" s="1"/>
  <c r="H12" i="3"/>
  <c r="D12" i="3"/>
  <c r="D13" i="3"/>
  <c r="N22" i="1"/>
  <c r="M22" i="1"/>
  <c r="L22" i="1"/>
  <c r="K22" i="1"/>
  <c r="J22" i="1"/>
  <c r="I22" i="1"/>
  <c r="H22" i="1"/>
  <c r="G22" i="1"/>
  <c r="F22" i="1"/>
  <c r="E22" i="1"/>
  <c r="D22" i="1"/>
  <c r="N21" i="1"/>
  <c r="M21" i="1"/>
  <c r="L21" i="1"/>
  <c r="K21" i="1"/>
  <c r="J21" i="1"/>
  <c r="I21" i="1"/>
  <c r="H21" i="1"/>
  <c r="G21" i="1"/>
  <c r="F21" i="1"/>
  <c r="E21" i="1"/>
  <c r="D21" i="1"/>
  <c r="N20" i="1"/>
  <c r="M20" i="1"/>
  <c r="L20" i="1"/>
  <c r="K20" i="1"/>
  <c r="J20" i="1"/>
  <c r="I20" i="1"/>
  <c r="H20" i="1"/>
  <c r="G20" i="1"/>
  <c r="F20" i="1"/>
  <c r="E20" i="1"/>
  <c r="D20" i="1"/>
  <c r="C22" i="1"/>
  <c r="C21" i="1"/>
  <c r="C20" i="1"/>
  <c r="D19" i="1"/>
  <c r="E19" i="1"/>
  <c r="F19" i="1"/>
  <c r="G19" i="1"/>
  <c r="H19" i="1"/>
  <c r="I19" i="1"/>
  <c r="J19" i="1"/>
  <c r="K19" i="1"/>
  <c r="L19" i="1"/>
  <c r="M19" i="1"/>
  <c r="N19" i="1"/>
  <c r="C19" i="1"/>
  <c r="F18" i="1"/>
  <c r="G18" i="1"/>
  <c r="H18" i="1"/>
  <c r="I18" i="1"/>
  <c r="J18" i="1"/>
  <c r="K18" i="1"/>
  <c r="L18" i="1"/>
  <c r="M18" i="1"/>
  <c r="N18" i="1"/>
  <c r="D18" i="1"/>
  <c r="E18" i="1"/>
  <c r="C18" i="1"/>
  <c r="H10" i="4" l="1"/>
  <c r="H12" i="4" s="1"/>
  <c r="D10" i="4"/>
  <c r="D12" i="4" s="1"/>
  <c r="E10" i="4"/>
  <c r="E12" i="4" s="1"/>
  <c r="F4" i="4"/>
  <c r="D8" i="4"/>
  <c r="G25" i="3"/>
  <c r="G27" i="3" s="1"/>
  <c r="F25" i="3"/>
  <c r="F27" i="3" s="1"/>
  <c r="E7" i="4"/>
  <c r="G10" i="4"/>
  <c r="G12" i="4" s="1"/>
  <c r="G6" i="4"/>
  <c r="H8" i="4"/>
  <c r="H7" i="4"/>
  <c r="E22" i="3"/>
  <c r="E23" i="3" s="1"/>
  <c r="E24" i="3" s="1"/>
  <c r="D18" i="3"/>
  <c r="D20" i="3" s="1"/>
  <c r="D22" i="3" s="1"/>
  <c r="D23" i="3" s="1"/>
  <c r="E18" i="3"/>
  <c r="E20" i="3" s="1"/>
  <c r="E19" i="3"/>
  <c r="F16" i="3"/>
  <c r="F17" i="3"/>
  <c r="D17" i="3"/>
  <c r="D16" i="3"/>
  <c r="D19" i="3"/>
  <c r="E17" i="3"/>
  <c r="E16" i="3"/>
  <c r="H17" i="3"/>
  <c r="H18" i="3"/>
  <c r="H20" i="3" s="1"/>
  <c r="H22" i="3" s="1"/>
  <c r="H23" i="3" s="1"/>
  <c r="H24" i="3" s="1"/>
  <c r="H16" i="3"/>
  <c r="G17" i="3"/>
  <c r="F10" i="4" l="1"/>
  <c r="F12" i="4" s="1"/>
  <c r="F6" i="4"/>
  <c r="H25" i="3"/>
  <c r="H27" i="3" s="1"/>
  <c r="E25" i="3"/>
  <c r="E27" i="3" s="1"/>
  <c r="D24" i="3"/>
  <c r="D25" i="3" s="1"/>
  <c r="D27" i="3" s="1"/>
  <c r="G8" i="4"/>
  <c r="G7" i="4"/>
  <c r="F8" i="4" l="1"/>
  <c r="F7" i="4"/>
</calcChain>
</file>

<file path=xl/sharedStrings.xml><?xml version="1.0" encoding="utf-8"?>
<sst xmlns="http://schemas.openxmlformats.org/spreadsheetml/2006/main" count="225" uniqueCount="151">
  <si>
    <t>参数名</t>
    <phoneticPr fontId="1" type="noConversion"/>
  </si>
  <si>
    <t>大气压力</t>
    <phoneticPr fontId="1" type="noConversion"/>
  </si>
  <si>
    <t>大气温度</t>
    <phoneticPr fontId="1" type="noConversion"/>
  </si>
  <si>
    <t>大气湿度</t>
    <phoneticPr fontId="1" type="noConversion"/>
  </si>
  <si>
    <t>ΔP</t>
    <phoneticPr fontId="1" type="noConversion"/>
  </si>
  <si>
    <t>Pe1</t>
    <phoneticPr fontId="1" type="noConversion"/>
  </si>
  <si>
    <t>Pe2</t>
    <phoneticPr fontId="1" type="noConversion"/>
  </si>
  <si>
    <t>T11</t>
    <phoneticPr fontId="1" type="noConversion"/>
  </si>
  <si>
    <t>T21</t>
    <phoneticPr fontId="1" type="noConversion"/>
  </si>
  <si>
    <t>T12</t>
    <phoneticPr fontId="1" type="noConversion"/>
  </si>
  <si>
    <t>T22</t>
    <phoneticPr fontId="1" type="noConversion"/>
  </si>
  <si>
    <t>转速</t>
    <phoneticPr fontId="1" type="noConversion"/>
  </si>
  <si>
    <t>电机功率</t>
    <phoneticPr fontId="1" type="noConversion"/>
  </si>
  <si>
    <t>试验工况序号</t>
    <phoneticPr fontId="1" type="noConversion"/>
  </si>
  <si>
    <t>转速</t>
    <phoneticPr fontId="1" type="noConversion"/>
  </si>
  <si>
    <t>温度</t>
    <phoneticPr fontId="1" type="noConversion"/>
  </si>
  <si>
    <t>压力</t>
    <phoneticPr fontId="1" type="noConversion"/>
  </si>
  <si>
    <t>压力</t>
    <phoneticPr fontId="1" type="noConversion"/>
  </si>
  <si>
    <t>工况点</t>
    <phoneticPr fontId="1" type="noConversion"/>
  </si>
  <si>
    <t>温度</t>
    <phoneticPr fontId="1" type="noConversion"/>
  </si>
  <si>
    <t>压力</t>
    <phoneticPr fontId="1" type="noConversion"/>
  </si>
  <si>
    <t>温度</t>
    <phoneticPr fontId="1" type="noConversion"/>
  </si>
  <si>
    <t>上游压力</t>
    <phoneticPr fontId="1" type="noConversion"/>
  </si>
  <si>
    <t>压差</t>
    <phoneticPr fontId="1" type="noConversion"/>
  </si>
  <si>
    <t>功率</t>
    <phoneticPr fontId="1" type="noConversion"/>
  </si>
  <si>
    <t>湿度</t>
    <phoneticPr fontId="1" type="noConversion"/>
  </si>
  <si>
    <t>进气口</t>
    <phoneticPr fontId="1" type="noConversion"/>
  </si>
  <si>
    <t>出气口</t>
    <phoneticPr fontId="1" type="noConversion"/>
  </si>
  <si>
    <t>流量</t>
    <phoneticPr fontId="1" type="noConversion"/>
  </si>
  <si>
    <t>n</t>
    <phoneticPr fontId="1" type="noConversion"/>
  </si>
  <si>
    <t>r/min</t>
    <phoneticPr fontId="1" type="noConversion"/>
  </si>
  <si>
    <t>℃</t>
    <phoneticPr fontId="1" type="noConversion"/>
  </si>
  <si>
    <t>Pa</t>
    <phoneticPr fontId="1" type="noConversion"/>
  </si>
  <si>
    <t>%</t>
    <phoneticPr fontId="1" type="noConversion"/>
  </si>
  <si>
    <t>Pa</t>
    <phoneticPr fontId="1" type="noConversion"/>
  </si>
  <si>
    <t>上游温度</t>
    <phoneticPr fontId="1" type="noConversion"/>
  </si>
  <si>
    <t>t_a</t>
    <phoneticPr fontId="1" type="noConversion"/>
  </si>
  <si>
    <t>p_a</t>
    <phoneticPr fontId="1" type="noConversion"/>
  </si>
  <si>
    <t>t_1</t>
    <phoneticPr fontId="1" type="noConversion"/>
  </si>
  <si>
    <t>t_2</t>
    <phoneticPr fontId="1" type="noConversion"/>
  </si>
  <si>
    <t>t_a</t>
    <phoneticPr fontId="1" type="noConversion"/>
  </si>
  <si>
    <t>\Delta P</t>
    <phoneticPr fontId="1" type="noConversion"/>
  </si>
  <si>
    <t>p_e1</t>
    <phoneticPr fontId="1" type="noConversion"/>
  </si>
  <si>
    <t>p_e2</t>
    <phoneticPr fontId="1" type="noConversion"/>
  </si>
  <si>
    <t>P_e</t>
    <phoneticPr fontId="1" type="noConversion"/>
  </si>
  <si>
    <t>W</t>
    <phoneticPr fontId="1" type="noConversion"/>
  </si>
  <si>
    <t>\rho_1</t>
    <phoneticPr fontId="1" type="noConversion"/>
  </si>
  <si>
    <t>kg/m^3</t>
    <phoneticPr fontId="1" type="noConversion"/>
  </si>
  <si>
    <t>进气口容积流量</t>
    <phoneticPr fontId="1" type="noConversion"/>
  </si>
  <si>
    <t>出气口容积流量</t>
    <phoneticPr fontId="1" type="noConversion"/>
  </si>
  <si>
    <t>压力比</t>
    <phoneticPr fontId="1" type="noConversion"/>
  </si>
  <si>
    <t>m</t>
    <phoneticPr fontId="1" type="noConversion"/>
  </si>
  <si>
    <t>轴功率</t>
    <phoneticPr fontId="1" type="noConversion"/>
  </si>
  <si>
    <t>出气密度</t>
    <phoneticPr fontId="1" type="noConversion"/>
  </si>
  <si>
    <t>进气密度</t>
    <phoneticPr fontId="1" type="noConversion"/>
  </si>
  <si>
    <t>大气密度</t>
    <phoneticPr fontId="1" type="noConversion"/>
  </si>
  <si>
    <t>进气口质量流量</t>
    <phoneticPr fontId="1" type="noConversion"/>
  </si>
  <si>
    <t>进气口动压</t>
    <phoneticPr fontId="1" type="noConversion"/>
  </si>
  <si>
    <t>出气口动压</t>
    <phoneticPr fontId="1" type="noConversion"/>
  </si>
  <si>
    <t>多变指数</t>
    <phoneticPr fontId="1" type="noConversion"/>
  </si>
  <si>
    <t>多变比压缩功</t>
    <phoneticPr fontId="1" type="noConversion"/>
  </si>
  <si>
    <t>多变效率</t>
    <phoneticPr fontId="1" type="noConversion"/>
  </si>
  <si>
    <t>多变功率</t>
    <phoneticPr fontId="1" type="noConversion"/>
  </si>
  <si>
    <t>\rho_2</t>
    <phoneticPr fontId="1" type="noConversion"/>
  </si>
  <si>
    <t>\rho_a</t>
    <phoneticPr fontId="1" type="noConversion"/>
  </si>
  <si>
    <t>q_m</t>
    <phoneticPr fontId="1" type="noConversion"/>
  </si>
  <si>
    <t>q_v1</t>
    <phoneticPr fontId="1" type="noConversion"/>
  </si>
  <si>
    <t>q_v2</t>
    <phoneticPr fontId="1" type="noConversion"/>
  </si>
  <si>
    <t>p_d1</t>
    <phoneticPr fontId="1" type="noConversion"/>
  </si>
  <si>
    <t>p_d2</t>
    <phoneticPr fontId="1" type="noConversion"/>
  </si>
  <si>
    <t>p_1</t>
    <phoneticPr fontId="1" type="noConversion"/>
  </si>
  <si>
    <t>p_2</t>
    <phoneticPr fontId="1" type="noConversion"/>
  </si>
  <si>
    <t>kg/m^4</t>
  </si>
  <si>
    <t>kg/m^5</t>
  </si>
  <si>
    <t>kg/min</t>
    <phoneticPr fontId="1" type="noConversion"/>
  </si>
  <si>
    <t>m^3/min</t>
    <phoneticPr fontId="1" type="noConversion"/>
  </si>
  <si>
    <t>大气温度</t>
    <phoneticPr fontId="1" type="noConversion"/>
  </si>
  <si>
    <t>大气压力</t>
    <phoneticPr fontId="1" type="noConversion"/>
  </si>
  <si>
    <t>大气湿度</t>
    <phoneticPr fontId="1" type="noConversion"/>
  </si>
  <si>
    <t>进气口压力</t>
    <phoneticPr fontId="1" type="noConversion"/>
  </si>
  <si>
    <t>进气口温度</t>
    <phoneticPr fontId="1" type="noConversion"/>
  </si>
  <si>
    <t>出气口压力</t>
    <phoneticPr fontId="1" type="noConversion"/>
  </si>
  <si>
    <t>出气口温度</t>
    <phoneticPr fontId="1" type="noConversion"/>
  </si>
  <si>
    <t>\Delta p</t>
    <phoneticPr fontId="1" type="noConversion"/>
  </si>
  <si>
    <t>进气口绝对全压</t>
    <phoneticPr fontId="1" type="noConversion"/>
  </si>
  <si>
    <t>出气口绝对全压</t>
    <phoneticPr fontId="1" type="noConversion"/>
  </si>
  <si>
    <t>P_pol</t>
    <phoneticPr fontId="1" type="noConversion"/>
  </si>
  <si>
    <t>W</t>
    <phoneticPr fontId="1" type="noConversion"/>
  </si>
  <si>
    <t>W</t>
    <phoneticPr fontId="1" type="noConversion"/>
  </si>
  <si>
    <t>P_T</t>
    <phoneticPr fontId="1" type="noConversion"/>
  </si>
  <si>
    <t>\eta_(c,pol)</t>
  </si>
  <si>
    <t>\eta_(c,pol)</t>
    <phoneticPr fontId="1" type="noConversion"/>
  </si>
  <si>
    <t>\varepsilon</t>
  </si>
  <si>
    <t>\varepsilon</t>
    <phoneticPr fontId="1" type="noConversion"/>
  </si>
  <si>
    <t>W_(m,pol)</t>
  </si>
  <si>
    <t>W_(m,pol)</t>
    <phoneticPr fontId="1" type="noConversion"/>
  </si>
  <si>
    <t>比压缩功</t>
    <phoneticPr fontId="1" type="noConversion"/>
  </si>
  <si>
    <t>压力比</t>
  </si>
  <si>
    <t>压力比</t>
    <phoneticPr fontId="1" type="noConversion"/>
  </si>
  <si>
    <t>出口压力</t>
    <phoneticPr fontId="1" type="noConversion"/>
  </si>
  <si>
    <t>温度比</t>
    <phoneticPr fontId="1" type="noConversion"/>
  </si>
  <si>
    <t>效率</t>
    <phoneticPr fontId="1" type="noConversion"/>
  </si>
  <si>
    <t>功率</t>
    <phoneticPr fontId="1" type="noConversion"/>
  </si>
  <si>
    <t>进口容积流量</t>
    <phoneticPr fontId="1" type="noConversion"/>
  </si>
  <si>
    <t>W</t>
  </si>
  <si>
    <t>n/(n-1)</t>
    <phoneticPr fontId="1" type="noConversion"/>
  </si>
  <si>
    <t>p</t>
    <phoneticPr fontId="1" type="noConversion"/>
  </si>
  <si>
    <t>(T_2/T_1)_s</t>
    <phoneticPr fontId="1" type="noConversion"/>
  </si>
  <si>
    <t>\eta</t>
    <phoneticPr fontId="1" type="noConversion"/>
  </si>
  <si>
    <t>m^3/min</t>
  </si>
  <si>
    <t>m^3/min</t>
    <phoneticPr fontId="1" type="noConversion"/>
  </si>
  <si>
    <t>J/kg</t>
    <phoneticPr fontId="1" type="noConversion"/>
  </si>
  <si>
    <t>Pa</t>
  </si>
  <si>
    <t>Pa</t>
    <phoneticPr fontId="1" type="noConversion"/>
  </si>
  <si>
    <t>W</t>
    <phoneticPr fontId="1" type="noConversion"/>
  </si>
  <si>
    <t>N</t>
    <phoneticPr fontId="1" type="noConversion"/>
  </si>
  <si>
    <t>进气密度</t>
  </si>
  <si>
    <t>\rho_1</t>
  </si>
  <si>
    <t>kg/m^3</t>
  </si>
  <si>
    <t>出气密度</t>
  </si>
  <si>
    <t>\rho_2</t>
  </si>
  <si>
    <t>大气密度</t>
  </si>
  <si>
    <t>\rho_a</t>
  </si>
  <si>
    <t>进气口质量流量</t>
  </si>
  <si>
    <t>q_m</t>
  </si>
  <si>
    <t>kg/min</t>
  </si>
  <si>
    <t>进气口容积流量</t>
  </si>
  <si>
    <t>q_v1</t>
  </si>
  <si>
    <t>出气口容积流量</t>
  </si>
  <si>
    <t>q_v2</t>
  </si>
  <si>
    <t>进气口动压</t>
  </si>
  <si>
    <t>p_d1</t>
  </si>
  <si>
    <t>出气口动压</t>
  </si>
  <si>
    <t>p_d2</t>
  </si>
  <si>
    <t>进气口绝对全压</t>
  </si>
  <si>
    <t>p_1</t>
  </si>
  <si>
    <t>出气口绝对全压</t>
  </si>
  <si>
    <t>p_2</t>
  </si>
  <si>
    <t>多变指数</t>
  </si>
  <si>
    <t>m</t>
  </si>
  <si>
    <t>多变比压缩功</t>
  </si>
  <si>
    <t>多变功率</t>
  </si>
  <si>
    <t>P_pol</t>
  </si>
  <si>
    <t>轴功率</t>
  </si>
  <si>
    <t>P_T</t>
  </si>
  <si>
    <t>多变效率</t>
  </si>
  <si>
    <t>转速比</t>
    <phoneticPr fontId="1" type="noConversion"/>
  </si>
  <si>
    <t>n_s/n_t</t>
    <phoneticPr fontId="1" type="noConversion"/>
  </si>
  <si>
    <t>w</t>
    <phoneticPr fontId="1" type="noConversion"/>
  </si>
  <si>
    <t>q_1</t>
    <phoneticPr fontId="1" type="noConversion"/>
  </si>
  <si>
    <t>\varepsilon=(p_2/p_1)_s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</si>
</sst>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设计工况性能换算!$D$3:$H$3</c:f>
              <c:numCache>
                <c:formatCode>0.000</c:formatCode>
                <c:ptCount val="5"/>
                <c:pt idx="0">
                  <c:v>42.897765398696265</c:v>
                </c:pt>
                <c:pt idx="1">
                  <c:v>34.95068235816472</c:v>
                </c:pt>
                <c:pt idx="2">
                  <c:v>27.169369875538919</c:v>
                </c:pt>
                <c:pt idx="3">
                  <c:v>20.830462901244953</c:v>
                </c:pt>
                <c:pt idx="4">
                  <c:v>13.216419117626058</c:v>
                </c:pt>
              </c:numCache>
            </c:numRef>
          </c:xVal>
          <c:yVal>
            <c:numRef>
              <c:f>设计工况性能换算!$D$6:$H$6</c:f>
              <c:numCache>
                <c:formatCode>0.000</c:formatCode>
                <c:ptCount val="5"/>
                <c:pt idx="0">
                  <c:v>1.0786055950343707</c:v>
                </c:pt>
                <c:pt idx="1">
                  <c:v>1.1476869593632204</c:v>
                </c:pt>
                <c:pt idx="2">
                  <c:v>1.2213601695363545</c:v>
                </c:pt>
                <c:pt idx="3">
                  <c:v>1.2782497034269813</c:v>
                </c:pt>
                <c:pt idx="4">
                  <c:v>1.3237691024949751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设计工况性能换算!$I$3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设计工况性能换算!$I$6</c:f>
              <c:numCache>
                <c:formatCode>0.000</c:formatCode>
                <c:ptCount val="1"/>
                <c:pt idx="0">
                  <c:v>1.2959183673469388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38432"/>
        <c:axId val="1221938976"/>
      </c:scatterChart>
      <c:valAx>
        <c:axId val="12219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进口容积流量 </a:t>
                </a:r>
                <a:r>
                  <a:rPr lang="en-US" altLang="zh-CN"/>
                  <a:t>m³/min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38976"/>
        <c:crosses val="autoZero"/>
        <c:crossBetween val="midCat"/>
      </c:valAx>
      <c:valAx>
        <c:axId val="1221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压力比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设计工况性能换算!$D$3:$H$3</c:f>
              <c:numCache>
                <c:formatCode>0.000</c:formatCode>
                <c:ptCount val="5"/>
                <c:pt idx="0">
                  <c:v>42.897765398696265</c:v>
                </c:pt>
                <c:pt idx="1">
                  <c:v>34.95068235816472</c:v>
                </c:pt>
                <c:pt idx="2">
                  <c:v>27.169369875538919</c:v>
                </c:pt>
                <c:pt idx="3">
                  <c:v>20.830462901244953</c:v>
                </c:pt>
                <c:pt idx="4">
                  <c:v>13.216419117626058</c:v>
                </c:pt>
              </c:numCache>
            </c:numRef>
          </c:xVal>
          <c:yVal>
            <c:numRef>
              <c:f>设计工况性能换算!$D$11:$H$11</c:f>
              <c:numCache>
                <c:formatCode>0.0</c:formatCode>
                <c:ptCount val="5"/>
                <c:pt idx="0">
                  <c:v>33.236223506160101</c:v>
                </c:pt>
                <c:pt idx="1">
                  <c:v>51.233108071648992</c:v>
                </c:pt>
                <c:pt idx="2">
                  <c:v>63.615127514403724</c:v>
                </c:pt>
                <c:pt idx="3">
                  <c:v>67.406653529806917</c:v>
                </c:pt>
                <c:pt idx="4">
                  <c:v>63.417303820242175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设计工况性能换算!$I$3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设计工况性能换算!$I$11</c:f>
              <c:numCache>
                <c:formatCode>0.0</c:formatCode>
                <c:ptCount val="1"/>
                <c:pt idx="0">
                  <c:v>83.779548337410944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74032"/>
        <c:axId val="1543271856"/>
      </c:scatterChart>
      <c:valAx>
        <c:axId val="15432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进口容积流量 </a:t>
                </a:r>
                <a:r>
                  <a:rPr lang="en-US" altLang="zh-CN" sz="1000" b="0" i="0" u="none" strike="noStrike" baseline="0">
                    <a:effectLst/>
                  </a:rPr>
                  <a:t>m³/min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271856"/>
        <c:crosses val="autoZero"/>
        <c:crossBetween val="midCat"/>
      </c:valAx>
      <c:valAx>
        <c:axId val="1543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效率 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2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设计工况性能换算!$D$3:$H$3</c:f>
              <c:numCache>
                <c:formatCode>0.000</c:formatCode>
                <c:ptCount val="5"/>
                <c:pt idx="0">
                  <c:v>42.897765398696265</c:v>
                </c:pt>
                <c:pt idx="1">
                  <c:v>34.95068235816472</c:v>
                </c:pt>
                <c:pt idx="2">
                  <c:v>27.169369875538919</c:v>
                </c:pt>
                <c:pt idx="3">
                  <c:v>20.830462901244953</c:v>
                </c:pt>
                <c:pt idx="4">
                  <c:v>13.216419117626058</c:v>
                </c:pt>
              </c:numCache>
            </c:numRef>
          </c:xVal>
          <c:yVal>
            <c:numRef>
              <c:f>设计工况性能换算!$D$12:$H$12</c:f>
              <c:numCache>
                <c:formatCode>General</c:formatCode>
                <c:ptCount val="5"/>
                <c:pt idx="0">
                  <c:v>17.253641648473803</c:v>
                </c:pt>
                <c:pt idx="1">
                  <c:v>16.078876946242023</c:v>
                </c:pt>
                <c:pt idx="2">
                  <c:v>14.584778444204945</c:v>
                </c:pt>
                <c:pt idx="3">
                  <c:v>12.97472453756979</c:v>
                </c:pt>
                <c:pt idx="4">
                  <c:v>10.046873249054432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设计工况性能换算!$I$3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设计工况性能换算!$I$12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76752"/>
        <c:axId val="1543275664"/>
      </c:scatterChart>
      <c:valAx>
        <c:axId val="15432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进口容积流量 </a:t>
                </a:r>
                <a:r>
                  <a:rPr lang="en-US" altLang="zh-CN" sz="1000" b="0" i="0" u="none" strike="noStrike" baseline="0">
                    <a:effectLst/>
                  </a:rPr>
                  <a:t>m³/min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275664"/>
        <c:crosses val="autoZero"/>
        <c:crossBetween val="midCat"/>
      </c:valAx>
      <c:valAx>
        <c:axId val="15432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功率 </a:t>
                </a:r>
                <a:r>
                  <a:rPr lang="en-US" altLang="zh-CN"/>
                  <a:t>kW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2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0</xdr:row>
      <xdr:rowOff>0</xdr:rowOff>
    </xdr:from>
    <xdr:to>
      <xdr:col>18</xdr:col>
      <xdr:colOff>434340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15</xdr:row>
      <xdr:rowOff>118110</xdr:rowOff>
    </xdr:from>
    <xdr:to>
      <xdr:col>18</xdr:col>
      <xdr:colOff>441960</xdr:colOff>
      <xdr:row>29</xdr:row>
      <xdr:rowOff>118110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30</xdr:row>
      <xdr:rowOff>80010</xdr:rowOff>
    </xdr:from>
    <xdr:to>
      <xdr:col>18</xdr:col>
      <xdr:colOff>480060</xdr:colOff>
      <xdr:row>45</xdr:row>
      <xdr:rowOff>80010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16" sqref="M2:M16"/>
    </sheetView>
  </sheetViews>
  <sheetFormatPr defaultRowHeight="14.4" x14ac:dyDescent="0.25"/>
  <cols>
    <col min="1" max="2" width="7.5546875" bestFit="1" customWidth="1"/>
    <col min="3" max="5" width="9.5546875" bestFit="1" customWidth="1"/>
    <col min="6" max="13" width="7.5546875" bestFit="1" customWidth="1"/>
    <col min="14" max="14" width="9.5546875" bestFit="1" customWidth="1"/>
  </cols>
  <sheetData>
    <row r="1" spans="1:1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6">
        <v>1</v>
      </c>
      <c r="B2">
        <v>1</v>
      </c>
      <c r="C2">
        <v>96089</v>
      </c>
      <c r="D2">
        <v>24.946999999999999</v>
      </c>
      <c r="E2">
        <v>0.51434000000000002</v>
      </c>
      <c r="F2">
        <v>1061</v>
      </c>
      <c r="G2">
        <v>4048.7</v>
      </c>
      <c r="H2">
        <v>1878.9</v>
      </c>
      <c r="I2">
        <v>25.678000000000001</v>
      </c>
      <c r="J2">
        <v>40.549999999999997</v>
      </c>
      <c r="K2">
        <v>25.558</v>
      </c>
      <c r="L2">
        <v>40.584000000000003</v>
      </c>
      <c r="M2">
        <v>4764.5</v>
      </c>
      <c r="N2">
        <v>14210</v>
      </c>
    </row>
    <row r="3" spans="1:14" x14ac:dyDescent="0.25">
      <c r="A3" s="6"/>
      <c r="B3">
        <v>2</v>
      </c>
      <c r="C3">
        <v>96086</v>
      </c>
      <c r="D3">
        <v>25.024999999999999</v>
      </c>
      <c r="E3">
        <v>0.51373000000000002</v>
      </c>
      <c r="F3">
        <v>1054.5</v>
      </c>
      <c r="G3">
        <v>4009</v>
      </c>
      <c r="H3">
        <v>1834.1</v>
      </c>
      <c r="I3">
        <v>25.734999999999999</v>
      </c>
      <c r="J3">
        <v>41.04</v>
      </c>
      <c r="K3">
        <v>25.52</v>
      </c>
      <c r="L3">
        <v>41.024999999999999</v>
      </c>
      <c r="M3">
        <v>4763.8</v>
      </c>
      <c r="N3">
        <v>14175</v>
      </c>
    </row>
    <row r="4" spans="1:14" x14ac:dyDescent="0.25">
      <c r="A4" s="6"/>
      <c r="B4">
        <v>3</v>
      </c>
      <c r="C4">
        <v>96080</v>
      </c>
      <c r="D4">
        <v>25.045999999999999</v>
      </c>
      <c r="E4">
        <v>0.51461999999999997</v>
      </c>
      <c r="F4">
        <v>1060.9000000000001</v>
      </c>
      <c r="G4">
        <v>3998.8</v>
      </c>
      <c r="H4">
        <v>1876.8</v>
      </c>
      <c r="I4">
        <v>25.74</v>
      </c>
      <c r="J4">
        <v>41.368000000000002</v>
      </c>
      <c r="K4">
        <v>25.582999999999998</v>
      </c>
      <c r="L4">
        <v>41.420999999999999</v>
      </c>
      <c r="M4">
        <v>4763</v>
      </c>
      <c r="N4">
        <v>14160</v>
      </c>
    </row>
    <row r="5" spans="1:14" x14ac:dyDescent="0.25">
      <c r="A5" s="6">
        <v>2</v>
      </c>
      <c r="B5">
        <v>4</v>
      </c>
      <c r="C5">
        <v>96062</v>
      </c>
      <c r="D5">
        <v>25.166</v>
      </c>
      <c r="E5">
        <v>0.50873000000000002</v>
      </c>
      <c r="F5">
        <v>766.76</v>
      </c>
      <c r="G5">
        <v>8700.6</v>
      </c>
      <c r="H5">
        <v>1380.4</v>
      </c>
      <c r="I5">
        <v>26.11</v>
      </c>
      <c r="J5">
        <v>44.113999999999997</v>
      </c>
      <c r="K5">
        <v>25.972999999999999</v>
      </c>
      <c r="L5">
        <v>44.106999999999999</v>
      </c>
      <c r="M5">
        <v>4763.3</v>
      </c>
      <c r="N5">
        <v>13825</v>
      </c>
    </row>
    <row r="6" spans="1:14" x14ac:dyDescent="0.25">
      <c r="A6" s="6"/>
      <c r="B6">
        <v>5</v>
      </c>
      <c r="C6">
        <v>96056</v>
      </c>
      <c r="D6">
        <v>25.206</v>
      </c>
      <c r="E6">
        <v>0.51005</v>
      </c>
      <c r="F6">
        <v>769.61</v>
      </c>
      <c r="G6">
        <v>8653.7999999999993</v>
      </c>
      <c r="H6">
        <v>1344.8</v>
      </c>
      <c r="I6">
        <v>26.042000000000002</v>
      </c>
      <c r="J6">
        <v>44.238999999999997</v>
      </c>
      <c r="K6">
        <v>25.920999999999999</v>
      </c>
      <c r="L6">
        <v>44.32</v>
      </c>
      <c r="M6">
        <v>4763.3</v>
      </c>
      <c r="N6">
        <v>13790</v>
      </c>
    </row>
    <row r="7" spans="1:14" x14ac:dyDescent="0.25">
      <c r="A7" s="6"/>
      <c r="B7">
        <v>6</v>
      </c>
      <c r="C7">
        <v>96050</v>
      </c>
      <c r="D7">
        <v>25.256</v>
      </c>
      <c r="E7">
        <v>0.51212999999999997</v>
      </c>
      <c r="F7">
        <v>768.17</v>
      </c>
      <c r="G7">
        <v>8726</v>
      </c>
      <c r="H7">
        <v>1354</v>
      </c>
      <c r="I7">
        <v>26.125</v>
      </c>
      <c r="J7">
        <v>44.488999999999997</v>
      </c>
      <c r="K7">
        <v>25.954000000000001</v>
      </c>
      <c r="L7">
        <v>44.604999999999997</v>
      </c>
      <c r="M7">
        <v>4763</v>
      </c>
      <c r="N7">
        <v>13805</v>
      </c>
    </row>
    <row r="8" spans="1:14" x14ac:dyDescent="0.25">
      <c r="A8" s="6">
        <v>3</v>
      </c>
      <c r="B8">
        <v>7</v>
      </c>
      <c r="C8">
        <v>96065</v>
      </c>
      <c r="D8">
        <v>25.381</v>
      </c>
      <c r="E8">
        <v>0.50316000000000005</v>
      </c>
      <c r="F8">
        <v>503.11</v>
      </c>
      <c r="G8">
        <v>13225</v>
      </c>
      <c r="H8">
        <v>923.67</v>
      </c>
      <c r="I8">
        <v>26.655999999999999</v>
      </c>
      <c r="J8">
        <v>47.06</v>
      </c>
      <c r="K8">
        <v>26.503</v>
      </c>
      <c r="L8">
        <v>47.335000000000001</v>
      </c>
      <c r="M8">
        <v>4765.5</v>
      </c>
      <c r="N8">
        <v>13045</v>
      </c>
    </row>
    <row r="9" spans="1:14" x14ac:dyDescent="0.25">
      <c r="A9" s="6"/>
      <c r="B9">
        <v>8</v>
      </c>
      <c r="C9">
        <v>96023</v>
      </c>
      <c r="D9">
        <v>25.343</v>
      </c>
      <c r="E9">
        <v>0.50494000000000006</v>
      </c>
      <c r="F9">
        <v>504.84</v>
      </c>
      <c r="G9">
        <v>13147</v>
      </c>
      <c r="H9">
        <v>937.91</v>
      </c>
      <c r="I9">
        <v>26.556999999999999</v>
      </c>
      <c r="J9">
        <v>47.362000000000002</v>
      </c>
      <c r="K9">
        <v>26.436</v>
      </c>
      <c r="L9">
        <v>47.65</v>
      </c>
      <c r="M9">
        <v>4765.5</v>
      </c>
      <c r="N9">
        <v>13060</v>
      </c>
    </row>
    <row r="10" spans="1:14" x14ac:dyDescent="0.25">
      <c r="A10" s="6"/>
      <c r="B10">
        <v>9</v>
      </c>
      <c r="C10">
        <v>96053</v>
      </c>
      <c r="D10">
        <v>25.472999999999999</v>
      </c>
      <c r="E10">
        <v>0.50341000000000002</v>
      </c>
      <c r="F10">
        <v>503.34</v>
      </c>
      <c r="G10">
        <v>13194</v>
      </c>
      <c r="H10">
        <v>905.35</v>
      </c>
      <c r="I10">
        <v>26.716999999999999</v>
      </c>
      <c r="J10">
        <v>47.558</v>
      </c>
      <c r="K10">
        <v>26.597000000000001</v>
      </c>
      <c r="L10">
        <v>47.881999999999998</v>
      </c>
      <c r="M10">
        <v>4765</v>
      </c>
      <c r="N10">
        <v>13055</v>
      </c>
    </row>
    <row r="11" spans="1:14" x14ac:dyDescent="0.25">
      <c r="A11" s="6">
        <v>4</v>
      </c>
      <c r="B11">
        <v>10</v>
      </c>
      <c r="C11">
        <v>96041</v>
      </c>
      <c r="D11">
        <v>25.488</v>
      </c>
      <c r="E11">
        <v>0.50019000000000002</v>
      </c>
      <c r="F11">
        <v>314.08999999999997</v>
      </c>
      <c r="G11">
        <v>16371</v>
      </c>
      <c r="H11">
        <v>538.13</v>
      </c>
      <c r="I11">
        <v>26.965</v>
      </c>
      <c r="J11">
        <v>49.762999999999998</v>
      </c>
      <c r="K11">
        <v>26.846</v>
      </c>
      <c r="L11">
        <v>50.267000000000003</v>
      </c>
      <c r="M11">
        <v>4767.3</v>
      </c>
      <c r="N11">
        <v>11945</v>
      </c>
    </row>
    <row r="12" spans="1:14" x14ac:dyDescent="0.25">
      <c r="A12" s="6"/>
      <c r="B12">
        <v>11</v>
      </c>
      <c r="C12">
        <v>96036</v>
      </c>
      <c r="D12">
        <v>25.439</v>
      </c>
      <c r="E12">
        <v>0.49647999999999998</v>
      </c>
      <c r="F12">
        <v>311.91000000000003</v>
      </c>
      <c r="G12">
        <v>16380</v>
      </c>
      <c r="H12">
        <v>517.78</v>
      </c>
      <c r="I12">
        <v>27.97</v>
      </c>
      <c r="J12">
        <v>50.051000000000002</v>
      </c>
      <c r="K12">
        <v>26.945</v>
      </c>
      <c r="L12">
        <v>50.567</v>
      </c>
      <c r="M12">
        <v>4767.8</v>
      </c>
      <c r="N12">
        <v>11950</v>
      </c>
    </row>
    <row r="13" spans="1:14" x14ac:dyDescent="0.25">
      <c r="A13" s="6"/>
      <c r="B13">
        <v>12</v>
      </c>
      <c r="C13">
        <v>96036</v>
      </c>
      <c r="D13">
        <v>25.509</v>
      </c>
      <c r="E13">
        <v>0.49564000000000002</v>
      </c>
      <c r="F13">
        <v>312.72000000000003</v>
      </c>
      <c r="G13">
        <v>16394</v>
      </c>
      <c r="H13">
        <v>568.64</v>
      </c>
      <c r="I13">
        <v>27.085000000000001</v>
      </c>
      <c r="J13">
        <v>50.192999999999998</v>
      </c>
      <c r="K13">
        <v>26.956</v>
      </c>
      <c r="L13">
        <v>50.808</v>
      </c>
      <c r="M13">
        <v>4768</v>
      </c>
      <c r="N13">
        <v>11945</v>
      </c>
    </row>
    <row r="14" spans="1:14" x14ac:dyDescent="0.25">
      <c r="A14" s="6">
        <v>5</v>
      </c>
      <c r="B14">
        <v>13</v>
      </c>
      <c r="C14">
        <v>95997</v>
      </c>
      <c r="D14">
        <v>25.792000000000002</v>
      </c>
      <c r="E14">
        <v>0.48629</v>
      </c>
      <c r="F14">
        <v>131.47</v>
      </c>
      <c r="G14">
        <v>18811</v>
      </c>
      <c r="H14">
        <v>214.64</v>
      </c>
      <c r="I14">
        <v>27.843</v>
      </c>
      <c r="J14">
        <v>54.204999999999998</v>
      </c>
      <c r="K14">
        <v>27.753</v>
      </c>
      <c r="L14">
        <v>54.463999999999999</v>
      </c>
      <c r="M14">
        <v>4775</v>
      </c>
      <c r="N14">
        <v>9460</v>
      </c>
    </row>
    <row r="15" spans="1:14" x14ac:dyDescent="0.25">
      <c r="A15" s="6"/>
      <c r="B15">
        <v>14</v>
      </c>
      <c r="C15">
        <v>95996</v>
      </c>
      <c r="D15">
        <v>25.914999999999999</v>
      </c>
      <c r="E15">
        <v>0.48497000000000001</v>
      </c>
      <c r="F15">
        <v>130.44999999999999</v>
      </c>
      <c r="G15">
        <v>18778</v>
      </c>
      <c r="H15">
        <v>251.26</v>
      </c>
      <c r="I15">
        <v>27.875</v>
      </c>
      <c r="J15">
        <v>54.232999999999997</v>
      </c>
      <c r="K15">
        <v>27.72</v>
      </c>
      <c r="L15">
        <v>54.511000000000003</v>
      </c>
      <c r="M15">
        <v>4775</v>
      </c>
      <c r="N15">
        <v>9465</v>
      </c>
    </row>
    <row r="16" spans="1:14" x14ac:dyDescent="0.25">
      <c r="A16" s="6"/>
      <c r="B16">
        <v>15</v>
      </c>
      <c r="C16">
        <v>95982</v>
      </c>
      <c r="D16">
        <v>25.853999999999999</v>
      </c>
      <c r="E16">
        <v>0.48026999999999997</v>
      </c>
      <c r="F16">
        <v>132.08000000000001</v>
      </c>
      <c r="G16">
        <v>18778</v>
      </c>
      <c r="H16">
        <v>247.19</v>
      </c>
      <c r="I16">
        <v>27.917999999999999</v>
      </c>
      <c r="J16">
        <v>54.381</v>
      </c>
      <c r="K16">
        <v>27.826000000000001</v>
      </c>
      <c r="L16">
        <v>54.667000000000002</v>
      </c>
      <c r="M16">
        <v>4775</v>
      </c>
      <c r="N16">
        <v>9475</v>
      </c>
    </row>
    <row r="18" spans="1:14" x14ac:dyDescent="0.25">
      <c r="A18">
        <v>1</v>
      </c>
      <c r="C18">
        <f>AVERAGE(C2:C4)</f>
        <v>96085</v>
      </c>
      <c r="D18">
        <f t="shared" ref="D18:N18" si="0">AVERAGE(D2:D4)</f>
        <v>25.006</v>
      </c>
      <c r="E18">
        <f t="shared" si="0"/>
        <v>0.51422999999999996</v>
      </c>
      <c r="F18">
        <f t="shared" si="0"/>
        <v>1058.8</v>
      </c>
      <c r="G18">
        <f t="shared" si="0"/>
        <v>4018.8333333333335</v>
      </c>
      <c r="H18">
        <f t="shared" si="0"/>
        <v>1863.2666666666667</v>
      </c>
      <c r="I18">
        <f t="shared" si="0"/>
        <v>25.717666666666663</v>
      </c>
      <c r="J18">
        <f t="shared" si="0"/>
        <v>40.985999999999997</v>
      </c>
      <c r="K18">
        <f t="shared" si="0"/>
        <v>25.553666666666668</v>
      </c>
      <c r="L18">
        <f t="shared" si="0"/>
        <v>41.01</v>
      </c>
      <c r="M18">
        <f t="shared" si="0"/>
        <v>4763.7666666666664</v>
      </c>
      <c r="N18">
        <f t="shared" si="0"/>
        <v>14181.666666666666</v>
      </c>
    </row>
    <row r="19" spans="1:14" x14ac:dyDescent="0.25">
      <c r="A19">
        <v>2</v>
      </c>
      <c r="C19">
        <f>AVERAGE(C5:C7)</f>
        <v>96056</v>
      </c>
      <c r="D19">
        <f t="shared" ref="D19:N19" si="1">AVERAGE(D5:D7)</f>
        <v>25.209333333333333</v>
      </c>
      <c r="E19">
        <f t="shared" si="1"/>
        <v>0.51030333333333333</v>
      </c>
      <c r="F19">
        <f t="shared" si="1"/>
        <v>768.18</v>
      </c>
      <c r="G19">
        <f t="shared" si="1"/>
        <v>8693.4666666666672</v>
      </c>
      <c r="H19">
        <f t="shared" si="1"/>
        <v>1359.7333333333333</v>
      </c>
      <c r="I19">
        <f t="shared" si="1"/>
        <v>26.092333333333332</v>
      </c>
      <c r="J19">
        <f t="shared" si="1"/>
        <v>44.280666666666662</v>
      </c>
      <c r="K19">
        <f t="shared" si="1"/>
        <v>25.949333333333332</v>
      </c>
      <c r="L19">
        <f t="shared" si="1"/>
        <v>44.343999999999994</v>
      </c>
      <c r="M19">
        <f t="shared" si="1"/>
        <v>4763.2</v>
      </c>
      <c r="N19">
        <f t="shared" si="1"/>
        <v>13806.666666666666</v>
      </c>
    </row>
    <row r="20" spans="1:14" x14ac:dyDescent="0.25">
      <c r="A20">
        <v>3</v>
      </c>
      <c r="C20">
        <f>AVERAGE(C8:C10)</f>
        <v>96047</v>
      </c>
      <c r="D20">
        <f t="shared" ref="D20:N20" si="2">AVERAGE(D8:D10)</f>
        <v>25.399000000000001</v>
      </c>
      <c r="E20">
        <f t="shared" si="2"/>
        <v>0.50383666666666682</v>
      </c>
      <c r="F20">
        <f t="shared" si="2"/>
        <v>503.76333333333332</v>
      </c>
      <c r="G20">
        <f t="shared" si="2"/>
        <v>13188.666666666666</v>
      </c>
      <c r="H20">
        <f t="shared" si="2"/>
        <v>922.31</v>
      </c>
      <c r="I20">
        <f t="shared" si="2"/>
        <v>26.643333333333331</v>
      </c>
      <c r="J20">
        <f t="shared" si="2"/>
        <v>47.326666666666661</v>
      </c>
      <c r="K20">
        <f t="shared" si="2"/>
        <v>26.512</v>
      </c>
      <c r="L20">
        <f t="shared" si="2"/>
        <v>47.62233333333333</v>
      </c>
      <c r="M20">
        <f t="shared" si="2"/>
        <v>4765.333333333333</v>
      </c>
      <c r="N20">
        <f t="shared" si="2"/>
        <v>13053.333333333334</v>
      </c>
    </row>
    <row r="21" spans="1:14" x14ac:dyDescent="0.25">
      <c r="A21">
        <v>4</v>
      </c>
      <c r="C21">
        <f>AVERAGE(C11:C13)</f>
        <v>96037.666666666672</v>
      </c>
      <c r="D21">
        <f t="shared" ref="D21:N21" si="3">AVERAGE(D11:D13)</f>
        <v>25.478666666666669</v>
      </c>
      <c r="E21">
        <f t="shared" si="3"/>
        <v>0.49743666666666669</v>
      </c>
      <c r="F21">
        <f t="shared" si="3"/>
        <v>312.90666666666669</v>
      </c>
      <c r="G21">
        <f t="shared" si="3"/>
        <v>16381.666666666666</v>
      </c>
      <c r="H21">
        <f t="shared" si="3"/>
        <v>541.51666666666654</v>
      </c>
      <c r="I21">
        <f t="shared" si="3"/>
        <v>27.340000000000003</v>
      </c>
      <c r="J21">
        <f t="shared" si="3"/>
        <v>50.002333333333333</v>
      </c>
      <c r="K21">
        <f t="shared" si="3"/>
        <v>26.915666666666667</v>
      </c>
      <c r="L21">
        <f t="shared" si="3"/>
        <v>50.547333333333334</v>
      </c>
      <c r="M21">
        <f t="shared" si="3"/>
        <v>4767.7</v>
      </c>
      <c r="N21">
        <f t="shared" si="3"/>
        <v>11946.666666666666</v>
      </c>
    </row>
    <row r="22" spans="1:14" x14ac:dyDescent="0.25">
      <c r="A22">
        <v>5</v>
      </c>
      <c r="C22">
        <f>AVERAGE(C14:C16)</f>
        <v>95991.666666666672</v>
      </c>
      <c r="D22">
        <f t="shared" ref="D22:N22" si="4">AVERAGE(D14:D16)</f>
        <v>25.853666666666669</v>
      </c>
      <c r="E22">
        <f t="shared" si="4"/>
        <v>0.48384333333333335</v>
      </c>
      <c r="F22">
        <f t="shared" si="4"/>
        <v>131.33333333333334</v>
      </c>
      <c r="G22">
        <f t="shared" si="4"/>
        <v>18789</v>
      </c>
      <c r="H22">
        <f t="shared" si="4"/>
        <v>237.69666666666663</v>
      </c>
      <c r="I22">
        <f t="shared" si="4"/>
        <v>27.878666666666664</v>
      </c>
      <c r="J22">
        <f t="shared" si="4"/>
        <v>54.272999999999996</v>
      </c>
      <c r="K22">
        <f t="shared" si="4"/>
        <v>27.766333333333336</v>
      </c>
      <c r="L22">
        <f t="shared" si="4"/>
        <v>54.547333333333334</v>
      </c>
      <c r="M22">
        <f t="shared" si="4"/>
        <v>4775</v>
      </c>
      <c r="N22">
        <f t="shared" si="4"/>
        <v>9466.6666666666661</v>
      </c>
    </row>
  </sheetData>
  <mergeCells count="5">
    <mergeCell ref="A2:A4"/>
    <mergeCell ref="A5:A7"/>
    <mergeCell ref="A8:A10"/>
    <mergeCell ref="A11:A13"/>
    <mergeCell ref="A14:A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sqref="A1:D1"/>
    </sheetView>
  </sheetViews>
  <sheetFormatPr defaultRowHeight="14.4" x14ac:dyDescent="0.25"/>
  <sheetData>
    <row r="1" spans="1:20" x14ac:dyDescent="0.25">
      <c r="A1" s="6" t="s">
        <v>13</v>
      </c>
      <c r="B1" s="6"/>
      <c r="C1" s="6"/>
      <c r="D1" s="6"/>
      <c r="E1">
        <v>1</v>
      </c>
      <c r="F1">
        <v>2</v>
      </c>
      <c r="G1">
        <v>3</v>
      </c>
      <c r="H1">
        <v>4</v>
      </c>
      <c r="I1">
        <v>5</v>
      </c>
    </row>
    <row r="2" spans="1:20" x14ac:dyDescent="0.25">
      <c r="A2" s="6" t="s">
        <v>14</v>
      </c>
      <c r="B2" s="6"/>
      <c r="C2" t="s">
        <v>29</v>
      </c>
      <c r="D2" t="s">
        <v>30</v>
      </c>
      <c r="E2" s="1">
        <v>4763.7666666666664</v>
      </c>
      <c r="F2" s="1">
        <v>4763.2</v>
      </c>
      <c r="G2" s="1">
        <v>4765.333333333333</v>
      </c>
      <c r="H2" s="1">
        <v>4767.7</v>
      </c>
      <c r="I2" s="1">
        <v>4775</v>
      </c>
    </row>
    <row r="3" spans="1:20" x14ac:dyDescent="0.25">
      <c r="A3" s="6" t="s">
        <v>1</v>
      </c>
      <c r="B3" t="s">
        <v>15</v>
      </c>
      <c r="C3" t="s">
        <v>36</v>
      </c>
      <c r="D3" t="s">
        <v>31</v>
      </c>
      <c r="E3" s="2">
        <v>25.006</v>
      </c>
      <c r="F3" s="2">
        <v>25.209333333333333</v>
      </c>
      <c r="G3" s="2">
        <v>25.399000000000001</v>
      </c>
      <c r="H3" s="2">
        <v>25.478666666666669</v>
      </c>
      <c r="I3" s="2">
        <v>25.853666666666669</v>
      </c>
    </row>
    <row r="4" spans="1:20" x14ac:dyDescent="0.25">
      <c r="A4" s="6"/>
      <c r="B4" t="s">
        <v>16</v>
      </c>
      <c r="C4" t="s">
        <v>37</v>
      </c>
      <c r="D4" t="s">
        <v>32</v>
      </c>
      <c r="E4" s="3">
        <v>96085</v>
      </c>
      <c r="F4" s="3">
        <v>96056</v>
      </c>
      <c r="G4" s="3">
        <v>96047</v>
      </c>
      <c r="H4" s="3">
        <v>96037.666666666672</v>
      </c>
      <c r="I4" s="3">
        <v>95991.666666666672</v>
      </c>
    </row>
    <row r="5" spans="1:20" x14ac:dyDescent="0.25">
      <c r="A5" s="6"/>
      <c r="B5" t="s">
        <v>25</v>
      </c>
      <c r="D5" t="s">
        <v>33</v>
      </c>
      <c r="E5" s="1">
        <v>51.422999999999995</v>
      </c>
      <c r="F5" s="1">
        <v>51.030333333333331</v>
      </c>
      <c r="G5" s="1">
        <v>50.383666666666684</v>
      </c>
      <c r="H5" s="1">
        <v>49.74366666666667</v>
      </c>
      <c r="I5" s="1">
        <v>48.384333333333338</v>
      </c>
    </row>
    <row r="6" spans="1:20" x14ac:dyDescent="0.25">
      <c r="A6" s="6" t="s">
        <v>26</v>
      </c>
      <c r="B6" t="s">
        <v>17</v>
      </c>
      <c r="C6" t="s">
        <v>42</v>
      </c>
      <c r="D6" t="s">
        <v>34</v>
      </c>
      <c r="E6" s="3">
        <v>4018.8333333333335</v>
      </c>
      <c r="F6" s="3">
        <v>8693.4666666666672</v>
      </c>
      <c r="G6" s="3">
        <v>13188.666666666666</v>
      </c>
      <c r="H6" s="3">
        <v>16381.666666666666</v>
      </c>
      <c r="I6" s="3">
        <v>18789</v>
      </c>
      <c r="P6" s="2"/>
      <c r="Q6" s="2"/>
      <c r="R6" s="2"/>
      <c r="S6" s="2"/>
      <c r="T6" s="2"/>
    </row>
    <row r="7" spans="1:20" x14ac:dyDescent="0.25">
      <c r="A7" s="6"/>
      <c r="B7" t="s">
        <v>19</v>
      </c>
      <c r="C7" t="s">
        <v>38</v>
      </c>
      <c r="D7" t="s">
        <v>31</v>
      </c>
      <c r="E7" s="2">
        <v>25.635666666666665</v>
      </c>
      <c r="F7" s="2">
        <v>26.020833333333332</v>
      </c>
      <c r="G7" s="2">
        <v>26.577666666666666</v>
      </c>
      <c r="H7" s="2">
        <v>27.127833333333335</v>
      </c>
      <c r="I7" s="2">
        <v>27.822499999999998</v>
      </c>
    </row>
    <row r="8" spans="1:20" x14ac:dyDescent="0.25">
      <c r="A8" s="6" t="s">
        <v>27</v>
      </c>
      <c r="B8" t="s">
        <v>20</v>
      </c>
      <c r="C8" t="s">
        <v>43</v>
      </c>
      <c r="D8" t="s">
        <v>34</v>
      </c>
      <c r="E8" s="1">
        <v>1863.2666666666667</v>
      </c>
      <c r="F8" s="1">
        <v>1359.7333333333333</v>
      </c>
      <c r="G8" s="1">
        <v>922.31</v>
      </c>
      <c r="H8" s="1">
        <v>541.51666666666654</v>
      </c>
      <c r="I8" s="1">
        <v>237.69666666666663</v>
      </c>
    </row>
    <row r="9" spans="1:20" x14ac:dyDescent="0.25">
      <c r="A9" s="6"/>
      <c r="B9" t="s">
        <v>21</v>
      </c>
      <c r="C9" t="s">
        <v>39</v>
      </c>
      <c r="D9" t="s">
        <v>31</v>
      </c>
      <c r="E9" s="2">
        <v>40.997999999999998</v>
      </c>
      <c r="F9" s="2">
        <v>44.312333333333328</v>
      </c>
      <c r="G9" s="2">
        <v>47.474499999999992</v>
      </c>
      <c r="H9" s="2">
        <v>50.274833333333333</v>
      </c>
      <c r="I9" s="2">
        <v>54.410166666666669</v>
      </c>
    </row>
    <row r="10" spans="1:20" x14ac:dyDescent="0.25">
      <c r="A10" s="6" t="s">
        <v>28</v>
      </c>
      <c r="B10" t="s">
        <v>22</v>
      </c>
      <c r="C10" t="s">
        <v>37</v>
      </c>
      <c r="D10" t="s">
        <v>34</v>
      </c>
      <c r="E10">
        <v>96085</v>
      </c>
      <c r="F10">
        <v>96056</v>
      </c>
      <c r="G10">
        <v>96047</v>
      </c>
      <c r="H10">
        <v>96037.666666666672</v>
      </c>
      <c r="I10">
        <v>95991.666666666672</v>
      </c>
    </row>
    <row r="11" spans="1:20" x14ac:dyDescent="0.25">
      <c r="A11" s="6"/>
      <c r="B11" t="s">
        <v>35</v>
      </c>
      <c r="C11" t="s">
        <v>40</v>
      </c>
      <c r="D11" t="s">
        <v>31</v>
      </c>
      <c r="E11" s="2">
        <v>25.006</v>
      </c>
      <c r="F11" s="2">
        <v>25.209333333333333</v>
      </c>
      <c r="G11" s="2">
        <v>25.399000000000001</v>
      </c>
      <c r="H11" s="2">
        <v>25.478666666666669</v>
      </c>
      <c r="I11" s="2">
        <v>25.853666666666669</v>
      </c>
    </row>
    <row r="12" spans="1:20" x14ac:dyDescent="0.25">
      <c r="A12" s="6"/>
      <c r="B12" t="s">
        <v>23</v>
      </c>
      <c r="C12" t="s">
        <v>41</v>
      </c>
      <c r="D12" t="s">
        <v>34</v>
      </c>
      <c r="E12" s="1">
        <v>1058.8</v>
      </c>
      <c r="F12" s="1">
        <v>768.18</v>
      </c>
      <c r="G12" s="1">
        <v>503.76333333333332</v>
      </c>
      <c r="H12" s="1">
        <v>312.90666666666669</v>
      </c>
      <c r="I12" s="1">
        <v>131.33333333333334</v>
      </c>
    </row>
    <row r="13" spans="1:20" x14ac:dyDescent="0.25">
      <c r="A13" s="6" t="s">
        <v>24</v>
      </c>
      <c r="B13" s="6"/>
      <c r="C13" t="s">
        <v>44</v>
      </c>
      <c r="D13" t="s">
        <v>45</v>
      </c>
      <c r="E13" s="3">
        <v>14181.666666666666</v>
      </c>
      <c r="F13" s="3">
        <v>13806.666666666666</v>
      </c>
      <c r="G13" s="3">
        <v>13053.333333333334</v>
      </c>
      <c r="H13" s="3">
        <v>11946.666666666666</v>
      </c>
      <c r="I13" s="3">
        <v>9466.6666666666661</v>
      </c>
    </row>
  </sheetData>
  <mergeCells count="7">
    <mergeCell ref="A13:B13"/>
    <mergeCell ref="A1:D1"/>
    <mergeCell ref="A3:A5"/>
    <mergeCell ref="A6:A7"/>
    <mergeCell ref="A8:A9"/>
    <mergeCell ref="A10:A12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" workbookViewId="0">
      <selection activeCell="D21" sqref="D21:H27"/>
    </sheetView>
  </sheetViews>
  <sheetFormatPr defaultRowHeight="14.4" x14ac:dyDescent="0.25"/>
  <cols>
    <col min="1" max="1" width="16.109375" bestFit="1" customWidth="1"/>
    <col min="2" max="2" width="10.5546875" bestFit="1" customWidth="1"/>
    <col min="3" max="3" width="8.5546875" bestFit="1" customWidth="1"/>
    <col min="4" max="8" width="9.5546875" bestFit="1" customWidth="1"/>
  </cols>
  <sheetData>
    <row r="1" spans="1:9" x14ac:dyDescent="0.25">
      <c r="A1" s="4" t="s">
        <v>13</v>
      </c>
      <c r="B1" s="4"/>
      <c r="C1" s="4"/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A2" s="4" t="s">
        <v>14</v>
      </c>
      <c r="B2" t="s">
        <v>29</v>
      </c>
      <c r="C2" t="s">
        <v>30</v>
      </c>
      <c r="D2" s="1">
        <v>4763.7666666666664</v>
      </c>
      <c r="E2" s="1">
        <v>4763.2</v>
      </c>
      <c r="F2" s="1">
        <v>4765.333333333333</v>
      </c>
      <c r="G2" s="1">
        <v>4767.7</v>
      </c>
      <c r="H2" s="1">
        <v>4775</v>
      </c>
    </row>
    <row r="3" spans="1:9" x14ac:dyDescent="0.25">
      <c r="A3" t="s">
        <v>76</v>
      </c>
      <c r="B3" t="s">
        <v>36</v>
      </c>
      <c r="C3" t="s">
        <v>31</v>
      </c>
      <c r="D3" s="2">
        <v>25.006</v>
      </c>
      <c r="E3" s="2">
        <v>25.209333333333333</v>
      </c>
      <c r="F3" s="2">
        <v>25.399000000000001</v>
      </c>
      <c r="G3" s="2">
        <v>25.478666666666669</v>
      </c>
      <c r="H3" s="2">
        <v>25.853666666666669</v>
      </c>
    </row>
    <row r="4" spans="1:9" x14ac:dyDescent="0.25">
      <c r="A4" t="s">
        <v>77</v>
      </c>
      <c r="B4" t="s">
        <v>37</v>
      </c>
      <c r="C4" t="s">
        <v>32</v>
      </c>
      <c r="D4" s="3">
        <v>96085</v>
      </c>
      <c r="E4" s="3">
        <v>96056</v>
      </c>
      <c r="F4" s="3">
        <v>96047</v>
      </c>
      <c r="G4" s="3">
        <v>96037.666666666672</v>
      </c>
      <c r="H4" s="3">
        <v>95991.666666666672</v>
      </c>
    </row>
    <row r="5" spans="1:9" x14ac:dyDescent="0.25">
      <c r="A5" t="s">
        <v>78</v>
      </c>
      <c r="C5" t="s">
        <v>33</v>
      </c>
      <c r="D5" s="1">
        <v>51.422999999999995</v>
      </c>
      <c r="E5" s="1">
        <v>51.030333333333331</v>
      </c>
      <c r="F5" s="1">
        <v>50.383666666666684</v>
      </c>
      <c r="G5" s="1">
        <v>49.74366666666667</v>
      </c>
      <c r="H5" s="1">
        <v>48.384333333333338</v>
      </c>
    </row>
    <row r="6" spans="1:9" x14ac:dyDescent="0.25">
      <c r="A6" t="s">
        <v>79</v>
      </c>
      <c r="B6" t="s">
        <v>42</v>
      </c>
      <c r="C6" t="s">
        <v>34</v>
      </c>
      <c r="D6" s="3">
        <v>4018.8333333333335</v>
      </c>
      <c r="E6" s="3">
        <v>8693.4666666666672</v>
      </c>
      <c r="F6" s="3">
        <v>13188.666666666666</v>
      </c>
      <c r="G6" s="3">
        <v>16381.666666666666</v>
      </c>
      <c r="H6" s="3">
        <v>18789</v>
      </c>
    </row>
    <row r="7" spans="1:9" x14ac:dyDescent="0.25">
      <c r="A7" t="s">
        <v>80</v>
      </c>
      <c r="B7" t="s">
        <v>38</v>
      </c>
      <c r="C7" t="s">
        <v>31</v>
      </c>
      <c r="D7" s="2">
        <v>25.635666666666665</v>
      </c>
      <c r="E7" s="2">
        <v>26.020833333333332</v>
      </c>
      <c r="F7" s="2">
        <v>26.577666666666666</v>
      </c>
      <c r="G7" s="2">
        <v>27.127833333333335</v>
      </c>
      <c r="H7" s="2">
        <v>27.822499999999998</v>
      </c>
      <c r="I7" s="2"/>
    </row>
    <row r="8" spans="1:9" x14ac:dyDescent="0.25">
      <c r="A8" t="s">
        <v>81</v>
      </c>
      <c r="B8" t="s">
        <v>43</v>
      </c>
      <c r="C8" t="s">
        <v>34</v>
      </c>
      <c r="D8" s="1">
        <v>1863.2666666666667</v>
      </c>
      <c r="E8" s="1">
        <v>1359.7333333333333</v>
      </c>
      <c r="F8" s="1">
        <v>922.31</v>
      </c>
      <c r="G8" s="1">
        <v>541.51666666666654</v>
      </c>
      <c r="H8" s="1">
        <v>237.69666666666663</v>
      </c>
    </row>
    <row r="9" spans="1:9" x14ac:dyDescent="0.25">
      <c r="A9" t="s">
        <v>82</v>
      </c>
      <c r="B9" t="s">
        <v>39</v>
      </c>
      <c r="C9" t="s">
        <v>31</v>
      </c>
      <c r="D9" s="2">
        <v>40.997999999999998</v>
      </c>
      <c r="E9" s="2">
        <v>44.312333333333328</v>
      </c>
      <c r="F9" s="2">
        <v>47.474499999999992</v>
      </c>
      <c r="G9" s="2">
        <v>50.274833333333333</v>
      </c>
      <c r="H9" s="2">
        <v>54.410166666666669</v>
      </c>
      <c r="I9" s="2"/>
    </row>
    <row r="10" spans="1:9" x14ac:dyDescent="0.25">
      <c r="A10" t="s">
        <v>23</v>
      </c>
      <c r="B10" t="s">
        <v>83</v>
      </c>
      <c r="C10" t="s">
        <v>34</v>
      </c>
      <c r="D10" s="1">
        <v>1058.8</v>
      </c>
      <c r="E10" s="1">
        <v>768.18</v>
      </c>
      <c r="F10" s="1">
        <v>503.76333333333332</v>
      </c>
      <c r="G10" s="1">
        <v>312.90666666666669</v>
      </c>
      <c r="H10" s="1">
        <v>131.33333333333334</v>
      </c>
    </row>
    <row r="11" spans="1:9" x14ac:dyDescent="0.25">
      <c r="A11" s="4" t="s">
        <v>12</v>
      </c>
      <c r="B11" t="s">
        <v>44</v>
      </c>
      <c r="C11" t="s">
        <v>45</v>
      </c>
      <c r="D11" s="3">
        <v>14181.666666666666</v>
      </c>
      <c r="E11" s="3">
        <v>13806.666666666666</v>
      </c>
      <c r="F11" s="3">
        <v>13053.333333333334</v>
      </c>
      <c r="G11" s="3">
        <v>11946.666666666666</v>
      </c>
      <c r="H11" s="3">
        <v>9466.6666666666661</v>
      </c>
    </row>
    <row r="12" spans="1:9" x14ac:dyDescent="0.25">
      <c r="A12" t="s">
        <v>54</v>
      </c>
      <c r="B12" t="s">
        <v>46</v>
      </c>
      <c r="C12" t="s">
        <v>47</v>
      </c>
      <c r="D12" s="5">
        <f>(D6+D4)/(287*(D7+273.15))</f>
        <v>1.1673714079334967</v>
      </c>
      <c r="E12" s="5">
        <f t="shared" ref="E12:H12" si="0">(E6+E4)/(287*(E7+273.15))</f>
        <v>1.2199742736493875</v>
      </c>
      <c r="F12" s="5">
        <f t="shared" si="0"/>
        <v>1.2698596803251374</v>
      </c>
      <c r="G12" s="5">
        <f t="shared" si="0"/>
        <v>1.3044752249759777</v>
      </c>
      <c r="H12" s="5">
        <f t="shared" si="0"/>
        <v>1.328801257487717</v>
      </c>
    </row>
    <row r="13" spans="1:9" x14ac:dyDescent="0.25">
      <c r="A13" t="s">
        <v>53</v>
      </c>
      <c r="B13" t="s">
        <v>63</v>
      </c>
      <c r="C13" t="s">
        <v>72</v>
      </c>
      <c r="D13" s="5">
        <f>(D8+D4)/(287*(D9+273.15))</f>
        <v>1.0863769914731447</v>
      </c>
      <c r="E13" s="5">
        <f t="shared" ref="E13:H13" si="1">(E8+E4)/(287*(E9+273.15))</f>
        <v>1.0691902838124299</v>
      </c>
      <c r="F13" s="5">
        <f t="shared" si="1"/>
        <v>1.0537939561036218</v>
      </c>
      <c r="G13" s="5">
        <f t="shared" si="1"/>
        <v>1.0404669005958214</v>
      </c>
      <c r="H13" s="5">
        <f t="shared" si="1"/>
        <v>1.0236102646688274</v>
      </c>
    </row>
    <row r="14" spans="1:9" x14ac:dyDescent="0.25">
      <c r="A14" t="s">
        <v>55</v>
      </c>
      <c r="B14" t="s">
        <v>64</v>
      </c>
      <c r="C14" t="s">
        <v>73</v>
      </c>
      <c r="D14" s="5">
        <f>D4/(287*(D3+273.15))</f>
        <v>1.1228717207319343</v>
      </c>
      <c r="E14" s="5">
        <f t="shared" ref="E14:H14" si="2">E4/(287*(E3+273.15))</f>
        <v>1.1217678084045746</v>
      </c>
      <c r="F14" s="5">
        <f t="shared" si="2"/>
        <v>1.1209501173521461</v>
      </c>
      <c r="G14" s="5">
        <f t="shared" si="2"/>
        <v>1.1205421769962784</v>
      </c>
      <c r="H14" s="5">
        <f t="shared" si="2"/>
        <v>1.1186007892250531</v>
      </c>
    </row>
    <row r="15" spans="1:9" x14ac:dyDescent="0.25">
      <c r="A15" t="s">
        <v>56</v>
      </c>
      <c r="B15" t="s">
        <v>65</v>
      </c>
      <c r="C15" t="s">
        <v>74</v>
      </c>
      <c r="D15" s="2">
        <f>65.98*0.14^2*SQRT(D14*D10)</f>
        <v>44.590302752087275</v>
      </c>
      <c r="E15" s="2">
        <f t="shared" ref="E15:H15" si="3">65.98*0.14^2*SQRT(E14*E10)</f>
        <v>37.962199477807246</v>
      </c>
      <c r="F15" s="2">
        <f t="shared" si="3"/>
        <v>30.730866285425471</v>
      </c>
      <c r="G15" s="2">
        <f t="shared" si="3"/>
        <v>24.215302273945582</v>
      </c>
      <c r="H15" s="2">
        <f t="shared" si="3"/>
        <v>15.674490278085823</v>
      </c>
    </row>
    <row r="16" spans="1:9" x14ac:dyDescent="0.25">
      <c r="A16" t="s">
        <v>48</v>
      </c>
      <c r="B16" t="s">
        <v>66</v>
      </c>
      <c r="C16" t="s">
        <v>75</v>
      </c>
      <c r="D16" s="2">
        <f>D15/D12</f>
        <v>38.197185959027287</v>
      </c>
      <c r="E16" s="2">
        <f t="shared" ref="E16:H16" si="4">E15/E12</f>
        <v>31.117213123067323</v>
      </c>
      <c r="F16" s="2">
        <f t="shared" si="4"/>
        <v>24.200206338984696</v>
      </c>
      <c r="G16" s="2">
        <f t="shared" si="4"/>
        <v>18.563251957806646</v>
      </c>
      <c r="H16" s="2">
        <f t="shared" si="4"/>
        <v>11.795962857320454</v>
      </c>
    </row>
    <row r="17" spans="1:9" x14ac:dyDescent="0.25">
      <c r="A17" t="s">
        <v>49</v>
      </c>
      <c r="B17" t="s">
        <v>67</v>
      </c>
      <c r="C17" t="s">
        <v>75</v>
      </c>
      <c r="D17" s="2">
        <f>D15/D13</f>
        <v>41.044962386051736</v>
      </c>
      <c r="E17" s="2">
        <f t="shared" ref="E17:H17" si="5">E15/E13</f>
        <v>35.505559723611398</v>
      </c>
      <c r="F17" s="2">
        <f t="shared" si="5"/>
        <v>29.162120457638721</v>
      </c>
      <c r="G17" s="2">
        <f t="shared" si="5"/>
        <v>23.273496023831932</v>
      </c>
      <c r="H17" s="2">
        <f t="shared" si="5"/>
        <v>15.312947533949409</v>
      </c>
    </row>
    <row r="18" spans="1:9" x14ac:dyDescent="0.25">
      <c r="A18" t="s">
        <v>57</v>
      </c>
      <c r="B18" t="s">
        <v>68</v>
      </c>
      <c r="C18" t="s">
        <v>32</v>
      </c>
      <c r="D18" s="2">
        <f>1/7200/D12*(D15/(PI()/4*0.2135^2))^2</f>
        <v>184.57293296584353</v>
      </c>
      <c r="E18" s="2">
        <f>1/7200/E12*(E15/(PI()/4*0.2135^2))^2</f>
        <v>128.01129312153176</v>
      </c>
      <c r="F18" s="2">
        <f>1/7200/F12*(F15/(PI()/4*0.2135^2))^2</f>
        <v>80.591658877504997</v>
      </c>
      <c r="G18" s="2">
        <f>1/7200/G12*(G15/(PI()/4*0.2135^2))^2</f>
        <v>48.712472919685318</v>
      </c>
      <c r="H18" s="2">
        <f>1/7200/H12*(H15/(PI()/4*0.2135^2))^2</f>
        <v>20.03655471109278</v>
      </c>
    </row>
    <row r="19" spans="1:9" x14ac:dyDescent="0.25">
      <c r="A19" t="s">
        <v>58</v>
      </c>
      <c r="B19" t="s">
        <v>69</v>
      </c>
      <c r="C19" t="s">
        <v>32</v>
      </c>
      <c r="D19" s="2">
        <f>1/7200/D13*(D15/(PI()/4*0.2135^2))^2</f>
        <v>198.33369660248184</v>
      </c>
      <c r="E19" s="2">
        <f>1/7200/E13*(E15/(PI()/4*0.2135^2))^2</f>
        <v>146.06425695153141</v>
      </c>
      <c r="F19" s="2">
        <f>1/7200/F13*(F15/(PI()/4*0.2135^2))^2</f>
        <v>97.115852284312865</v>
      </c>
      <c r="G19" s="2">
        <f>1/7200/G13*(G15/(PI()/4*0.2135^2))^2</f>
        <v>61.072787644329921</v>
      </c>
      <c r="H19" s="2">
        <f>1/7200/H13*(H15/(PI()/4*0.2135^2))^2</f>
        <v>26.010484668630678</v>
      </c>
    </row>
    <row r="20" spans="1:9" x14ac:dyDescent="0.25">
      <c r="A20" t="s">
        <v>84</v>
      </c>
      <c r="B20" t="s">
        <v>70</v>
      </c>
      <c r="C20" t="s">
        <v>32</v>
      </c>
      <c r="D20">
        <f>D4-(D6+0.1*D18+0.025*D18*(0.4/0.2135))+D18</f>
        <v>92223.637204089289</v>
      </c>
      <c r="E20">
        <f>E4-(E6+0.1*E18+0.025*E18*(0.4/0.2135))+E18</f>
        <v>87471.747652031627</v>
      </c>
      <c r="F20">
        <f>F4-(F6+0.1*F18+0.025*F18*(0.4/0.2135))+F18</f>
        <v>82927.09104136395</v>
      </c>
      <c r="G20">
        <f>G4-(G6+0.1*G18+0.025*G18*(0.4/0.2135))+G18</f>
        <v>79697.55961097106</v>
      </c>
      <c r="H20">
        <f>H4-(H6+0.1*H18+0.025*H18*(0.4/0.2135))+H18</f>
        <v>77219.761085592327</v>
      </c>
    </row>
    <row r="21" spans="1:9" x14ac:dyDescent="0.25">
      <c r="A21" t="s">
        <v>85</v>
      </c>
      <c r="B21" t="s">
        <v>71</v>
      </c>
      <c r="C21" t="s">
        <v>32</v>
      </c>
      <c r="D21" s="2">
        <f>D4+(D8+0.025*D19*(0.4/0.2135))+D19</f>
        <v>98155.889997770428</v>
      </c>
      <c r="E21" s="2">
        <f t="shared" ref="E21:H21" si="6">E4+(E8+0.025*E19*(0.4/0.2135))+E19</f>
        <v>97568.639007472288</v>
      </c>
      <c r="F21" s="2">
        <f t="shared" si="6"/>
        <v>97070.974604147748</v>
      </c>
      <c r="G21" s="2">
        <f t="shared" si="6"/>
        <v>96643.116673092154</v>
      </c>
      <c r="H21" s="2">
        <f t="shared" si="6"/>
        <v>96256.592107681994</v>
      </c>
    </row>
    <row r="22" spans="1:9" x14ac:dyDescent="0.25">
      <c r="A22" t="s">
        <v>50</v>
      </c>
      <c r="B22" t="s">
        <v>93</v>
      </c>
      <c r="D22" s="2">
        <f>D21/D20</f>
        <v>1.0643246457581494</v>
      </c>
      <c r="E22" s="2">
        <f t="shared" ref="E22:H22" si="7">E21/E20</f>
        <v>1.1154303146612179</v>
      </c>
      <c r="F22" s="2">
        <f t="shared" si="7"/>
        <v>1.1705580575077552</v>
      </c>
      <c r="G22" s="2">
        <f t="shared" si="7"/>
        <v>1.2126232866456352</v>
      </c>
      <c r="H22" s="2">
        <f t="shared" si="7"/>
        <v>1.2465279710071722</v>
      </c>
      <c r="I22" s="5"/>
    </row>
    <row r="23" spans="1:9" x14ac:dyDescent="0.25">
      <c r="A23" t="s">
        <v>59</v>
      </c>
      <c r="B23" t="s">
        <v>51</v>
      </c>
      <c r="D23" s="2">
        <f>LOG10((D9+273.15)/(D7+273.15))/LOG10(D22)</f>
        <v>0.80425662437012468</v>
      </c>
      <c r="E23" s="2">
        <f t="shared" ref="E23:H23" si="8">LOG10((E9+273.15)/(E7+273.15))/LOG10(E22)</f>
        <v>0.5432467423642432</v>
      </c>
      <c r="F23" s="2">
        <f t="shared" si="8"/>
        <v>0.42796616685991273</v>
      </c>
      <c r="G23" s="2">
        <f t="shared" si="8"/>
        <v>0.38518651883342436</v>
      </c>
      <c r="H23" s="2">
        <f t="shared" si="8"/>
        <v>0.38415348573347913</v>
      </c>
      <c r="I23" s="5"/>
    </row>
    <row r="24" spans="1:9" x14ac:dyDescent="0.25">
      <c r="A24" t="s">
        <v>60</v>
      </c>
      <c r="B24" t="s">
        <v>95</v>
      </c>
      <c r="C24" t="s">
        <v>88</v>
      </c>
      <c r="D24" s="2">
        <f>287*(D7+273.15)/D23*(D22^D23-1)</f>
        <v>5482.0682019494498</v>
      </c>
      <c r="E24" s="2">
        <f t="shared" ref="E24:H24" si="9">287*(E7+273.15)/E23*(E22^E23-1)</f>
        <v>9663.4919100538918</v>
      </c>
      <c r="F24" s="2">
        <f t="shared" si="9"/>
        <v>14013.703958588385</v>
      </c>
      <c r="G24" s="2">
        <f t="shared" si="9"/>
        <v>17246.680958927511</v>
      </c>
      <c r="H24" s="2">
        <f t="shared" si="9"/>
        <v>19863.571766799989</v>
      </c>
    </row>
    <row r="25" spans="1:9" x14ac:dyDescent="0.25">
      <c r="A25" t="s">
        <v>62</v>
      </c>
      <c r="B25" t="s">
        <v>86</v>
      </c>
      <c r="C25" t="s">
        <v>87</v>
      </c>
      <c r="D25" s="2">
        <f>D15*D24/60</f>
        <v>4074.1180138752779</v>
      </c>
      <c r="E25" s="2">
        <f t="shared" ref="E25:H25" si="10">E15*E24/60</f>
        <v>6114.1234590273725</v>
      </c>
      <c r="F25" s="2">
        <f t="shared" si="10"/>
        <v>7177.554375248621</v>
      </c>
      <c r="G25" s="2">
        <f t="shared" si="10"/>
        <v>6960.5598773788552</v>
      </c>
      <c r="H25" s="2">
        <f t="shared" si="10"/>
        <v>5189.1893757794414</v>
      </c>
    </row>
    <row r="26" spans="1:9" x14ac:dyDescent="0.25">
      <c r="A26" t="s">
        <v>52</v>
      </c>
      <c r="B26" t="s">
        <v>89</v>
      </c>
      <c r="C26" t="s">
        <v>45</v>
      </c>
      <c r="D26" s="2">
        <f>0.98*0.9*0.98*D11</f>
        <v>12258.065399999999</v>
      </c>
      <c r="E26" s="2">
        <f t="shared" ref="E26:H26" si="11">0.98*0.9*0.98*E11</f>
        <v>11933.930399999999</v>
      </c>
      <c r="F26" s="2">
        <f t="shared" si="11"/>
        <v>11282.779200000001</v>
      </c>
      <c r="G26" s="2">
        <f t="shared" si="11"/>
        <v>10326.220799999999</v>
      </c>
      <c r="H26" s="2">
        <f t="shared" si="11"/>
        <v>8182.6079999999993</v>
      </c>
    </row>
    <row r="27" spans="1:9" x14ac:dyDescent="0.25">
      <c r="A27" t="s">
        <v>61</v>
      </c>
      <c r="B27" t="s">
        <v>91</v>
      </c>
      <c r="D27" s="2">
        <f>D25/D26</f>
        <v>0.33236223506160101</v>
      </c>
      <c r="E27" s="2">
        <f t="shared" ref="E27:H27" si="12">E25/E26</f>
        <v>0.51233108071648992</v>
      </c>
      <c r="F27" s="2">
        <f t="shared" si="12"/>
        <v>0.63615127514403724</v>
      </c>
      <c r="G27" s="2">
        <f t="shared" si="12"/>
        <v>0.67406653529806915</v>
      </c>
      <c r="H27" s="2">
        <f t="shared" si="12"/>
        <v>0.63417303820242177</v>
      </c>
      <c r="I27" s="5"/>
    </row>
    <row r="28" spans="1:9" x14ac:dyDescent="0.25">
      <c r="I2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D2" sqref="D2:H10"/>
    </sheetView>
  </sheetViews>
  <sheetFormatPr defaultRowHeight="14.4" x14ac:dyDescent="0.25"/>
  <cols>
    <col min="1" max="1" width="13.88671875" bestFit="1" customWidth="1"/>
    <col min="2" max="2" width="26" bestFit="1" customWidth="1"/>
  </cols>
  <sheetData>
    <row r="1" spans="1:9" x14ac:dyDescent="0.25">
      <c r="A1" s="4" t="s">
        <v>13</v>
      </c>
      <c r="B1" s="4"/>
      <c r="C1" s="4"/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A2" s="4" t="s">
        <v>146</v>
      </c>
      <c r="B2" s="4" t="s">
        <v>147</v>
      </c>
      <c r="C2" s="4"/>
      <c r="D2" s="5">
        <f>5350/D13</f>
        <v>1.1230608831946709</v>
      </c>
      <c r="E2" s="5">
        <f t="shared" ref="E2:H2" si="0">5350/E13</f>
        <v>1.1231944910984213</v>
      </c>
      <c r="F2" s="5">
        <f t="shared" si="0"/>
        <v>1.1226916620033576</v>
      </c>
      <c r="G2" s="5">
        <f t="shared" si="0"/>
        <v>1.1221343624808608</v>
      </c>
      <c r="H2" s="5">
        <f t="shared" si="0"/>
        <v>1.1204188481675392</v>
      </c>
      <c r="I2">
        <v>1</v>
      </c>
    </row>
    <row r="3" spans="1:9" x14ac:dyDescent="0.25">
      <c r="A3" t="s">
        <v>103</v>
      </c>
      <c r="B3" t="s">
        <v>149</v>
      </c>
      <c r="C3" t="s">
        <v>110</v>
      </c>
      <c r="D3" s="5">
        <f>D27*D2</f>
        <v>42.897765398696265</v>
      </c>
      <c r="E3" s="5">
        <f>E27*E2</f>
        <v>34.95068235816472</v>
      </c>
      <c r="F3" s="5">
        <f>F27*F2</f>
        <v>27.169369875538919</v>
      </c>
      <c r="G3" s="5">
        <f>G27*G2</f>
        <v>20.830462901244953</v>
      </c>
      <c r="H3" s="5">
        <f>H27*H2</f>
        <v>13.216419117626058</v>
      </c>
      <c r="I3">
        <v>25</v>
      </c>
    </row>
    <row r="4" spans="1:9" x14ac:dyDescent="0.25">
      <c r="A4" t="s">
        <v>96</v>
      </c>
      <c r="B4" t="s">
        <v>148</v>
      </c>
      <c r="C4" t="s">
        <v>111</v>
      </c>
      <c r="D4" s="1">
        <f t="shared" ref="D4:I4" si="1">60*D36/D26*D2^2</f>
        <v>6914.3448478211958</v>
      </c>
      <c r="E4" s="1">
        <f t="shared" si="1"/>
        <v>12191.131528821968</v>
      </c>
      <c r="F4" s="1">
        <f t="shared" si="1"/>
        <v>17663.384921576282</v>
      </c>
      <c r="G4" s="1">
        <f t="shared" si="1"/>
        <v>21716.771060207135</v>
      </c>
      <c r="H4" s="1">
        <f t="shared" si="1"/>
        <v>24935.504307238625</v>
      </c>
      <c r="I4" s="1">
        <f t="shared" si="1"/>
        <v>22533.80955282088</v>
      </c>
    </row>
    <row r="5" spans="1:9" x14ac:dyDescent="0.25">
      <c r="B5" t="s">
        <v>105</v>
      </c>
      <c r="D5" s="5">
        <f>LOG10((D15-D19)/(D15-D17))/LOG10((273.15+D20)/(273.15+D18))</f>
        <v>0.46159545559332432</v>
      </c>
      <c r="E5" s="5">
        <f>LOG10((E15-E19)/(E15-E17))/LOG10((273.15+E20)/(273.15+E18))</f>
        <v>1.3583091799278804</v>
      </c>
      <c r="F5" s="5">
        <f>LOG10((F15-F19)/(F15-F17))/LOG10((273.15+F20)/(273.15+F18))</f>
        <v>2.0484223597807607</v>
      </c>
      <c r="G5" s="5">
        <f>LOG10((G15-G19)/(G15-G17))/LOG10((273.15+G20)/(273.15+G18))</f>
        <v>2.4423922588282219</v>
      </c>
      <c r="H5" s="5">
        <f>LOG10((H15-H19)/(H15-H17))/LOG10((273.15+H20)/(273.15+H18))</f>
        <v>2.543896377622703</v>
      </c>
      <c r="I5" s="5">
        <f>LOG10(127/98)/LOG10(313/293)</f>
        <v>3.9257507931743745</v>
      </c>
    </row>
    <row r="6" spans="1:9" x14ac:dyDescent="0.25">
      <c r="A6" t="s">
        <v>98</v>
      </c>
      <c r="B6" t="s">
        <v>150</v>
      </c>
      <c r="D6" s="5">
        <f>(D4/(287*293*D5)+1)^D5</f>
        <v>1.0786055950343707</v>
      </c>
      <c r="E6" s="5">
        <f t="shared" ref="E6:H6" si="2">(E4/(287*293*E5)+1)^E5</f>
        <v>1.1476869593632204</v>
      </c>
      <c r="F6" s="5">
        <f t="shared" si="2"/>
        <v>1.2213601695363545</v>
      </c>
      <c r="G6" s="5">
        <f t="shared" si="2"/>
        <v>1.2782497034269813</v>
      </c>
      <c r="H6" s="5">
        <f t="shared" si="2"/>
        <v>1.3237691024949751</v>
      </c>
      <c r="I6" s="5">
        <f>127/98</f>
        <v>1.2959183673469388</v>
      </c>
    </row>
    <row r="7" spans="1:9" x14ac:dyDescent="0.25">
      <c r="A7" t="s">
        <v>99</v>
      </c>
      <c r="B7" t="s">
        <v>106</v>
      </c>
      <c r="C7" t="s">
        <v>113</v>
      </c>
      <c r="D7" s="1">
        <f>D6*98000</f>
        <v>105703.34831336833</v>
      </c>
      <c r="E7" s="1">
        <f t="shared" ref="E7:H7" si="3">E6*98000</f>
        <v>112473.32201759559</v>
      </c>
      <c r="F7" s="1">
        <f t="shared" si="3"/>
        <v>119693.29661456274</v>
      </c>
      <c r="G7" s="1">
        <f t="shared" si="3"/>
        <v>125268.47093584416</v>
      </c>
      <c r="H7" s="1">
        <f t="shared" si="3"/>
        <v>129729.37204450756</v>
      </c>
    </row>
    <row r="8" spans="1:9" x14ac:dyDescent="0.25">
      <c r="A8" t="s">
        <v>100</v>
      </c>
      <c r="B8" t="s">
        <v>107</v>
      </c>
      <c r="D8" s="5">
        <f>D6^(1/D5)</f>
        <v>1.1781312002659379</v>
      </c>
      <c r="E8" s="5">
        <f t="shared" ref="E8:H8" si="4">E6^(1/E5)</f>
        <v>1.1067322989439374</v>
      </c>
      <c r="F8" s="5">
        <f t="shared" si="4"/>
        <v>1.1025427377549004</v>
      </c>
      <c r="G8" s="5">
        <f t="shared" si="4"/>
        <v>1.1057378124102746</v>
      </c>
      <c r="H8" s="5">
        <f t="shared" si="4"/>
        <v>1.1165652828971055</v>
      </c>
    </row>
    <row r="9" spans="1:9" x14ac:dyDescent="0.25">
      <c r="A9" t="s">
        <v>101</v>
      </c>
      <c r="B9" t="s">
        <v>108</v>
      </c>
      <c r="D9" s="5">
        <f>D38</f>
        <v>0.33236223506160101</v>
      </c>
      <c r="E9" s="5">
        <f t="shared" ref="E9:I9" si="5">E38</f>
        <v>0.51233108071648992</v>
      </c>
      <c r="F9" s="5">
        <f t="shared" si="5"/>
        <v>0.63615127514403724</v>
      </c>
      <c r="G9" s="5">
        <f t="shared" si="5"/>
        <v>0.67406653529806915</v>
      </c>
      <c r="H9" s="5">
        <f t="shared" si="5"/>
        <v>0.63417303820242177</v>
      </c>
      <c r="I9" s="5">
        <f t="shared" si="5"/>
        <v>0.83779548337410947</v>
      </c>
    </row>
    <row r="10" spans="1:9" x14ac:dyDescent="0.25">
      <c r="A10" t="s">
        <v>102</v>
      </c>
      <c r="B10" t="s">
        <v>115</v>
      </c>
      <c r="C10" t="s">
        <v>114</v>
      </c>
      <c r="D10" s="1">
        <f>D4*D3*1.16/60/D9</f>
        <v>17253.641648473804</v>
      </c>
      <c r="E10" s="1">
        <f t="shared" ref="E10:G10" si="6">E4*E3*1.16/60/E9</f>
        <v>16078.876946242022</v>
      </c>
      <c r="F10" s="1">
        <f t="shared" si="6"/>
        <v>14584.778444204945</v>
      </c>
      <c r="G10" s="1">
        <f t="shared" si="6"/>
        <v>12974.724537569789</v>
      </c>
      <c r="H10" s="1">
        <f>H4*H3*1.16/60/H9</f>
        <v>10046.873249054432</v>
      </c>
      <c r="I10" s="1">
        <f>I4*I3*1.16/60/I9</f>
        <v>13000</v>
      </c>
    </row>
    <row r="11" spans="1:9" x14ac:dyDescent="0.25">
      <c r="D11" s="1">
        <f>D9*100</f>
        <v>33.236223506160101</v>
      </c>
      <c r="E11" s="1">
        <f t="shared" ref="E11:I11" si="7">E9*100</f>
        <v>51.233108071648992</v>
      </c>
      <c r="F11" s="1">
        <f t="shared" si="7"/>
        <v>63.615127514403724</v>
      </c>
      <c r="G11" s="1">
        <f t="shared" si="7"/>
        <v>67.406653529806917</v>
      </c>
      <c r="H11" s="1">
        <f t="shared" si="7"/>
        <v>63.417303820242175</v>
      </c>
      <c r="I11" s="1">
        <f t="shared" si="7"/>
        <v>83.779548337410944</v>
      </c>
    </row>
    <row r="12" spans="1:9" x14ac:dyDescent="0.25">
      <c r="D12">
        <f>D10/1000</f>
        <v>17.253641648473803</v>
      </c>
      <c r="E12">
        <f t="shared" ref="E12:G12" si="8">E10/1000</f>
        <v>16.078876946242023</v>
      </c>
      <c r="F12">
        <f t="shared" si="8"/>
        <v>14.584778444204945</v>
      </c>
      <c r="G12">
        <f t="shared" si="8"/>
        <v>12.97472453756979</v>
      </c>
      <c r="H12">
        <f>H10/1000</f>
        <v>10.046873249054432</v>
      </c>
      <c r="I12">
        <f>I10/1000</f>
        <v>13</v>
      </c>
    </row>
    <row r="13" spans="1:9" x14ac:dyDescent="0.25">
      <c r="A13" s="4" t="s">
        <v>14</v>
      </c>
      <c r="B13" t="s">
        <v>29</v>
      </c>
      <c r="C13" t="s">
        <v>30</v>
      </c>
      <c r="D13" s="1">
        <v>4763.7666666666664</v>
      </c>
      <c r="E13" s="1">
        <v>4763.2</v>
      </c>
      <c r="F13" s="1">
        <v>4765.333333333333</v>
      </c>
      <c r="G13" s="1">
        <v>4767.7</v>
      </c>
      <c r="H13" s="1">
        <v>4775</v>
      </c>
    </row>
    <row r="14" spans="1:9" x14ac:dyDescent="0.25">
      <c r="A14" t="s">
        <v>2</v>
      </c>
      <c r="B14" t="s">
        <v>36</v>
      </c>
      <c r="C14" t="s">
        <v>31</v>
      </c>
      <c r="D14" s="2">
        <v>25.006</v>
      </c>
      <c r="E14" s="2">
        <v>25.209333333333333</v>
      </c>
      <c r="F14" s="2">
        <v>25.399000000000001</v>
      </c>
      <c r="G14" s="2">
        <v>25.478666666666669</v>
      </c>
      <c r="H14" s="2">
        <v>25.853666666666669</v>
      </c>
    </row>
    <row r="15" spans="1:9" x14ac:dyDescent="0.25">
      <c r="A15" t="s">
        <v>1</v>
      </c>
      <c r="B15" t="s">
        <v>37</v>
      </c>
      <c r="C15" t="s">
        <v>32</v>
      </c>
      <c r="D15" s="3">
        <v>96085</v>
      </c>
      <c r="E15" s="3">
        <v>96056</v>
      </c>
      <c r="F15" s="3">
        <v>96047</v>
      </c>
      <c r="G15" s="3">
        <v>96037.666666666672</v>
      </c>
      <c r="H15" s="3">
        <v>95991.666666666672</v>
      </c>
    </row>
    <row r="16" spans="1:9" x14ac:dyDescent="0.25">
      <c r="A16" t="s">
        <v>78</v>
      </c>
      <c r="C16" t="s">
        <v>33</v>
      </c>
      <c r="D16" s="1">
        <v>51.422999999999995</v>
      </c>
      <c r="E16" s="1">
        <v>51.030333333333331</v>
      </c>
      <c r="F16" s="1">
        <v>50.383666666666684</v>
      </c>
      <c r="G16" s="1">
        <v>49.74366666666667</v>
      </c>
      <c r="H16" s="1">
        <v>48.384333333333338</v>
      </c>
    </row>
    <row r="17" spans="1:9" x14ac:dyDescent="0.25">
      <c r="A17" t="s">
        <v>79</v>
      </c>
      <c r="B17" t="s">
        <v>42</v>
      </c>
      <c r="C17" t="s">
        <v>34</v>
      </c>
      <c r="D17" s="3">
        <v>4018.8333333333335</v>
      </c>
      <c r="E17" s="3">
        <v>8693.4666666666672</v>
      </c>
      <c r="F17" s="3">
        <v>13188.666666666666</v>
      </c>
      <c r="G17" s="3">
        <v>16381.666666666666</v>
      </c>
      <c r="H17" s="3">
        <v>18789</v>
      </c>
    </row>
    <row r="18" spans="1:9" x14ac:dyDescent="0.25">
      <c r="A18" t="s">
        <v>80</v>
      </c>
      <c r="B18" t="s">
        <v>38</v>
      </c>
      <c r="C18" t="s">
        <v>31</v>
      </c>
      <c r="D18" s="2">
        <v>25.635666666666665</v>
      </c>
      <c r="E18" s="2">
        <v>26.020833333333332</v>
      </c>
      <c r="F18" s="2">
        <v>26.577666666666666</v>
      </c>
      <c r="G18" s="2">
        <v>27.127833333333335</v>
      </c>
      <c r="H18" s="2">
        <v>27.822499999999998</v>
      </c>
    </row>
    <row r="19" spans="1:9" x14ac:dyDescent="0.25">
      <c r="A19" t="s">
        <v>81</v>
      </c>
      <c r="B19" t="s">
        <v>43</v>
      </c>
      <c r="C19" t="s">
        <v>34</v>
      </c>
      <c r="D19" s="1">
        <v>1863.2666666666667</v>
      </c>
      <c r="E19" s="1">
        <v>1359.7333333333333</v>
      </c>
      <c r="F19" s="1">
        <v>922.31</v>
      </c>
      <c r="G19" s="1">
        <v>541.51666666666654</v>
      </c>
      <c r="H19" s="1">
        <v>237.69666666666663</v>
      </c>
    </row>
    <row r="20" spans="1:9" x14ac:dyDescent="0.25">
      <c r="A20" t="s">
        <v>82</v>
      </c>
      <c r="B20" t="s">
        <v>39</v>
      </c>
      <c r="C20" t="s">
        <v>31</v>
      </c>
      <c r="D20" s="2">
        <v>40.997999999999998</v>
      </c>
      <c r="E20" s="2">
        <v>44.312333333333328</v>
      </c>
      <c r="F20" s="2">
        <v>47.474499999999992</v>
      </c>
      <c r="G20" s="2">
        <v>50.274833333333333</v>
      </c>
      <c r="H20" s="2">
        <v>54.410166666666669</v>
      </c>
    </row>
    <row r="21" spans="1:9" x14ac:dyDescent="0.25">
      <c r="A21" t="s">
        <v>23</v>
      </c>
      <c r="B21" t="s">
        <v>83</v>
      </c>
      <c r="C21" t="s">
        <v>34</v>
      </c>
      <c r="D21" s="1">
        <v>1058.8</v>
      </c>
      <c r="E21" s="1">
        <v>768.18</v>
      </c>
      <c r="F21" s="1">
        <v>503.76333333333332</v>
      </c>
      <c r="G21" s="1">
        <v>312.90666666666669</v>
      </c>
      <c r="H21" s="1">
        <v>131.33333333333334</v>
      </c>
    </row>
    <row r="22" spans="1:9" x14ac:dyDescent="0.25">
      <c r="A22" s="4" t="s">
        <v>12</v>
      </c>
      <c r="B22" t="s">
        <v>44</v>
      </c>
      <c r="C22" t="s">
        <v>45</v>
      </c>
      <c r="D22" s="3">
        <v>14181.666666666666</v>
      </c>
      <c r="E22" s="3">
        <v>13806.666666666666</v>
      </c>
      <c r="F22" s="3">
        <v>13053.333333333334</v>
      </c>
      <c r="G22" s="3">
        <v>11946.666666666666</v>
      </c>
      <c r="H22" s="3">
        <v>9466.6666666666661</v>
      </c>
      <c r="I22" s="3"/>
    </row>
    <row r="23" spans="1:9" x14ac:dyDescent="0.25">
      <c r="A23" t="s">
        <v>116</v>
      </c>
      <c r="B23" t="s">
        <v>117</v>
      </c>
      <c r="C23" t="s">
        <v>118</v>
      </c>
      <c r="D23" s="5">
        <f>(D17+D15)/(287*(D18+273.15))</f>
        <v>1.1673714079334967</v>
      </c>
      <c r="E23" s="5">
        <f t="shared" ref="E23:H23" si="9">(E17+E15)/(287*(E18+273.15))</f>
        <v>1.2199742736493875</v>
      </c>
      <c r="F23" s="5">
        <f t="shared" si="9"/>
        <v>1.2698596803251374</v>
      </c>
      <c r="G23" s="5">
        <f t="shared" si="9"/>
        <v>1.3044752249759777</v>
      </c>
      <c r="H23" s="5">
        <f t="shared" si="9"/>
        <v>1.328801257487717</v>
      </c>
      <c r="I23">
        <v>1.1599999999999999</v>
      </c>
    </row>
    <row r="24" spans="1:9" x14ac:dyDescent="0.25">
      <c r="A24" t="s">
        <v>119</v>
      </c>
      <c r="B24" t="s">
        <v>120</v>
      </c>
      <c r="C24" t="s">
        <v>72</v>
      </c>
      <c r="D24" s="5">
        <f>(D19+D15)/(287*(D20+273.15))</f>
        <v>1.0863769914731447</v>
      </c>
      <c r="E24" s="5">
        <f t="shared" ref="E24:H24" si="10">(E19+E15)/(287*(E20+273.15))</f>
        <v>1.0691902838124299</v>
      </c>
      <c r="F24" s="5">
        <f t="shared" si="10"/>
        <v>1.0537939561036218</v>
      </c>
      <c r="G24" s="5">
        <f t="shared" si="10"/>
        <v>1.0404669005958214</v>
      </c>
      <c r="H24" s="5">
        <f t="shared" si="10"/>
        <v>1.0236102646688274</v>
      </c>
    </row>
    <row r="25" spans="1:9" x14ac:dyDescent="0.25">
      <c r="A25" t="s">
        <v>121</v>
      </c>
      <c r="B25" t="s">
        <v>122</v>
      </c>
      <c r="C25" t="s">
        <v>73</v>
      </c>
      <c r="D25" s="5">
        <f>D15/(287*(D14+273.15))</f>
        <v>1.1228717207319343</v>
      </c>
      <c r="E25" s="5">
        <f t="shared" ref="E25:H25" si="11">E15/(287*(E14+273.15))</f>
        <v>1.1217678084045746</v>
      </c>
      <c r="F25" s="5">
        <f t="shared" si="11"/>
        <v>1.1209501173521461</v>
      </c>
      <c r="G25" s="5">
        <f t="shared" si="11"/>
        <v>1.1205421769962784</v>
      </c>
      <c r="H25" s="5">
        <f t="shared" si="11"/>
        <v>1.1186007892250531</v>
      </c>
    </row>
    <row r="26" spans="1:9" x14ac:dyDescent="0.25">
      <c r="A26" t="s">
        <v>123</v>
      </c>
      <c r="B26" t="s">
        <v>124</v>
      </c>
      <c r="C26" t="s">
        <v>125</v>
      </c>
      <c r="D26" s="2">
        <f>65.98*0.14^2*SQRT(D25*D21)</f>
        <v>44.590302752087275</v>
      </c>
      <c r="E26" s="2">
        <f t="shared" ref="E26:H26" si="12">65.98*0.14^2*SQRT(E25*E21)</f>
        <v>37.962199477807246</v>
      </c>
      <c r="F26" s="2">
        <f t="shared" si="12"/>
        <v>30.730866285425471</v>
      </c>
      <c r="G26" s="2">
        <f t="shared" si="12"/>
        <v>24.215302273945582</v>
      </c>
      <c r="H26" s="2">
        <f t="shared" si="12"/>
        <v>15.674490278085823</v>
      </c>
      <c r="I26">
        <f>I27*I23</f>
        <v>28.999999999999996</v>
      </c>
    </row>
    <row r="27" spans="1:9" x14ac:dyDescent="0.25">
      <c r="A27" t="s">
        <v>126</v>
      </c>
      <c r="B27" t="s">
        <v>127</v>
      </c>
      <c r="C27" t="s">
        <v>109</v>
      </c>
      <c r="D27" s="2">
        <f>D26/D23</f>
        <v>38.197185959027287</v>
      </c>
      <c r="E27" s="2">
        <f t="shared" ref="E27:H27" si="13">E26/E23</f>
        <v>31.117213123067323</v>
      </c>
      <c r="F27" s="2">
        <f t="shared" si="13"/>
        <v>24.200206338984696</v>
      </c>
      <c r="G27" s="2">
        <f t="shared" si="13"/>
        <v>18.563251957806646</v>
      </c>
      <c r="H27" s="2">
        <f t="shared" si="13"/>
        <v>11.795962857320454</v>
      </c>
      <c r="I27">
        <v>25</v>
      </c>
    </row>
    <row r="28" spans="1:9" x14ac:dyDescent="0.25">
      <c r="A28" t="s">
        <v>128</v>
      </c>
      <c r="B28" t="s">
        <v>129</v>
      </c>
      <c r="C28" t="s">
        <v>109</v>
      </c>
      <c r="D28" s="2">
        <f>D26/D24</f>
        <v>41.044962386051736</v>
      </c>
      <c r="E28" s="2">
        <f t="shared" ref="E28:H28" si="14">E26/E24</f>
        <v>35.505559723611398</v>
      </c>
      <c r="F28" s="2">
        <f t="shared" si="14"/>
        <v>29.162120457638721</v>
      </c>
      <c r="G28" s="2">
        <f t="shared" si="14"/>
        <v>23.273496023831932</v>
      </c>
      <c r="H28" s="2">
        <f t="shared" si="14"/>
        <v>15.312947533949409</v>
      </c>
    </row>
    <row r="29" spans="1:9" x14ac:dyDescent="0.25">
      <c r="A29" t="s">
        <v>130</v>
      </c>
      <c r="B29" t="s">
        <v>131</v>
      </c>
      <c r="C29" t="s">
        <v>112</v>
      </c>
      <c r="D29" s="2">
        <f>1/7200/D23*(D26/(PI()/4*0.2135^2))^2</f>
        <v>184.57293296584353</v>
      </c>
      <c r="E29" s="2">
        <f>1/7200/E23*(E26/(PI()/4*0.2135^2))^2</f>
        <v>128.01129312153176</v>
      </c>
      <c r="F29" s="2">
        <f>1/7200/F23*(F26/(PI()/4*0.2135^2))^2</f>
        <v>80.591658877504997</v>
      </c>
      <c r="G29" s="2">
        <f>1/7200/G23*(G26/(PI()/4*0.2135^2))^2</f>
        <v>48.712472919685318</v>
      </c>
      <c r="H29" s="2">
        <f>1/7200/H23*(H26/(PI()/4*0.2135^2))^2</f>
        <v>20.03655471109278</v>
      </c>
    </row>
    <row r="30" spans="1:9" x14ac:dyDescent="0.25">
      <c r="A30" t="s">
        <v>132</v>
      </c>
      <c r="B30" t="s">
        <v>133</v>
      </c>
      <c r="C30" t="s">
        <v>112</v>
      </c>
      <c r="D30" s="2">
        <f>1/7200/D24*(D26/(PI()/4*0.2135^2))^2</f>
        <v>198.33369660248184</v>
      </c>
      <c r="E30" s="2">
        <f>1/7200/E24*(E26/(PI()/4*0.2135^2))^2</f>
        <v>146.06425695153141</v>
      </c>
      <c r="F30" s="2">
        <f>1/7200/F24*(F26/(PI()/4*0.2135^2))^2</f>
        <v>97.115852284312865</v>
      </c>
      <c r="G30" s="2">
        <f>1/7200/G24*(G26/(PI()/4*0.2135^2))^2</f>
        <v>61.072787644329921</v>
      </c>
      <c r="H30" s="2">
        <f>1/7200/H24*(H26/(PI()/4*0.2135^2))^2</f>
        <v>26.010484668630678</v>
      </c>
    </row>
    <row r="31" spans="1:9" x14ac:dyDescent="0.25">
      <c r="A31" t="s">
        <v>134</v>
      </c>
      <c r="B31" t="s">
        <v>135</v>
      </c>
      <c r="C31" t="s">
        <v>112</v>
      </c>
      <c r="D31">
        <f>D15-(D17+0.1*D29+0.025*D29*(0.4/0.2135))+D29</f>
        <v>92223.637204089289</v>
      </c>
      <c r="E31">
        <f>E15-(E17+0.1*E29+0.025*E29*(0.4/0.2135))+E29</f>
        <v>87471.747652031627</v>
      </c>
      <c r="F31">
        <f>F15-(F17+0.1*F29+0.025*F29*(0.4/0.2135))+F29</f>
        <v>82927.09104136395</v>
      </c>
      <c r="G31">
        <f>G15-(G17+0.1*G29+0.025*G29*(0.4/0.2135))+G29</f>
        <v>79697.55961097106</v>
      </c>
      <c r="H31">
        <f>H15-(H17+0.1*H29+0.025*H29*(0.4/0.2135))+H29</f>
        <v>77219.761085592327</v>
      </c>
      <c r="I31">
        <v>98000</v>
      </c>
    </row>
    <row r="32" spans="1:9" x14ac:dyDescent="0.25">
      <c r="A32" t="s">
        <v>136</v>
      </c>
      <c r="B32" t="s">
        <v>137</v>
      </c>
      <c r="C32" t="s">
        <v>112</v>
      </c>
      <c r="D32">
        <f>D15+(D19+0.025*D30*(0.4/0.2135))+D30</f>
        <v>98155.889997770428</v>
      </c>
      <c r="E32">
        <f t="shared" ref="E32:H32" si="15">E15+(E19+0.025*E30*(0.4/0.2135))+E30</f>
        <v>97568.639007472288</v>
      </c>
      <c r="F32">
        <f t="shared" si="15"/>
        <v>97070.974604147748</v>
      </c>
      <c r="G32">
        <f t="shared" si="15"/>
        <v>96643.116673092154</v>
      </c>
      <c r="H32">
        <f t="shared" si="15"/>
        <v>96256.592107681994</v>
      </c>
      <c r="I32">
        <v>127000</v>
      </c>
    </row>
    <row r="33" spans="1:9" x14ac:dyDescent="0.25">
      <c r="A33" t="s">
        <v>97</v>
      </c>
      <c r="B33" t="s">
        <v>92</v>
      </c>
      <c r="D33" s="5">
        <f>D32/D31</f>
        <v>1.0643246457581494</v>
      </c>
      <c r="E33" s="5">
        <f t="shared" ref="E33:H33" si="16">E32/E31</f>
        <v>1.1154303146612179</v>
      </c>
      <c r="F33" s="5">
        <f t="shared" si="16"/>
        <v>1.1705580575077552</v>
      </c>
      <c r="G33" s="5">
        <f t="shared" si="16"/>
        <v>1.2126232866456352</v>
      </c>
      <c r="H33" s="5">
        <f t="shared" si="16"/>
        <v>1.2465279710071722</v>
      </c>
      <c r="I33">
        <f>I32/I31</f>
        <v>1.2959183673469388</v>
      </c>
    </row>
    <row r="34" spans="1:9" x14ac:dyDescent="0.25">
      <c r="A34" t="s">
        <v>138</v>
      </c>
      <c r="B34" t="s">
        <v>139</v>
      </c>
      <c r="D34" s="5">
        <f>LOG10((D20+273.15)/(D18+273.15))/LOG10(D33)</f>
        <v>0.80425662437012468</v>
      </c>
      <c r="E34" s="5">
        <f t="shared" ref="E34:H34" si="17">LOG10((E20+273.15)/(E18+273.15))/LOG10(E33)</f>
        <v>0.5432467423642432</v>
      </c>
      <c r="F34" s="5">
        <f t="shared" si="17"/>
        <v>0.42796616685991273</v>
      </c>
      <c r="G34" s="5">
        <f t="shared" si="17"/>
        <v>0.38518651883342436</v>
      </c>
      <c r="H34" s="5">
        <f t="shared" si="17"/>
        <v>0.38415348573347913</v>
      </c>
      <c r="I34">
        <f>LOG10(313/293)/LOG10(I6)</f>
        <v>0.25472834438158437</v>
      </c>
    </row>
    <row r="35" spans="1:9" x14ac:dyDescent="0.25">
      <c r="A35" t="s">
        <v>140</v>
      </c>
      <c r="B35" t="s">
        <v>94</v>
      </c>
      <c r="C35" t="s">
        <v>104</v>
      </c>
      <c r="D35">
        <f>287*(D18+273.15)/D34*(D33^D34-1)</f>
        <v>5482.0682019494498</v>
      </c>
      <c r="E35">
        <f t="shared" ref="E35:H35" si="18">287*(E18+273.15)/E34*(E33^E34-1)</f>
        <v>9663.4919100538918</v>
      </c>
      <c r="F35">
        <f t="shared" si="18"/>
        <v>14013.703958588385</v>
      </c>
      <c r="G35">
        <f t="shared" si="18"/>
        <v>17246.680958927511</v>
      </c>
      <c r="H35">
        <f t="shared" si="18"/>
        <v>19863.571766799989</v>
      </c>
      <c r="I35">
        <f>287*293/I34*(I6^I34-1)</f>
        <v>22533.80955282088</v>
      </c>
    </row>
    <row r="36" spans="1:9" x14ac:dyDescent="0.25">
      <c r="A36" t="s">
        <v>141</v>
      </c>
      <c r="B36" t="s">
        <v>142</v>
      </c>
      <c r="C36" t="s">
        <v>104</v>
      </c>
      <c r="D36">
        <f>D26*D35/60</f>
        <v>4074.1180138752779</v>
      </c>
      <c r="E36">
        <f t="shared" ref="E36:H36" si="19">E26*E35/60</f>
        <v>6114.1234590273725</v>
      </c>
      <c r="F36">
        <f t="shared" si="19"/>
        <v>7177.554375248621</v>
      </c>
      <c r="G36">
        <f t="shared" si="19"/>
        <v>6960.5598773788552</v>
      </c>
      <c r="H36">
        <f t="shared" si="19"/>
        <v>5189.1893757794414</v>
      </c>
      <c r="I36">
        <f>I26*I35/60</f>
        <v>10891.341283863423</v>
      </c>
    </row>
    <row r="37" spans="1:9" x14ac:dyDescent="0.25">
      <c r="A37" t="s">
        <v>143</v>
      </c>
      <c r="B37" t="s">
        <v>144</v>
      </c>
      <c r="C37" t="s">
        <v>104</v>
      </c>
      <c r="D37">
        <f>0.98*0.9*0.98*D22</f>
        <v>12258.065399999999</v>
      </c>
      <c r="E37">
        <f t="shared" ref="E37:H37" si="20">0.98*0.9*0.98*E22</f>
        <v>11933.930399999999</v>
      </c>
      <c r="F37">
        <f t="shared" si="20"/>
        <v>11282.779200000001</v>
      </c>
      <c r="G37">
        <f t="shared" si="20"/>
        <v>10326.220799999999</v>
      </c>
      <c r="H37">
        <f t="shared" si="20"/>
        <v>8182.6079999999993</v>
      </c>
      <c r="I37">
        <v>13000</v>
      </c>
    </row>
    <row r="38" spans="1:9" x14ac:dyDescent="0.25">
      <c r="A38" t="s">
        <v>145</v>
      </c>
      <c r="B38" t="s">
        <v>90</v>
      </c>
      <c r="D38" s="5">
        <f>D36/D37</f>
        <v>0.33236223506160101</v>
      </c>
      <c r="E38" s="5">
        <f t="shared" ref="E38:H38" si="21">E36/E37</f>
        <v>0.51233108071648992</v>
      </c>
      <c r="F38" s="5">
        <f t="shared" si="21"/>
        <v>0.63615127514403724</v>
      </c>
      <c r="G38" s="5">
        <f t="shared" si="21"/>
        <v>0.67406653529806915</v>
      </c>
      <c r="H38" s="5">
        <f t="shared" si="21"/>
        <v>0.63417303820242177</v>
      </c>
      <c r="I38">
        <f>I36/I37</f>
        <v>0.83779548337410947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平均</vt:lpstr>
      <vt:lpstr>处理</vt:lpstr>
      <vt:lpstr>设计工况性能换算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2018-04-28T08:07:21Z</dcterms:created>
  <dcterms:modified xsi:type="dcterms:W3CDTF">2018-05-16T10:08:50Z</dcterms:modified>
</cp:coreProperties>
</file>