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"/>
    </mc:Choice>
  </mc:AlternateContent>
  <xr:revisionPtr revIDLastSave="0" documentId="13_ncr:1_{73FF30A6-7CBF-4488-B8B1-E16EBDA4ED06}" xr6:coauthVersionLast="45" xr6:coauthVersionMax="45" xr10:uidLastSave="{00000000-0000-0000-0000-000000000000}"/>
  <bookViews>
    <workbookView xWindow="-110" yWindow="-110" windowWidth="19420" windowHeight="10420" tabRatio="892" activeTab="9" xr2:uid="{7945191A-96D8-4414-84A0-50FD7D8FF939}"/>
  </bookViews>
  <sheets>
    <sheet name="Tech Fact" sheetId="1" r:id="rId1"/>
    <sheet name="Tech Growth" sheetId="2" r:id="rId2"/>
    <sheet name="Fin" sheetId="4" r:id="rId3"/>
    <sheet name="Medi" sheetId="5" r:id="rId4"/>
    <sheet name="Resource" sheetId="7" r:id="rId5"/>
    <sheet name="Retail" sheetId="9" r:id="rId6"/>
    <sheet name="Service" sheetId="11" r:id="rId7"/>
    <sheet name="Manufacture" sheetId="13" r:id="rId8"/>
    <sheet name="Brand" sheetId="15" r:id="rId9"/>
    <sheet name="Value" sheetId="14" r:id="rId10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" i="4"/>
  <c r="S72" i="11" l="1"/>
  <c r="S73" i="11"/>
  <c r="S74" i="11"/>
  <c r="S75" i="11"/>
  <c r="S76" i="11"/>
  <c r="O72" i="11"/>
  <c r="O73" i="11"/>
  <c r="O74" i="11"/>
  <c r="O75" i="11"/>
  <c r="O76" i="11"/>
  <c r="J73" i="11"/>
  <c r="I72" i="11"/>
  <c r="K74" i="11" s="1"/>
  <c r="I73" i="11"/>
  <c r="K73" i="11" s="1"/>
  <c r="I74" i="11"/>
  <c r="J74" i="11" s="1"/>
  <c r="I75" i="11"/>
  <c r="J75" i="11" s="1"/>
  <c r="I76" i="11"/>
  <c r="K76" i="11" s="1"/>
  <c r="F72" i="11"/>
  <c r="F73" i="11"/>
  <c r="F74" i="11"/>
  <c r="F75" i="11"/>
  <c r="F76" i="11"/>
  <c r="D72" i="11"/>
  <c r="D73" i="11"/>
  <c r="D74" i="11"/>
  <c r="D75" i="11"/>
  <c r="D76" i="11"/>
  <c r="J76" i="11" l="1"/>
  <c r="J72" i="11"/>
  <c r="K75" i="11"/>
  <c r="K72" i="11"/>
  <c r="S73" i="14"/>
  <c r="R73" i="14"/>
  <c r="Q73" i="14"/>
  <c r="G73" i="14" a="1"/>
  <c r="G73" i="14" s="1"/>
  <c r="S32" i="11"/>
  <c r="S33" i="11"/>
  <c r="S34" i="11"/>
  <c r="S35" i="11"/>
  <c r="S36" i="11"/>
  <c r="O32" i="11"/>
  <c r="O33" i="11"/>
  <c r="O34" i="11"/>
  <c r="O35" i="11"/>
  <c r="O36" i="11"/>
  <c r="I32" i="11"/>
  <c r="I33" i="11"/>
  <c r="I34" i="11"/>
  <c r="J34" i="11" s="1"/>
  <c r="I35" i="11"/>
  <c r="J35" i="11" s="1"/>
  <c r="I36" i="11"/>
  <c r="K36" i="11" s="1"/>
  <c r="F32" i="11"/>
  <c r="F33" i="11"/>
  <c r="F34" i="11"/>
  <c r="F35" i="11"/>
  <c r="F36" i="11"/>
  <c r="D32" i="11"/>
  <c r="D33" i="11"/>
  <c r="D34" i="11"/>
  <c r="D35" i="11"/>
  <c r="D36" i="11"/>
  <c r="K33" i="11" l="1"/>
  <c r="K34" i="11"/>
  <c r="J33" i="11"/>
  <c r="J32" i="11"/>
  <c r="K32" i="11"/>
  <c r="J36" i="11"/>
  <c r="K35" i="11"/>
  <c r="R71" i="14"/>
  <c r="R70" i="14"/>
  <c r="S57" i="11"/>
  <c r="S58" i="11"/>
  <c r="S59" i="11"/>
  <c r="S60" i="11"/>
  <c r="S61" i="11"/>
  <c r="O58" i="11"/>
  <c r="O59" i="11"/>
  <c r="O60" i="11"/>
  <c r="O61" i="11"/>
  <c r="O57" i="11"/>
  <c r="I57" i="11"/>
  <c r="K57" i="11" s="1"/>
  <c r="I58" i="11"/>
  <c r="J58" i="11" s="1"/>
  <c r="I59" i="11"/>
  <c r="J59" i="11" s="1"/>
  <c r="I60" i="11"/>
  <c r="J60" i="11" s="1"/>
  <c r="I61" i="11"/>
  <c r="J61" i="11" s="1"/>
  <c r="F57" i="11"/>
  <c r="F58" i="11"/>
  <c r="F59" i="11"/>
  <c r="F60" i="11"/>
  <c r="F61" i="11"/>
  <c r="D57" i="11"/>
  <c r="D58" i="11"/>
  <c r="D59" i="11"/>
  <c r="D60" i="11"/>
  <c r="D61" i="11"/>
  <c r="J57" i="11" l="1"/>
  <c r="K61" i="11"/>
  <c r="K58" i="11"/>
  <c r="K59" i="11"/>
  <c r="K60" i="11"/>
  <c r="R69" i="14"/>
  <c r="S107" i="1"/>
  <c r="S108" i="1"/>
  <c r="S109" i="1"/>
  <c r="S110" i="1"/>
  <c r="S111" i="1"/>
  <c r="O107" i="1"/>
  <c r="O108" i="1"/>
  <c r="O109" i="1"/>
  <c r="O110" i="1"/>
  <c r="O111" i="1"/>
  <c r="K111" i="1"/>
  <c r="K110" i="1"/>
  <c r="K109" i="1"/>
  <c r="K108" i="1"/>
  <c r="K107" i="1"/>
  <c r="J107" i="1"/>
  <c r="J108" i="1"/>
  <c r="J109" i="1"/>
  <c r="J110" i="1"/>
  <c r="J111" i="1"/>
  <c r="I107" i="1"/>
  <c r="I108" i="1"/>
  <c r="I109" i="1"/>
  <c r="I110" i="1"/>
  <c r="I111" i="1"/>
  <c r="F107" i="1"/>
  <c r="F108" i="1"/>
  <c r="F109" i="1"/>
  <c r="F110" i="1"/>
  <c r="F111" i="1"/>
  <c r="D107" i="1"/>
  <c r="D108" i="1"/>
  <c r="D109" i="1"/>
  <c r="D110" i="1"/>
  <c r="D111" i="1"/>
  <c r="R68" i="14"/>
  <c r="S102" i="1"/>
  <c r="S103" i="1"/>
  <c r="S104" i="1"/>
  <c r="S105" i="1"/>
  <c r="S106" i="1"/>
  <c r="O102" i="1"/>
  <c r="O103" i="1"/>
  <c r="O104" i="1"/>
  <c r="O105" i="1"/>
  <c r="O106" i="1"/>
  <c r="J106" i="1"/>
  <c r="I102" i="1"/>
  <c r="K102" i="1" s="1"/>
  <c r="I103" i="1"/>
  <c r="J103" i="1" s="1"/>
  <c r="I104" i="1"/>
  <c r="J104" i="1" s="1"/>
  <c r="I105" i="1"/>
  <c r="J105" i="1" s="1"/>
  <c r="I106" i="1"/>
  <c r="K106" i="1" s="1"/>
  <c r="F102" i="1"/>
  <c r="F103" i="1"/>
  <c r="F104" i="1"/>
  <c r="F105" i="1"/>
  <c r="F106" i="1"/>
  <c r="D102" i="1"/>
  <c r="D103" i="1"/>
  <c r="D104" i="1"/>
  <c r="D105" i="1"/>
  <c r="D106" i="1"/>
  <c r="K103" i="1" l="1"/>
  <c r="K105" i="1"/>
  <c r="K104" i="1"/>
  <c r="J102" i="1"/>
  <c r="R67" i="14"/>
  <c r="S97" i="1"/>
  <c r="S98" i="1"/>
  <c r="S99" i="1"/>
  <c r="S100" i="1"/>
  <c r="S101" i="1"/>
  <c r="O97" i="1"/>
  <c r="O98" i="1"/>
  <c r="O99" i="1"/>
  <c r="O100" i="1"/>
  <c r="O101" i="1"/>
  <c r="J99" i="1"/>
  <c r="J100" i="1"/>
  <c r="J101" i="1"/>
  <c r="I97" i="1"/>
  <c r="K97" i="1" s="1"/>
  <c r="I98" i="1"/>
  <c r="K98" i="1" s="1"/>
  <c r="I99" i="1"/>
  <c r="I100" i="1"/>
  <c r="I101" i="1"/>
  <c r="F97" i="1"/>
  <c r="F98" i="1"/>
  <c r="F99" i="1"/>
  <c r="F100" i="1"/>
  <c r="F101" i="1"/>
  <c r="D97" i="1"/>
  <c r="D98" i="1"/>
  <c r="D99" i="1"/>
  <c r="D100" i="1"/>
  <c r="D101" i="1"/>
  <c r="K100" i="1" l="1"/>
  <c r="K101" i="1"/>
  <c r="J98" i="1"/>
  <c r="J97" i="1"/>
  <c r="K99" i="1"/>
  <c r="R66" i="14"/>
  <c r="S67" i="11"/>
  <c r="S68" i="11"/>
  <c r="S69" i="11"/>
  <c r="S70" i="11"/>
  <c r="S71" i="11"/>
  <c r="O67" i="11"/>
  <c r="O68" i="11"/>
  <c r="O69" i="11"/>
  <c r="O70" i="11"/>
  <c r="O71" i="11"/>
  <c r="I67" i="11"/>
  <c r="I68" i="11"/>
  <c r="J68" i="11" s="1"/>
  <c r="I69" i="11"/>
  <c r="J69" i="11" s="1"/>
  <c r="I70" i="11"/>
  <c r="J70" i="11" s="1"/>
  <c r="I71" i="11"/>
  <c r="J71" i="11" s="1"/>
  <c r="F67" i="11"/>
  <c r="F68" i="11"/>
  <c r="F69" i="11"/>
  <c r="F70" i="11"/>
  <c r="F71" i="11"/>
  <c r="D67" i="11"/>
  <c r="D68" i="11"/>
  <c r="D69" i="11"/>
  <c r="D70" i="11"/>
  <c r="D71" i="11"/>
  <c r="R65" i="14"/>
  <c r="S62" i="11"/>
  <c r="S63" i="11"/>
  <c r="S64" i="11"/>
  <c r="S65" i="11"/>
  <c r="S66" i="11"/>
  <c r="O62" i="11"/>
  <c r="O63" i="11"/>
  <c r="O64" i="11"/>
  <c r="O65" i="11"/>
  <c r="O66" i="11"/>
  <c r="I62" i="11"/>
  <c r="J62" i="11" s="1"/>
  <c r="I63" i="11"/>
  <c r="J63" i="11" s="1"/>
  <c r="I64" i="11"/>
  <c r="J64" i="11" s="1"/>
  <c r="I65" i="11"/>
  <c r="J65" i="11" s="1"/>
  <c r="I66" i="11"/>
  <c r="J66" i="11" s="1"/>
  <c r="F62" i="11"/>
  <c r="F63" i="11"/>
  <c r="F64" i="11"/>
  <c r="F65" i="11"/>
  <c r="F66" i="11"/>
  <c r="D62" i="11"/>
  <c r="D63" i="11"/>
  <c r="D64" i="11"/>
  <c r="D65" i="11"/>
  <c r="D66" i="11"/>
  <c r="K68" i="11" l="1"/>
  <c r="J67" i="11"/>
  <c r="K67" i="11"/>
  <c r="K71" i="11"/>
  <c r="K62" i="11"/>
  <c r="K63" i="11"/>
  <c r="K69" i="11"/>
  <c r="K64" i="11"/>
  <c r="K70" i="11"/>
  <c r="K65" i="11"/>
  <c r="K66" i="11"/>
  <c r="R64" i="14"/>
  <c r="S92" i="1"/>
  <c r="S93" i="1"/>
  <c r="S94" i="1"/>
  <c r="S95" i="1"/>
  <c r="S96" i="1"/>
  <c r="O92" i="1"/>
  <c r="O93" i="1"/>
  <c r="O94" i="1"/>
  <c r="O95" i="1"/>
  <c r="O96" i="1"/>
  <c r="J94" i="1"/>
  <c r="I92" i="1"/>
  <c r="I93" i="1"/>
  <c r="K93" i="1" s="1"/>
  <c r="I94" i="1"/>
  <c r="I95" i="1"/>
  <c r="J95" i="1" s="1"/>
  <c r="I96" i="1"/>
  <c r="J96" i="1" s="1"/>
  <c r="F92" i="1"/>
  <c r="F93" i="1"/>
  <c r="F94" i="1"/>
  <c r="F95" i="1"/>
  <c r="F96" i="1"/>
  <c r="D92" i="1"/>
  <c r="D93" i="1"/>
  <c r="D94" i="1"/>
  <c r="D95" i="1"/>
  <c r="D96" i="1"/>
  <c r="J93" i="1" l="1"/>
  <c r="K96" i="1"/>
  <c r="K94" i="1"/>
  <c r="K95" i="1"/>
  <c r="J92" i="1"/>
  <c r="K92" i="1"/>
  <c r="S87" i="1"/>
  <c r="S88" i="1"/>
  <c r="S89" i="1"/>
  <c r="S90" i="1"/>
  <c r="S91" i="1"/>
  <c r="O87" i="1"/>
  <c r="O88" i="1"/>
  <c r="O89" i="1"/>
  <c r="O90" i="1"/>
  <c r="O91" i="1"/>
  <c r="J88" i="1"/>
  <c r="J89" i="1"/>
  <c r="J90" i="1"/>
  <c r="J91" i="1"/>
  <c r="I87" i="1"/>
  <c r="K91" i="1" s="1"/>
  <c r="I88" i="1"/>
  <c r="I89" i="1"/>
  <c r="I90" i="1"/>
  <c r="K90" i="1" s="1"/>
  <c r="I91" i="1"/>
  <c r="F87" i="1"/>
  <c r="F88" i="1"/>
  <c r="F89" i="1"/>
  <c r="F90" i="1"/>
  <c r="F91" i="1"/>
  <c r="D91" i="1"/>
  <c r="D87" i="1"/>
  <c r="D88" i="1"/>
  <c r="D89" i="1"/>
  <c r="D90" i="1"/>
  <c r="J87" i="1" l="1"/>
  <c r="K89" i="1"/>
  <c r="K87" i="1"/>
  <c r="K88" i="1"/>
  <c r="S52" i="11"/>
  <c r="S53" i="11"/>
  <c r="S54" i="11"/>
  <c r="S55" i="11"/>
  <c r="S56" i="11"/>
  <c r="O52" i="11"/>
  <c r="O53" i="11"/>
  <c r="O54" i="11"/>
  <c r="O55" i="11"/>
  <c r="O56" i="11"/>
  <c r="I52" i="11"/>
  <c r="K52" i="11" s="1"/>
  <c r="I53" i="11"/>
  <c r="I54" i="11"/>
  <c r="J54" i="11" s="1"/>
  <c r="I55" i="11"/>
  <c r="J55" i="11" s="1"/>
  <c r="I56" i="11"/>
  <c r="F52" i="11"/>
  <c r="F53" i="11"/>
  <c r="F54" i="11"/>
  <c r="F55" i="11"/>
  <c r="F56" i="11"/>
  <c r="D53" i="11"/>
  <c r="D54" i="11"/>
  <c r="D55" i="11"/>
  <c r="D56" i="11"/>
  <c r="D52" i="11"/>
  <c r="J52" i="11" l="1"/>
  <c r="K56" i="11"/>
  <c r="K53" i="11"/>
  <c r="J53" i="11"/>
  <c r="J56" i="11"/>
  <c r="K55" i="11"/>
  <c r="K54" i="11"/>
  <c r="R63" i="14"/>
  <c r="R52" i="14" l="1"/>
  <c r="S47" i="7"/>
  <c r="S48" i="7"/>
  <c r="S49" i="7"/>
  <c r="S50" i="7"/>
  <c r="S51" i="7"/>
  <c r="O47" i="7"/>
  <c r="O48" i="7"/>
  <c r="O49" i="7"/>
  <c r="O50" i="7"/>
  <c r="O51" i="7"/>
  <c r="K51" i="7"/>
  <c r="K50" i="7"/>
  <c r="K49" i="7"/>
  <c r="K48" i="7"/>
  <c r="K47" i="7"/>
  <c r="J47" i="7"/>
  <c r="J48" i="7"/>
  <c r="J49" i="7"/>
  <c r="J50" i="7"/>
  <c r="J51" i="7"/>
  <c r="I47" i="7"/>
  <c r="I48" i="7"/>
  <c r="I49" i="7"/>
  <c r="I50" i="7"/>
  <c r="I51" i="7"/>
  <c r="F47" i="7"/>
  <c r="F48" i="7"/>
  <c r="F49" i="7"/>
  <c r="F50" i="7"/>
  <c r="F51" i="7"/>
  <c r="D47" i="7"/>
  <c r="D48" i="7"/>
  <c r="D49" i="7"/>
  <c r="D50" i="7"/>
  <c r="D51" i="7"/>
  <c r="S42" i="7"/>
  <c r="S43" i="7"/>
  <c r="S44" i="7"/>
  <c r="S45" i="7"/>
  <c r="S46" i="7"/>
  <c r="O42" i="7"/>
  <c r="O43" i="7"/>
  <c r="O44" i="7"/>
  <c r="O45" i="7"/>
  <c r="O46" i="7"/>
  <c r="K46" i="7"/>
  <c r="K45" i="7"/>
  <c r="K44" i="7"/>
  <c r="K43" i="7"/>
  <c r="K42" i="7"/>
  <c r="J42" i="7"/>
  <c r="J43" i="7"/>
  <c r="J44" i="7"/>
  <c r="J45" i="7"/>
  <c r="J46" i="7"/>
  <c r="I42" i="7"/>
  <c r="I43" i="7"/>
  <c r="I44" i="7"/>
  <c r="I45" i="7"/>
  <c r="I46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2" i="7"/>
  <c r="D42" i="7"/>
  <c r="D43" i="7"/>
  <c r="D44" i="7"/>
  <c r="D45" i="7"/>
  <c r="D46" i="7"/>
  <c r="R61" i="14" l="1"/>
  <c r="S82" i="1"/>
  <c r="S83" i="1"/>
  <c r="S84" i="1"/>
  <c r="S85" i="1"/>
  <c r="S86" i="1"/>
  <c r="O82" i="1"/>
  <c r="O83" i="1"/>
  <c r="O84" i="1"/>
  <c r="O85" i="1"/>
  <c r="O86" i="1"/>
  <c r="J86" i="1"/>
  <c r="I82" i="1"/>
  <c r="J82" i="1" s="1"/>
  <c r="I83" i="1"/>
  <c r="J83" i="1" s="1"/>
  <c r="I84" i="1"/>
  <c r="J84" i="1" s="1"/>
  <c r="I85" i="1"/>
  <c r="J85" i="1" s="1"/>
  <c r="I86" i="1"/>
  <c r="F82" i="1"/>
  <c r="F83" i="1"/>
  <c r="F84" i="1"/>
  <c r="F85" i="1"/>
  <c r="F86" i="1"/>
  <c r="D82" i="1"/>
  <c r="D83" i="1"/>
  <c r="D84" i="1"/>
  <c r="D85" i="1"/>
  <c r="D86" i="1"/>
  <c r="R60" i="14"/>
  <c r="S77" i="1"/>
  <c r="S78" i="1"/>
  <c r="S79" i="1"/>
  <c r="S80" i="1"/>
  <c r="S81" i="1"/>
  <c r="O77" i="1"/>
  <c r="O78" i="1"/>
  <c r="O79" i="1"/>
  <c r="O80" i="1"/>
  <c r="O81" i="1"/>
  <c r="K81" i="1"/>
  <c r="K77" i="1"/>
  <c r="I77" i="1"/>
  <c r="J77" i="1" s="1"/>
  <c r="I78" i="1"/>
  <c r="K78" i="1" s="1"/>
  <c r="I79" i="1"/>
  <c r="K79" i="1" s="1"/>
  <c r="I80" i="1"/>
  <c r="K80" i="1" s="1"/>
  <c r="I81" i="1"/>
  <c r="J81" i="1" s="1"/>
  <c r="F77" i="1"/>
  <c r="F78" i="1"/>
  <c r="F79" i="1"/>
  <c r="F80" i="1"/>
  <c r="F81" i="1"/>
  <c r="D77" i="1"/>
  <c r="D78" i="1"/>
  <c r="D79" i="1"/>
  <c r="D80" i="1"/>
  <c r="D81" i="1"/>
  <c r="R59" i="14"/>
  <c r="S12" i="11"/>
  <c r="S13" i="11"/>
  <c r="S14" i="11"/>
  <c r="S15" i="11"/>
  <c r="S16" i="11"/>
  <c r="O12" i="11"/>
  <c r="O13" i="11"/>
  <c r="O14" i="11"/>
  <c r="O15" i="11"/>
  <c r="O16" i="11"/>
  <c r="I12" i="11"/>
  <c r="J12" i="11" s="1"/>
  <c r="I13" i="11"/>
  <c r="J13" i="11" s="1"/>
  <c r="I14" i="11"/>
  <c r="J14" i="11" s="1"/>
  <c r="I15" i="11"/>
  <c r="J15" i="11" s="1"/>
  <c r="I16" i="11"/>
  <c r="J16" i="11" s="1"/>
  <c r="F12" i="11"/>
  <c r="F13" i="11"/>
  <c r="F14" i="11"/>
  <c r="F15" i="11"/>
  <c r="F16" i="11"/>
  <c r="D12" i="11"/>
  <c r="D13" i="11"/>
  <c r="D14" i="11"/>
  <c r="D15" i="11"/>
  <c r="D16" i="11"/>
  <c r="J80" i="1" l="1"/>
  <c r="J78" i="1"/>
  <c r="K82" i="1"/>
  <c r="J79" i="1"/>
  <c r="K86" i="1"/>
  <c r="K83" i="1"/>
  <c r="K84" i="1"/>
  <c r="K85" i="1"/>
  <c r="K12" i="11"/>
  <c r="K13" i="11"/>
  <c r="K14" i="11"/>
  <c r="K15" i="11"/>
  <c r="K16" i="11"/>
  <c r="R58" i="14"/>
  <c r="S72" i="1"/>
  <c r="S73" i="1"/>
  <c r="S74" i="1"/>
  <c r="S75" i="1"/>
  <c r="S76" i="1"/>
  <c r="O72" i="1"/>
  <c r="O73" i="1"/>
  <c r="O74" i="1"/>
  <c r="O75" i="1"/>
  <c r="O76" i="1"/>
  <c r="J74" i="1"/>
  <c r="I72" i="1"/>
  <c r="K72" i="1" s="1"/>
  <c r="I73" i="1"/>
  <c r="J73" i="1" s="1"/>
  <c r="I74" i="1"/>
  <c r="I75" i="1"/>
  <c r="J75" i="1" s="1"/>
  <c r="I76" i="1"/>
  <c r="J76" i="1" s="1"/>
  <c r="F72" i="1"/>
  <c r="F73" i="1"/>
  <c r="F74" i="1"/>
  <c r="F75" i="1"/>
  <c r="F76" i="1"/>
  <c r="D72" i="1"/>
  <c r="D73" i="1"/>
  <c r="D74" i="1"/>
  <c r="D75" i="1"/>
  <c r="D76" i="1"/>
  <c r="S42" i="9"/>
  <c r="S43" i="9"/>
  <c r="S44" i="9"/>
  <c r="S45" i="9"/>
  <c r="S46" i="9"/>
  <c r="O42" i="9"/>
  <c r="O43" i="9"/>
  <c r="O44" i="9"/>
  <c r="O45" i="9"/>
  <c r="O46" i="9"/>
  <c r="K46" i="9"/>
  <c r="K45" i="9"/>
  <c r="K44" i="9"/>
  <c r="K43" i="9"/>
  <c r="K42" i="9"/>
  <c r="J42" i="9"/>
  <c r="J43" i="9"/>
  <c r="J44" i="9"/>
  <c r="J45" i="9"/>
  <c r="J46" i="9"/>
  <c r="I42" i="9"/>
  <c r="I43" i="9"/>
  <c r="I44" i="9"/>
  <c r="I45" i="9"/>
  <c r="I46" i="9"/>
  <c r="F42" i="9"/>
  <c r="F43" i="9"/>
  <c r="F44" i="9"/>
  <c r="F45" i="9"/>
  <c r="F46" i="9"/>
  <c r="D42" i="9"/>
  <c r="D43" i="9"/>
  <c r="D44" i="9"/>
  <c r="D45" i="9"/>
  <c r="D46" i="9"/>
  <c r="K74" i="1" l="1"/>
  <c r="K73" i="1"/>
  <c r="K75" i="1"/>
  <c r="K76" i="1"/>
  <c r="J72" i="1"/>
  <c r="S37" i="9"/>
  <c r="S38" i="9"/>
  <c r="S39" i="9"/>
  <c r="S40" i="9"/>
  <c r="S41" i="9"/>
  <c r="O37" i="9"/>
  <c r="O38" i="9"/>
  <c r="O39" i="9"/>
  <c r="O40" i="9"/>
  <c r="O41" i="9"/>
  <c r="I37" i="9"/>
  <c r="K37" i="9" s="1"/>
  <c r="I38" i="9"/>
  <c r="I39" i="9"/>
  <c r="J39" i="9" s="1"/>
  <c r="I40" i="9"/>
  <c r="J40" i="9" s="1"/>
  <c r="I41" i="9"/>
  <c r="F37" i="9"/>
  <c r="F38" i="9"/>
  <c r="F39" i="9"/>
  <c r="F40" i="9"/>
  <c r="F41" i="9"/>
  <c r="D37" i="9"/>
  <c r="D38" i="9"/>
  <c r="D39" i="9"/>
  <c r="D40" i="9"/>
  <c r="D41" i="9"/>
  <c r="S32" i="9"/>
  <c r="S33" i="9"/>
  <c r="S34" i="9"/>
  <c r="S35" i="9"/>
  <c r="S36" i="9"/>
  <c r="O32" i="9"/>
  <c r="O33" i="9"/>
  <c r="O34" i="9"/>
  <c r="O35" i="9"/>
  <c r="O36" i="9"/>
  <c r="I32" i="9"/>
  <c r="K32" i="9" s="1"/>
  <c r="I33" i="9"/>
  <c r="J33" i="9" s="1"/>
  <c r="I34" i="9"/>
  <c r="I35" i="9"/>
  <c r="J35" i="9" s="1"/>
  <c r="I36" i="9"/>
  <c r="K36" i="9" s="1"/>
  <c r="F32" i="9"/>
  <c r="F33" i="9"/>
  <c r="F34" i="9"/>
  <c r="F35" i="9"/>
  <c r="F36" i="9"/>
  <c r="D32" i="9"/>
  <c r="D33" i="9"/>
  <c r="D34" i="9"/>
  <c r="D35" i="9"/>
  <c r="D36" i="9"/>
  <c r="R57" i="14"/>
  <c r="S37" i="1"/>
  <c r="S38" i="1"/>
  <c r="S39" i="1"/>
  <c r="S40" i="1"/>
  <c r="S41" i="1"/>
  <c r="O37" i="1"/>
  <c r="O38" i="1"/>
  <c r="O39" i="1"/>
  <c r="O40" i="1"/>
  <c r="O41" i="1"/>
  <c r="I38" i="1"/>
  <c r="J38" i="1" s="1"/>
  <c r="I39" i="1"/>
  <c r="I40" i="1"/>
  <c r="J40" i="1" s="1"/>
  <c r="I41" i="1"/>
  <c r="K41" i="1" s="1"/>
  <c r="I3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2" i="1"/>
  <c r="D37" i="1"/>
  <c r="D38" i="1"/>
  <c r="D39" i="1"/>
  <c r="D40" i="1"/>
  <c r="D41" i="1"/>
  <c r="S27" i="9"/>
  <c r="S28" i="9"/>
  <c r="S29" i="9"/>
  <c r="S30" i="9"/>
  <c r="S31" i="9"/>
  <c r="O27" i="9"/>
  <c r="O28" i="9"/>
  <c r="O29" i="9"/>
  <c r="O30" i="9"/>
  <c r="O31" i="9"/>
  <c r="I27" i="9"/>
  <c r="K27" i="9" s="1"/>
  <c r="I28" i="9"/>
  <c r="J28" i="9" s="1"/>
  <c r="I29" i="9"/>
  <c r="J29" i="9" s="1"/>
  <c r="I30" i="9"/>
  <c r="J30" i="9" s="1"/>
  <c r="I31" i="9"/>
  <c r="J31" i="9" s="1"/>
  <c r="F27" i="9"/>
  <c r="F28" i="9"/>
  <c r="F29" i="9"/>
  <c r="F30" i="9"/>
  <c r="F31" i="9"/>
  <c r="D27" i="9"/>
  <c r="D28" i="9"/>
  <c r="D29" i="9"/>
  <c r="D30" i="9"/>
  <c r="D31" i="9"/>
  <c r="K39" i="1" l="1"/>
  <c r="J39" i="1"/>
  <c r="K38" i="1"/>
  <c r="J37" i="1"/>
  <c r="K37" i="1"/>
  <c r="J41" i="1"/>
  <c r="K40" i="1"/>
  <c r="K34" i="9"/>
  <c r="K38" i="9"/>
  <c r="J27" i="9"/>
  <c r="K41" i="9"/>
  <c r="K35" i="9"/>
  <c r="J34" i="9"/>
  <c r="K39" i="9"/>
  <c r="K33" i="9"/>
  <c r="K31" i="9"/>
  <c r="J41" i="9"/>
  <c r="K40" i="9"/>
  <c r="J32" i="9"/>
  <c r="J38" i="9"/>
  <c r="J37" i="9"/>
  <c r="J36" i="9"/>
  <c r="K28" i="9"/>
  <c r="K30" i="9"/>
  <c r="K29" i="9"/>
  <c r="S37" i="13"/>
  <c r="S38" i="13"/>
  <c r="S39" i="13"/>
  <c r="S40" i="13"/>
  <c r="S41" i="13"/>
  <c r="O37" i="13"/>
  <c r="O38" i="13"/>
  <c r="O39" i="13"/>
  <c r="O40" i="13"/>
  <c r="O41" i="13"/>
  <c r="J41" i="13"/>
  <c r="I37" i="13"/>
  <c r="K37" i="13" s="1"/>
  <c r="I38" i="13"/>
  <c r="K38" i="13" s="1"/>
  <c r="I39" i="13"/>
  <c r="K39" i="13" s="1"/>
  <c r="I40" i="13"/>
  <c r="K40" i="13" s="1"/>
  <c r="I41" i="13"/>
  <c r="K41" i="13" s="1"/>
  <c r="F37" i="13"/>
  <c r="F38" i="13"/>
  <c r="F39" i="13"/>
  <c r="F40" i="13"/>
  <c r="F41" i="13"/>
  <c r="D37" i="13"/>
  <c r="D38" i="13"/>
  <c r="D39" i="13"/>
  <c r="D40" i="13"/>
  <c r="D41" i="13"/>
  <c r="S32" i="13"/>
  <c r="S33" i="13"/>
  <c r="S34" i="13"/>
  <c r="S35" i="13"/>
  <c r="S36" i="13"/>
  <c r="O32" i="13"/>
  <c r="O33" i="13"/>
  <c r="O34" i="13"/>
  <c r="O35" i="13"/>
  <c r="O36" i="13"/>
  <c r="J32" i="13"/>
  <c r="J33" i="13"/>
  <c r="J34" i="13"/>
  <c r="I32" i="13"/>
  <c r="K32" i="13" s="1"/>
  <c r="I33" i="13"/>
  <c r="K33" i="13" s="1"/>
  <c r="I34" i="13"/>
  <c r="K34" i="13" s="1"/>
  <c r="I35" i="13"/>
  <c r="K35" i="13" s="1"/>
  <c r="I36" i="13"/>
  <c r="K36" i="13" s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44" i="13"/>
  <c r="F45" i="13"/>
  <c r="F46" i="13"/>
  <c r="F47" i="13"/>
  <c r="F48" i="13"/>
  <c r="F32" i="13"/>
  <c r="F33" i="13"/>
  <c r="F34" i="13"/>
  <c r="F35" i="13"/>
  <c r="F36" i="13"/>
  <c r="F2" i="13"/>
  <c r="D32" i="13"/>
  <c r="D33" i="13"/>
  <c r="D34" i="13"/>
  <c r="D35" i="13"/>
  <c r="D36" i="13"/>
  <c r="R56" i="14"/>
  <c r="R55" i="14"/>
  <c r="S12" i="15"/>
  <c r="S13" i="15"/>
  <c r="S14" i="15"/>
  <c r="S15" i="15"/>
  <c r="S16" i="15"/>
  <c r="O12" i="15"/>
  <c r="O13" i="15"/>
  <c r="O14" i="15"/>
  <c r="O15" i="15"/>
  <c r="O16" i="15"/>
  <c r="K16" i="15"/>
  <c r="K15" i="15"/>
  <c r="K14" i="15"/>
  <c r="K13" i="15"/>
  <c r="K12" i="15"/>
  <c r="J12" i="15"/>
  <c r="J13" i="15"/>
  <c r="J14" i="15"/>
  <c r="J15" i="15"/>
  <c r="J16" i="15"/>
  <c r="I12" i="15"/>
  <c r="I13" i="15"/>
  <c r="I14" i="15"/>
  <c r="I15" i="15"/>
  <c r="I16" i="15"/>
  <c r="F12" i="15"/>
  <c r="F13" i="15"/>
  <c r="F14" i="15"/>
  <c r="F15" i="15"/>
  <c r="F16" i="15"/>
  <c r="D12" i="15"/>
  <c r="D13" i="15"/>
  <c r="D14" i="15"/>
  <c r="D15" i="15"/>
  <c r="D16" i="15"/>
  <c r="S7" i="15"/>
  <c r="S8" i="15"/>
  <c r="S9" i="15"/>
  <c r="S10" i="15"/>
  <c r="S11" i="15"/>
  <c r="O7" i="15"/>
  <c r="O8" i="15"/>
  <c r="O9" i="15"/>
  <c r="O10" i="15"/>
  <c r="O11" i="15"/>
  <c r="K11" i="15"/>
  <c r="K10" i="15"/>
  <c r="K9" i="15"/>
  <c r="K8" i="15"/>
  <c r="K7" i="15"/>
  <c r="J3" i="15"/>
  <c r="J4" i="15"/>
  <c r="J5" i="15"/>
  <c r="J6" i="15"/>
  <c r="J7" i="15"/>
  <c r="J8" i="15"/>
  <c r="J9" i="15"/>
  <c r="J10" i="15"/>
  <c r="J11" i="15"/>
  <c r="J2" i="15"/>
  <c r="I7" i="15"/>
  <c r="I8" i="15"/>
  <c r="I9" i="15"/>
  <c r="I10" i="15"/>
  <c r="I11" i="15"/>
  <c r="F3" i="15"/>
  <c r="F4" i="15"/>
  <c r="F5" i="15"/>
  <c r="F6" i="15"/>
  <c r="F7" i="15"/>
  <c r="F8" i="15"/>
  <c r="F9" i="15"/>
  <c r="F10" i="15"/>
  <c r="F11" i="15"/>
  <c r="F2" i="15"/>
  <c r="D7" i="15"/>
  <c r="D8" i="15"/>
  <c r="D9" i="15"/>
  <c r="D10" i="15"/>
  <c r="D11" i="15"/>
  <c r="S3" i="15"/>
  <c r="S4" i="15"/>
  <c r="S5" i="15"/>
  <c r="S6" i="15"/>
  <c r="S2" i="15"/>
  <c r="O3" i="15"/>
  <c r="O4" i="15"/>
  <c r="O5" i="15"/>
  <c r="O6" i="15"/>
  <c r="O2" i="15"/>
  <c r="K6" i="15"/>
  <c r="K2" i="15"/>
  <c r="I2" i="15"/>
  <c r="I3" i="15"/>
  <c r="K3" i="15" s="1"/>
  <c r="I4" i="15"/>
  <c r="K4" i="15" s="1"/>
  <c r="I5" i="15"/>
  <c r="K5" i="15" s="1"/>
  <c r="I6" i="15"/>
  <c r="D2" i="15"/>
  <c r="D3" i="15"/>
  <c r="D4" i="15"/>
  <c r="D5" i="15"/>
  <c r="D6" i="15"/>
  <c r="S22" i="9"/>
  <c r="S23" i="9"/>
  <c r="S24" i="9"/>
  <c r="S25" i="9"/>
  <c r="S26" i="9"/>
  <c r="O22" i="9"/>
  <c r="O23" i="9"/>
  <c r="O24" i="9"/>
  <c r="O25" i="9"/>
  <c r="O26" i="9"/>
  <c r="I22" i="9"/>
  <c r="K22" i="9" s="1"/>
  <c r="I23" i="9"/>
  <c r="I24" i="9"/>
  <c r="J24" i="9" s="1"/>
  <c r="I25" i="9"/>
  <c r="J25" i="9" s="1"/>
  <c r="I26" i="9"/>
  <c r="J26" i="9" s="1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" i="9"/>
  <c r="D22" i="9"/>
  <c r="D23" i="9"/>
  <c r="D24" i="9"/>
  <c r="D25" i="9"/>
  <c r="D26" i="9"/>
  <c r="S47" i="11"/>
  <c r="S48" i="11"/>
  <c r="S49" i="11"/>
  <c r="S50" i="11"/>
  <c r="S51" i="11"/>
  <c r="O47" i="11"/>
  <c r="O48" i="11"/>
  <c r="O49" i="11"/>
  <c r="O50" i="11"/>
  <c r="O51" i="11"/>
  <c r="I47" i="11"/>
  <c r="J47" i="11" s="1"/>
  <c r="I48" i="11"/>
  <c r="J48" i="11" s="1"/>
  <c r="I49" i="11"/>
  <c r="J49" i="11" s="1"/>
  <c r="I50" i="11"/>
  <c r="J50" i="11" s="1"/>
  <c r="I51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37" i="11"/>
  <c r="F8" i="11"/>
  <c r="F9" i="11"/>
  <c r="F10" i="11"/>
  <c r="F11" i="11"/>
  <c r="F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17" i="11"/>
  <c r="F3" i="11"/>
  <c r="F4" i="11"/>
  <c r="F5" i="11"/>
  <c r="F6" i="11"/>
  <c r="F2" i="11"/>
  <c r="D47" i="11"/>
  <c r="D48" i="11"/>
  <c r="D49" i="11"/>
  <c r="D50" i="11"/>
  <c r="D51" i="11"/>
  <c r="K51" i="11" l="1"/>
  <c r="J40" i="13"/>
  <c r="J35" i="13"/>
  <c r="J39" i="13"/>
  <c r="J38" i="13"/>
  <c r="J37" i="13"/>
  <c r="J36" i="13"/>
  <c r="K47" i="11"/>
  <c r="K25" i="9"/>
  <c r="K23" i="9"/>
  <c r="K24" i="9"/>
  <c r="K26" i="9"/>
  <c r="J23" i="9"/>
  <c r="J22" i="9"/>
  <c r="K48" i="11"/>
  <c r="K49" i="11"/>
  <c r="J51" i="11"/>
  <c r="K50" i="11"/>
  <c r="D17" i="7"/>
  <c r="I17" i="7"/>
  <c r="J17" i="7" s="1"/>
  <c r="O17" i="7"/>
  <c r="S17" i="7"/>
  <c r="D18" i="7"/>
  <c r="I18" i="7"/>
  <c r="J18" i="7" s="1"/>
  <c r="O18" i="7"/>
  <c r="S18" i="7"/>
  <c r="D19" i="7"/>
  <c r="I19" i="7"/>
  <c r="J19" i="7" s="1"/>
  <c r="K19" i="7"/>
  <c r="O19" i="7"/>
  <c r="S19" i="7"/>
  <c r="D20" i="7"/>
  <c r="I20" i="7"/>
  <c r="J20" i="7" s="1"/>
  <c r="O20" i="7"/>
  <c r="S20" i="7"/>
  <c r="D21" i="7"/>
  <c r="I21" i="7"/>
  <c r="J21" i="7" s="1"/>
  <c r="O21" i="7"/>
  <c r="S21" i="7"/>
  <c r="D22" i="7"/>
  <c r="I22" i="7"/>
  <c r="J22" i="7" s="1"/>
  <c r="O22" i="7"/>
  <c r="S22" i="7"/>
  <c r="D23" i="7"/>
  <c r="I23" i="7"/>
  <c r="J23" i="7" s="1"/>
  <c r="K23" i="7"/>
  <c r="O23" i="7"/>
  <c r="S23" i="7"/>
  <c r="D24" i="7"/>
  <c r="I24" i="7"/>
  <c r="J24" i="7"/>
  <c r="O24" i="7"/>
  <c r="S24" i="7"/>
  <c r="D25" i="7"/>
  <c r="I25" i="7"/>
  <c r="J25" i="7" s="1"/>
  <c r="O25" i="7"/>
  <c r="S25" i="7"/>
  <c r="D26" i="7"/>
  <c r="I26" i="7"/>
  <c r="J26" i="7" s="1"/>
  <c r="O26" i="7"/>
  <c r="S26" i="7"/>
  <c r="D27" i="7"/>
  <c r="I27" i="7"/>
  <c r="J27" i="7"/>
  <c r="K27" i="7"/>
  <c r="O27" i="7"/>
  <c r="S27" i="7"/>
  <c r="D28" i="7"/>
  <c r="I28" i="7"/>
  <c r="J28" i="7"/>
  <c r="K28" i="7"/>
  <c r="O28" i="7"/>
  <c r="S28" i="7"/>
  <c r="D29" i="7"/>
  <c r="I29" i="7"/>
  <c r="J29" i="7" s="1"/>
  <c r="O29" i="7"/>
  <c r="S29" i="7"/>
  <c r="D30" i="7"/>
  <c r="I30" i="7"/>
  <c r="J30" i="7" s="1"/>
  <c r="O30" i="7"/>
  <c r="S30" i="7"/>
  <c r="D31" i="7"/>
  <c r="I31" i="7"/>
  <c r="J31" i="7" s="1"/>
  <c r="O31" i="7"/>
  <c r="S31" i="7"/>
  <c r="D32" i="7"/>
  <c r="I32" i="7"/>
  <c r="J32" i="7"/>
  <c r="K32" i="7"/>
  <c r="O32" i="7"/>
  <c r="S32" i="7"/>
  <c r="D33" i="7"/>
  <c r="I33" i="7"/>
  <c r="J33" i="7" s="1"/>
  <c r="O33" i="7"/>
  <c r="S33" i="7"/>
  <c r="D34" i="7"/>
  <c r="I34" i="7"/>
  <c r="J34" i="7" s="1"/>
  <c r="O34" i="7"/>
  <c r="S34" i="7"/>
  <c r="D35" i="7"/>
  <c r="I35" i="7"/>
  <c r="J35" i="7" s="1"/>
  <c r="O35" i="7"/>
  <c r="S35" i="7"/>
  <c r="D36" i="7"/>
  <c r="I36" i="7"/>
  <c r="J36" i="7" s="1"/>
  <c r="O36" i="7"/>
  <c r="S36" i="7"/>
  <c r="D37" i="7"/>
  <c r="I37" i="7"/>
  <c r="J37" i="7" s="1"/>
  <c r="O37" i="7"/>
  <c r="S37" i="7"/>
  <c r="D38" i="7"/>
  <c r="I38" i="7"/>
  <c r="J38" i="7" s="1"/>
  <c r="O38" i="7"/>
  <c r="S38" i="7"/>
  <c r="D39" i="7"/>
  <c r="I39" i="7"/>
  <c r="J39" i="7" s="1"/>
  <c r="K39" i="7"/>
  <c r="O39" i="7"/>
  <c r="S39" i="7"/>
  <c r="D40" i="7"/>
  <c r="I40" i="7"/>
  <c r="J40" i="7"/>
  <c r="O40" i="7"/>
  <c r="S40" i="7"/>
  <c r="D41" i="7"/>
  <c r="I41" i="7"/>
  <c r="J41" i="7" s="1"/>
  <c r="O41" i="7"/>
  <c r="S41" i="7"/>
  <c r="K40" i="7" l="1"/>
  <c r="K20" i="7"/>
  <c r="K35" i="7"/>
  <c r="K36" i="7"/>
  <c r="K31" i="7"/>
  <c r="K24" i="7"/>
  <c r="K41" i="7"/>
  <c r="K37" i="7"/>
  <c r="K33" i="7"/>
  <c r="K29" i="7"/>
  <c r="K25" i="7"/>
  <c r="K21" i="7"/>
  <c r="K17" i="7"/>
  <c r="K38" i="7"/>
  <c r="K34" i="7"/>
  <c r="K30" i="7"/>
  <c r="K26" i="7"/>
  <c r="K22" i="7"/>
  <c r="K18" i="7"/>
  <c r="R51" i="14"/>
  <c r="R50" i="14"/>
  <c r="R49" i="14"/>
  <c r="R48" i="14"/>
  <c r="R47" i="14"/>
  <c r="S44" i="13"/>
  <c r="S45" i="13"/>
  <c r="S46" i="13"/>
  <c r="S47" i="13"/>
  <c r="S48" i="13"/>
  <c r="O44" i="13"/>
  <c r="O45" i="13"/>
  <c r="O46" i="13"/>
  <c r="O47" i="13"/>
  <c r="O48" i="13"/>
  <c r="I44" i="13"/>
  <c r="J44" i="13" s="1"/>
  <c r="I45" i="13"/>
  <c r="I46" i="13"/>
  <c r="J46" i="13" s="1"/>
  <c r="I47" i="13"/>
  <c r="J47" i="13" s="1"/>
  <c r="I48" i="13"/>
  <c r="J48" i="13" s="1"/>
  <c r="D44" i="13"/>
  <c r="D45" i="13"/>
  <c r="D46" i="13"/>
  <c r="D47" i="13"/>
  <c r="D48" i="13"/>
  <c r="R45" i="14"/>
  <c r="S67" i="1"/>
  <c r="S68" i="1"/>
  <c r="S69" i="1"/>
  <c r="S70" i="1"/>
  <c r="S71" i="1"/>
  <c r="O67" i="1"/>
  <c r="O68" i="1"/>
  <c r="O69" i="1"/>
  <c r="O70" i="1"/>
  <c r="O71" i="1"/>
  <c r="I67" i="1"/>
  <c r="K67" i="1" s="1"/>
  <c r="I68" i="1"/>
  <c r="I69" i="1"/>
  <c r="J69" i="1" s="1"/>
  <c r="I70" i="1"/>
  <c r="J70" i="1" s="1"/>
  <c r="I71" i="1"/>
  <c r="J71" i="1" s="1"/>
  <c r="D67" i="1"/>
  <c r="D68" i="1"/>
  <c r="D69" i="1"/>
  <c r="D70" i="1"/>
  <c r="D71" i="1"/>
  <c r="K68" i="1" l="1"/>
  <c r="K45" i="13"/>
  <c r="K47" i="13"/>
  <c r="K48" i="13"/>
  <c r="K46" i="13"/>
  <c r="K44" i="13"/>
  <c r="J45" i="13"/>
  <c r="J67" i="1"/>
  <c r="J68" i="1"/>
  <c r="K71" i="1"/>
  <c r="K69" i="1"/>
  <c r="K70" i="1"/>
  <c r="S11" i="11"/>
  <c r="S10" i="11"/>
  <c r="S9" i="11"/>
  <c r="S8" i="11"/>
  <c r="S7" i="11"/>
  <c r="O11" i="11"/>
  <c r="I11" i="11"/>
  <c r="J11" i="11" s="1"/>
  <c r="D11" i="11"/>
  <c r="O10" i="11"/>
  <c r="I10" i="11"/>
  <c r="D10" i="11"/>
  <c r="O9" i="11"/>
  <c r="I9" i="11"/>
  <c r="D9" i="11"/>
  <c r="O8" i="11"/>
  <c r="I8" i="11"/>
  <c r="D8" i="11"/>
  <c r="O7" i="11"/>
  <c r="I7" i="11"/>
  <c r="J7" i="11" s="1"/>
  <c r="D7" i="11"/>
  <c r="S6" i="7"/>
  <c r="O6" i="7"/>
  <c r="I4" i="7"/>
  <c r="K4" i="7" s="1"/>
  <c r="I5" i="7"/>
  <c r="K5" i="7" s="1"/>
  <c r="I6" i="7"/>
  <c r="I3" i="7"/>
  <c r="I2" i="7"/>
  <c r="K2" i="7" s="1"/>
  <c r="I33" i="1"/>
  <c r="I32" i="1"/>
  <c r="I35" i="1"/>
  <c r="I36" i="1"/>
  <c r="I34" i="1"/>
  <c r="R27" i="14"/>
  <c r="R26" i="14"/>
  <c r="D3" i="4"/>
  <c r="D2" i="4"/>
  <c r="D5" i="4"/>
  <c r="D6" i="4"/>
  <c r="D4" i="4"/>
  <c r="K3" i="7" l="1"/>
  <c r="K8" i="11"/>
  <c r="K11" i="11"/>
  <c r="K7" i="11"/>
  <c r="K9" i="11"/>
  <c r="K10" i="11"/>
  <c r="J8" i="11"/>
  <c r="J3" i="7"/>
  <c r="J10" i="11"/>
  <c r="J9" i="11"/>
  <c r="R37" i="14"/>
  <c r="R41" i="14"/>
  <c r="R40" i="14"/>
  <c r="S27" i="11"/>
  <c r="S28" i="11"/>
  <c r="S29" i="11"/>
  <c r="S30" i="11"/>
  <c r="S31" i="11"/>
  <c r="O27" i="11"/>
  <c r="O28" i="11"/>
  <c r="O29" i="11"/>
  <c r="O30" i="11"/>
  <c r="O31" i="11"/>
  <c r="I27" i="11"/>
  <c r="K27" i="11" s="1"/>
  <c r="I28" i="11"/>
  <c r="I29" i="11"/>
  <c r="J29" i="11" s="1"/>
  <c r="I30" i="11"/>
  <c r="J30" i="11" s="1"/>
  <c r="I31" i="11"/>
  <c r="D27" i="11"/>
  <c r="D28" i="11"/>
  <c r="D29" i="11"/>
  <c r="D30" i="11"/>
  <c r="D31" i="11"/>
  <c r="S22" i="11"/>
  <c r="S23" i="11"/>
  <c r="S24" i="11"/>
  <c r="S25" i="11"/>
  <c r="S26" i="11"/>
  <c r="O22" i="11"/>
  <c r="O23" i="11"/>
  <c r="O24" i="11"/>
  <c r="O25" i="11"/>
  <c r="O26" i="11"/>
  <c r="I22" i="11"/>
  <c r="J22" i="11" s="1"/>
  <c r="I23" i="11"/>
  <c r="I24" i="11"/>
  <c r="I25" i="11"/>
  <c r="J25" i="11" s="1"/>
  <c r="I26" i="11"/>
  <c r="D22" i="11"/>
  <c r="D23" i="11"/>
  <c r="D24" i="11"/>
  <c r="D25" i="11"/>
  <c r="D26" i="11"/>
  <c r="S17" i="11"/>
  <c r="S18" i="11"/>
  <c r="S19" i="11"/>
  <c r="S20" i="11"/>
  <c r="S21" i="11"/>
  <c r="O17" i="11"/>
  <c r="O18" i="11"/>
  <c r="O19" i="11"/>
  <c r="O20" i="11"/>
  <c r="O21" i="11"/>
  <c r="I17" i="11"/>
  <c r="J17" i="11" s="1"/>
  <c r="I18" i="11"/>
  <c r="J18" i="11" s="1"/>
  <c r="I19" i="11"/>
  <c r="J19" i="11" s="1"/>
  <c r="I20" i="11"/>
  <c r="J20" i="11" s="1"/>
  <c r="I21" i="11"/>
  <c r="D17" i="11"/>
  <c r="D18" i="11"/>
  <c r="D19" i="11"/>
  <c r="D20" i="11"/>
  <c r="D21" i="11"/>
  <c r="K26" i="11" l="1"/>
  <c r="K22" i="11"/>
  <c r="K28" i="11"/>
  <c r="K31" i="11"/>
  <c r="J28" i="11"/>
  <c r="J27" i="11"/>
  <c r="K29" i="11"/>
  <c r="K24" i="11"/>
  <c r="J31" i="11"/>
  <c r="K30" i="11"/>
  <c r="K23" i="11"/>
  <c r="J24" i="11"/>
  <c r="J23" i="11"/>
  <c r="K25" i="11"/>
  <c r="K17" i="11"/>
  <c r="K21" i="11"/>
  <c r="J26" i="11"/>
  <c r="J21" i="11"/>
  <c r="K20" i="11"/>
  <c r="K18" i="11"/>
  <c r="K19" i="11"/>
  <c r="R38" i="14"/>
  <c r="S62" i="1"/>
  <c r="S63" i="1"/>
  <c r="S64" i="1"/>
  <c r="S65" i="1"/>
  <c r="S66" i="1"/>
  <c r="O62" i="1"/>
  <c r="O63" i="1"/>
  <c r="O64" i="1"/>
  <c r="O65" i="1"/>
  <c r="O66" i="1"/>
  <c r="J64" i="1"/>
  <c r="I62" i="1"/>
  <c r="J62" i="1" s="1"/>
  <c r="I63" i="1"/>
  <c r="I64" i="1"/>
  <c r="I65" i="1"/>
  <c r="J65" i="1" s="1"/>
  <c r="I66" i="1"/>
  <c r="J66" i="1" s="1"/>
  <c r="D62" i="1"/>
  <c r="D63" i="1"/>
  <c r="D64" i="1"/>
  <c r="D65" i="1"/>
  <c r="D66" i="1"/>
  <c r="R36" i="14"/>
  <c r="R35" i="14"/>
  <c r="I59" i="1"/>
  <c r="J59" i="1" s="1"/>
  <c r="I60" i="1"/>
  <c r="I61" i="1"/>
  <c r="I58" i="1"/>
  <c r="K58" i="1" s="1"/>
  <c r="S57" i="1"/>
  <c r="S58" i="1"/>
  <c r="S59" i="1"/>
  <c r="S60" i="1"/>
  <c r="S61" i="1"/>
  <c r="O57" i="1"/>
  <c r="O58" i="1"/>
  <c r="O59" i="1"/>
  <c r="O60" i="1"/>
  <c r="O61" i="1"/>
  <c r="I57" i="1"/>
  <c r="K57" i="1" s="1"/>
  <c r="D57" i="1"/>
  <c r="D58" i="1"/>
  <c r="D59" i="1"/>
  <c r="D60" i="1"/>
  <c r="D61" i="1"/>
  <c r="K61" i="1" l="1"/>
  <c r="K63" i="1"/>
  <c r="K66" i="1"/>
  <c r="K62" i="1"/>
  <c r="K60" i="1"/>
  <c r="J57" i="1"/>
  <c r="J63" i="1"/>
  <c r="K65" i="1"/>
  <c r="K64" i="1"/>
  <c r="J58" i="1"/>
  <c r="J61" i="1"/>
  <c r="J60" i="1"/>
  <c r="K59" i="1"/>
  <c r="R23" i="14" l="1"/>
  <c r="R17" i="14"/>
  <c r="S22" i="13"/>
  <c r="S23" i="13"/>
  <c r="S24" i="13"/>
  <c r="S25" i="13"/>
  <c r="S26" i="13"/>
  <c r="O22" i="13"/>
  <c r="O23" i="13"/>
  <c r="O24" i="13"/>
  <c r="O25" i="13"/>
  <c r="O26" i="13"/>
  <c r="K22" i="13"/>
  <c r="J24" i="13"/>
  <c r="J25" i="13"/>
  <c r="J26" i="13"/>
  <c r="I22" i="13"/>
  <c r="J22" i="13" s="1"/>
  <c r="I23" i="13"/>
  <c r="J23" i="13" s="1"/>
  <c r="I24" i="13"/>
  <c r="I25" i="13"/>
  <c r="I26" i="13"/>
  <c r="K26" i="13" s="1"/>
  <c r="D22" i="13"/>
  <c r="D23" i="13"/>
  <c r="D24" i="13"/>
  <c r="D25" i="13"/>
  <c r="D26" i="13"/>
  <c r="R16" i="14"/>
  <c r="S17" i="13"/>
  <c r="S18" i="13"/>
  <c r="S19" i="13"/>
  <c r="S20" i="13"/>
  <c r="S21" i="13"/>
  <c r="O17" i="13"/>
  <c r="O18" i="13"/>
  <c r="O19" i="13"/>
  <c r="O20" i="13"/>
  <c r="O21" i="13"/>
  <c r="K17" i="13"/>
  <c r="J17" i="13"/>
  <c r="J19" i="13"/>
  <c r="I17" i="13"/>
  <c r="I18" i="13"/>
  <c r="K18" i="13" s="1"/>
  <c r="I19" i="13"/>
  <c r="K19" i="13" s="1"/>
  <c r="I20" i="13"/>
  <c r="K20" i="13" s="1"/>
  <c r="I21" i="13"/>
  <c r="K21" i="13" s="1"/>
  <c r="D17" i="13"/>
  <c r="D18" i="13"/>
  <c r="D19" i="13"/>
  <c r="D20" i="13"/>
  <c r="D21" i="13"/>
  <c r="R72" i="14"/>
  <c r="R11" i="14"/>
  <c r="R10" i="14"/>
  <c r="R33" i="14"/>
  <c r="S7" i="7"/>
  <c r="S8" i="7"/>
  <c r="S9" i="7"/>
  <c r="S10" i="7"/>
  <c r="S11" i="7"/>
  <c r="O7" i="7"/>
  <c r="O8" i="7"/>
  <c r="O9" i="7"/>
  <c r="O10" i="7"/>
  <c r="O11" i="7"/>
  <c r="S13" i="7"/>
  <c r="S14" i="7"/>
  <c r="S15" i="7"/>
  <c r="S16" i="7"/>
  <c r="S12" i="7"/>
  <c r="O13" i="7"/>
  <c r="O14" i="7"/>
  <c r="O15" i="7"/>
  <c r="O16" i="7"/>
  <c r="O12" i="7"/>
  <c r="R9" i="14"/>
  <c r="R8" i="14"/>
  <c r="R32" i="14"/>
  <c r="I12" i="7"/>
  <c r="J12" i="7" s="1"/>
  <c r="I13" i="7"/>
  <c r="J13" i="7" s="1"/>
  <c r="I14" i="7"/>
  <c r="J14" i="7" s="1"/>
  <c r="I15" i="7"/>
  <c r="J15" i="7" s="1"/>
  <c r="I16" i="7"/>
  <c r="J16" i="7" s="1"/>
  <c r="D12" i="7"/>
  <c r="D13" i="7"/>
  <c r="D14" i="7"/>
  <c r="D15" i="7"/>
  <c r="D16" i="7"/>
  <c r="R31" i="14"/>
  <c r="I7" i="7"/>
  <c r="J7" i="7" s="1"/>
  <c r="I8" i="7"/>
  <c r="J8" i="7" s="1"/>
  <c r="I9" i="7"/>
  <c r="J9" i="7" s="1"/>
  <c r="I10" i="7"/>
  <c r="I11" i="7"/>
  <c r="J11" i="7" s="1"/>
  <c r="D7" i="7"/>
  <c r="D8" i="7"/>
  <c r="D9" i="7"/>
  <c r="D10" i="7"/>
  <c r="D11" i="7"/>
  <c r="R19" i="14"/>
  <c r="S3" i="13"/>
  <c r="S4" i="13"/>
  <c r="S5" i="13"/>
  <c r="S6" i="13"/>
  <c r="S7" i="13"/>
  <c r="S8" i="13"/>
  <c r="S9" i="13"/>
  <c r="S10" i="13"/>
  <c r="S11" i="13"/>
  <c r="S12" i="13"/>
  <c r="S13" i="13"/>
  <c r="S14" i="13"/>
  <c r="S15" i="13"/>
  <c r="S16" i="13"/>
  <c r="S2" i="13"/>
  <c r="R18" i="14"/>
  <c r="J21" i="13" l="1"/>
  <c r="J20" i="13"/>
  <c r="K24" i="13"/>
  <c r="K23" i="13"/>
  <c r="K25" i="13"/>
  <c r="K12" i="7"/>
  <c r="K8" i="7"/>
  <c r="K10" i="7"/>
  <c r="K7" i="7"/>
  <c r="K14" i="7"/>
  <c r="K16" i="7"/>
  <c r="K15" i="7"/>
  <c r="K13" i="7"/>
  <c r="J10" i="7"/>
  <c r="K9" i="7"/>
  <c r="K11" i="7"/>
  <c r="J18" i="13"/>
  <c r="R7" i="14"/>
  <c r="R6" i="14"/>
  <c r="R22" i="14"/>
  <c r="R5" i="14" l="1"/>
  <c r="R28" i="14"/>
  <c r="R30" i="14"/>
  <c r="R3" i="14" l="1"/>
  <c r="R2" i="14"/>
  <c r="C1" i="14"/>
  <c r="D1" i="14" s="1"/>
  <c r="E1" i="14" s="1"/>
  <c r="F1" i="14" s="1"/>
  <c r="G1" i="14" s="1"/>
  <c r="H1" i="14" l="1"/>
  <c r="I1" i="14" s="1"/>
  <c r="J1" i="14" s="1"/>
  <c r="K1" i="14" s="1"/>
  <c r="L1" i="14" s="1"/>
  <c r="M1" i="14" s="1"/>
  <c r="N1" i="14" s="1"/>
  <c r="O1" i="14" s="1"/>
  <c r="P1" i="14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2" i="1"/>
  <c r="S17" i="4"/>
  <c r="S18" i="4"/>
  <c r="S19" i="4"/>
  <c r="S20" i="4"/>
  <c r="S21" i="4"/>
  <c r="O17" i="4"/>
  <c r="O18" i="4"/>
  <c r="O19" i="4"/>
  <c r="O20" i="4"/>
  <c r="O21" i="4"/>
  <c r="J20" i="4"/>
  <c r="I17" i="4"/>
  <c r="J17" i="4" s="1"/>
  <c r="I18" i="4"/>
  <c r="J18" i="4" s="1"/>
  <c r="I19" i="4"/>
  <c r="J19" i="4" s="1"/>
  <c r="I20" i="4"/>
  <c r="I21" i="4"/>
  <c r="D17" i="4"/>
  <c r="D18" i="4"/>
  <c r="D19" i="4"/>
  <c r="D20" i="4"/>
  <c r="D21" i="4"/>
  <c r="S12" i="4"/>
  <c r="S13" i="4"/>
  <c r="S14" i="4"/>
  <c r="S15" i="4"/>
  <c r="S16" i="4"/>
  <c r="O12" i="4"/>
  <c r="O13" i="4"/>
  <c r="O14" i="4"/>
  <c r="O15" i="4"/>
  <c r="O16" i="4"/>
  <c r="I12" i="4"/>
  <c r="K12" i="4" s="1"/>
  <c r="I13" i="4"/>
  <c r="J13" i="4" s="1"/>
  <c r="I14" i="4"/>
  <c r="J14" i="4" s="1"/>
  <c r="I15" i="4"/>
  <c r="J15" i="4" s="1"/>
  <c r="I16" i="4"/>
  <c r="J16" i="4" s="1"/>
  <c r="D12" i="4"/>
  <c r="D13" i="4"/>
  <c r="D14" i="4"/>
  <c r="D15" i="4"/>
  <c r="D16" i="4"/>
  <c r="S2" i="7"/>
  <c r="S3" i="7"/>
  <c r="S4" i="7"/>
  <c r="S5" i="7"/>
  <c r="O2" i="7"/>
  <c r="O3" i="7"/>
  <c r="O4" i="7"/>
  <c r="O5" i="7"/>
  <c r="S7" i="4"/>
  <c r="S8" i="4"/>
  <c r="S9" i="4"/>
  <c r="S10" i="4"/>
  <c r="S11" i="4"/>
  <c r="S6" i="4"/>
  <c r="S3" i="4"/>
  <c r="S4" i="4"/>
  <c r="S5" i="4"/>
  <c r="S2" i="4"/>
  <c r="S37" i="11"/>
  <c r="S38" i="11"/>
  <c r="S39" i="11"/>
  <c r="S40" i="11"/>
  <c r="S41" i="11"/>
  <c r="G70" i="14" l="1" a="1"/>
  <c r="G70" i="14" s="1"/>
  <c r="Q70" i="14" s="1"/>
  <c r="S70" i="14" s="1"/>
  <c r="G64" i="14" a="1"/>
  <c r="G64" i="14" s="1"/>
  <c r="Q64" i="14" s="1"/>
  <c r="S64" i="14" s="1"/>
  <c r="G65" i="14" a="1"/>
  <c r="G65" i="14" s="1"/>
  <c r="Q65" i="14" s="1"/>
  <c r="S65" i="14" s="1"/>
  <c r="G66" i="14" a="1"/>
  <c r="G66" i="14" s="1"/>
  <c r="Q66" i="14" s="1"/>
  <c r="S66" i="14" s="1"/>
  <c r="G67" i="14" a="1"/>
  <c r="G67" i="14" s="1"/>
  <c r="Q67" i="14" s="1"/>
  <c r="S67" i="14" s="1"/>
  <c r="G68" i="14" a="1"/>
  <c r="G68" i="14" s="1"/>
  <c r="Q68" i="14" s="1"/>
  <c r="S68" i="14" s="1"/>
  <c r="G69" i="14" a="1"/>
  <c r="G69" i="14" s="1"/>
  <c r="Q69" i="14" s="1"/>
  <c r="S69" i="14" s="1"/>
  <c r="G52" i="14" a="1"/>
  <c r="G52" i="14" s="1"/>
  <c r="Q52" i="14" s="1"/>
  <c r="S52" i="14" s="1"/>
  <c r="G63" i="14" a="1"/>
  <c r="G63" i="14" s="1"/>
  <c r="Q63" i="14" s="1"/>
  <c r="S63" i="14" s="1"/>
  <c r="G51" i="14" a="1"/>
  <c r="G51" i="14" s="1"/>
  <c r="Q51" i="14" s="1"/>
  <c r="S51" i="14" s="1"/>
  <c r="G56" i="14" a="1"/>
  <c r="G56" i="14" s="1"/>
  <c r="Q56" i="14" s="1"/>
  <c r="S56" i="14" s="1"/>
  <c r="G57" i="14" a="1"/>
  <c r="G57" i="14" s="1"/>
  <c r="Q57" i="14" s="1"/>
  <c r="S57" i="14" s="1"/>
  <c r="G58" i="14" a="1"/>
  <c r="G58" i="14" s="1"/>
  <c r="Q58" i="14" s="1"/>
  <c r="S58" i="14" s="1"/>
  <c r="G61" i="14" a="1"/>
  <c r="G61" i="14" s="1"/>
  <c r="Q61" i="14" s="1"/>
  <c r="S61" i="14" s="1"/>
  <c r="G59" i="14" a="1"/>
  <c r="G59" i="14" s="1"/>
  <c r="Q59" i="14" s="1"/>
  <c r="S59" i="14" s="1"/>
  <c r="G60" i="14" a="1"/>
  <c r="G60" i="14" s="1"/>
  <c r="Q60" i="14" s="1"/>
  <c r="S60" i="14" s="1"/>
  <c r="G55" i="14" a="1"/>
  <c r="G55" i="14" s="1"/>
  <c r="Q55" i="14" s="1"/>
  <c r="S55" i="14" s="1"/>
  <c r="G50" i="14" a="1"/>
  <c r="G50" i="14" s="1"/>
  <c r="Q50" i="14" s="1"/>
  <c r="S50" i="14" s="1"/>
  <c r="G49" i="14" a="1"/>
  <c r="G49" i="14" s="1"/>
  <c r="Q49" i="14" s="1"/>
  <c r="S49" i="14" s="1"/>
  <c r="G47" i="14" a="1"/>
  <c r="G47" i="14" s="1"/>
  <c r="Q47" i="14" s="1"/>
  <c r="S47" i="14" s="1"/>
  <c r="G48" i="14" a="1"/>
  <c r="G48" i="14" s="1"/>
  <c r="Q48" i="14" s="1"/>
  <c r="S48" i="14" s="1"/>
  <c r="G38" i="14" a="1"/>
  <c r="G38" i="14" s="1"/>
  <c r="Q38" i="14" s="1"/>
  <c r="S38" i="14" s="1"/>
  <c r="G26" i="14" a="1"/>
  <c r="G26" i="14" s="1"/>
  <c r="Q26" i="14" s="1"/>
  <c r="S26" i="14" s="1"/>
  <c r="G42" i="14" a="1"/>
  <c r="G42" i="14" s="1"/>
  <c r="Q42" i="14" s="1"/>
  <c r="S42" i="14" s="1"/>
  <c r="G16" i="14" a="1"/>
  <c r="G16" i="14" s="1"/>
  <c r="Q16" i="14" s="1"/>
  <c r="S16" i="14" s="1"/>
  <c r="G41" i="14" a="1"/>
  <c r="G41" i="14" s="1"/>
  <c r="Q41" i="14" s="1"/>
  <c r="S41" i="14" s="1"/>
  <c r="G11" i="14" a="1"/>
  <c r="G11" i="14" s="1"/>
  <c r="Q11" i="14" s="1"/>
  <c r="S11" i="14" s="1"/>
  <c r="G37" i="14" a="1"/>
  <c r="G37" i="14" s="1"/>
  <c r="Q37" i="14" s="1"/>
  <c r="S37" i="14" s="1"/>
  <c r="G23" i="14" a="1"/>
  <c r="G23" i="14" s="1"/>
  <c r="Q23" i="14" s="1"/>
  <c r="S23" i="14" s="1"/>
  <c r="G40" i="14" a="1"/>
  <c r="G40" i="14" s="1"/>
  <c r="Q40" i="14" s="1"/>
  <c r="S40" i="14" s="1"/>
  <c r="G35" i="14" a="1"/>
  <c r="G35" i="14" s="1"/>
  <c r="Q35" i="14" s="1"/>
  <c r="S35" i="14" s="1"/>
  <c r="G30" i="14" a="1"/>
  <c r="G30" i="14" s="1"/>
  <c r="G36" i="14" a="1"/>
  <c r="G36" i="14" s="1"/>
  <c r="Q36" i="14" s="1"/>
  <c r="S36" i="14" s="1"/>
  <c r="G45" i="14" a="1"/>
  <c r="G45" i="14" s="1"/>
  <c r="Q45" i="14" s="1"/>
  <c r="S45" i="14" s="1"/>
  <c r="K20" i="4"/>
  <c r="K21" i="4"/>
  <c r="K17" i="4"/>
  <c r="K18" i="4"/>
  <c r="J21" i="4"/>
  <c r="K19" i="4"/>
  <c r="K16" i="4"/>
  <c r="K15" i="4"/>
  <c r="J12" i="4"/>
  <c r="K14" i="4"/>
  <c r="K13" i="4"/>
  <c r="G10" i="14" a="1"/>
  <c r="G10" i="14" s="1"/>
  <c r="Q10" i="14" s="1"/>
  <c r="S10" i="14" s="1"/>
  <c r="G71" i="14" a="1"/>
  <c r="G71" i="14" s="1"/>
  <c r="Q71" i="14" s="1"/>
  <c r="S71" i="14" s="1"/>
  <c r="G17" i="14" a="1"/>
  <c r="G17" i="14" s="1"/>
  <c r="Q17" i="14" s="1"/>
  <c r="S17" i="14" s="1"/>
  <c r="G72" i="14" a="1"/>
  <c r="G72" i="14" s="1"/>
  <c r="Q72" i="14" s="1"/>
  <c r="S72" i="14" s="1"/>
  <c r="G7" i="14" a="1"/>
  <c r="G7" i="14" s="1"/>
  <c r="Q7" i="14" s="1"/>
  <c r="S7" i="14" s="1"/>
  <c r="G33" i="14" a="1"/>
  <c r="G33" i="14" s="1"/>
  <c r="Q33" i="14" s="1"/>
  <c r="S33" i="14" s="1"/>
  <c r="G5" i="14" a="1"/>
  <c r="G5" i="14" s="1"/>
  <c r="G31" i="14" a="1"/>
  <c r="G31" i="14" s="1"/>
  <c r="Q31" i="14" s="1"/>
  <c r="S31" i="14" s="1"/>
  <c r="G6" i="14" a="1"/>
  <c r="G6" i="14" s="1"/>
  <c r="Q6" i="14" s="1"/>
  <c r="S6" i="14" s="1"/>
  <c r="G19" i="14" a="1"/>
  <c r="G19" i="14" s="1"/>
  <c r="Q19" i="14" s="1"/>
  <c r="S19" i="14" s="1"/>
  <c r="G18" i="14" a="1"/>
  <c r="G18" i="14" s="1"/>
  <c r="Q18" i="14" s="1"/>
  <c r="S18" i="14" s="1"/>
  <c r="G27" i="14" a="1"/>
  <c r="G27" i="14" s="1"/>
  <c r="Q27" i="14" s="1"/>
  <c r="S27" i="14" s="1"/>
  <c r="G22" i="14" a="1"/>
  <c r="G22" i="14" s="1"/>
  <c r="Q22" i="14" s="1"/>
  <c r="S22" i="14" s="1"/>
  <c r="G8" i="14" a="1"/>
  <c r="G8" i="14" s="1"/>
  <c r="Q8" i="14" s="1"/>
  <c r="S8" i="14" s="1"/>
  <c r="G9" i="14" a="1"/>
  <c r="G9" i="14" s="1"/>
  <c r="Q9" i="14" s="1"/>
  <c r="S9" i="14" s="1"/>
  <c r="G3" i="14" a="1"/>
  <c r="G3" i="14" s="1"/>
  <c r="G28" i="14" a="1"/>
  <c r="G28" i="14" s="1"/>
  <c r="G32" i="14" a="1"/>
  <c r="G32" i="14" s="1"/>
  <c r="Q32" i="14" s="1"/>
  <c r="S32" i="14" s="1"/>
  <c r="G2" i="14" a="1"/>
  <c r="G2" i="14" s="1"/>
  <c r="S2" i="11"/>
  <c r="S3" i="11"/>
  <c r="S4" i="11"/>
  <c r="S5" i="11"/>
  <c r="S6" i="11"/>
  <c r="O2" i="11"/>
  <c r="O3" i="11"/>
  <c r="O4" i="11"/>
  <c r="O5" i="11"/>
  <c r="O6" i="11"/>
  <c r="S43" i="11"/>
  <c r="S44" i="11"/>
  <c r="S45" i="11"/>
  <c r="S46" i="11"/>
  <c r="S42" i="11"/>
  <c r="O43" i="11"/>
  <c r="O44" i="11"/>
  <c r="O45" i="11"/>
  <c r="O46" i="11"/>
  <c r="O42" i="11"/>
  <c r="Q2" i="14" l="1"/>
  <c r="S2" i="14" s="1"/>
  <c r="Q3" i="14"/>
  <c r="S3" i="14" s="1"/>
  <c r="R7" i="5"/>
  <c r="R8" i="5"/>
  <c r="R9" i="5"/>
  <c r="R10" i="5"/>
  <c r="R11" i="5"/>
  <c r="N7" i="5"/>
  <c r="N8" i="5"/>
  <c r="N9" i="5"/>
  <c r="N10" i="5"/>
  <c r="N11" i="5"/>
  <c r="R3" i="5"/>
  <c r="R4" i="5"/>
  <c r="R5" i="5"/>
  <c r="R6" i="5"/>
  <c r="R2" i="5"/>
  <c r="S2" i="9"/>
  <c r="N3" i="5"/>
  <c r="N4" i="5"/>
  <c r="N5" i="5"/>
  <c r="N6" i="5"/>
  <c r="N2" i="5"/>
  <c r="O2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O12" i="9"/>
  <c r="O13" i="9"/>
  <c r="O14" i="9"/>
  <c r="O15" i="9"/>
  <c r="O16" i="9"/>
  <c r="O17" i="9"/>
  <c r="O18" i="9"/>
  <c r="O19" i="9"/>
  <c r="O20" i="9"/>
  <c r="O21" i="9"/>
  <c r="I17" i="9"/>
  <c r="J17" i="9" s="1"/>
  <c r="I18" i="9"/>
  <c r="J18" i="9" s="1"/>
  <c r="I19" i="9"/>
  <c r="J19" i="9" s="1"/>
  <c r="I20" i="9"/>
  <c r="J20" i="9" s="1"/>
  <c r="I21" i="9"/>
  <c r="J21" i="9" s="1"/>
  <c r="D17" i="9"/>
  <c r="D18" i="9"/>
  <c r="D19" i="9"/>
  <c r="D20" i="9"/>
  <c r="D21" i="9"/>
  <c r="O7" i="9"/>
  <c r="O8" i="9"/>
  <c r="O9" i="9"/>
  <c r="O10" i="9"/>
  <c r="O11" i="9"/>
  <c r="O3" i="9"/>
  <c r="O4" i="9"/>
  <c r="O5" i="9"/>
  <c r="O6" i="9"/>
  <c r="O2" i="1"/>
  <c r="O12" i="13"/>
  <c r="O13" i="13"/>
  <c r="O14" i="13"/>
  <c r="O15" i="13"/>
  <c r="O16" i="13"/>
  <c r="J16" i="13"/>
  <c r="I12" i="13"/>
  <c r="K12" i="13" s="1"/>
  <c r="I13" i="13"/>
  <c r="J13" i="13" s="1"/>
  <c r="I14" i="13"/>
  <c r="J14" i="13" s="1"/>
  <c r="I15" i="13"/>
  <c r="I16" i="13"/>
  <c r="D12" i="13"/>
  <c r="D13" i="13"/>
  <c r="D14" i="13"/>
  <c r="D15" i="13"/>
  <c r="D16" i="13"/>
  <c r="O7" i="13"/>
  <c r="O8" i="13"/>
  <c r="O9" i="13"/>
  <c r="O10" i="13"/>
  <c r="O11" i="13"/>
  <c r="K9" i="13"/>
  <c r="J10" i="13"/>
  <c r="I7" i="13"/>
  <c r="K7" i="13" s="1"/>
  <c r="I8" i="13"/>
  <c r="K8" i="13" s="1"/>
  <c r="I9" i="13"/>
  <c r="J9" i="13" s="1"/>
  <c r="I10" i="13"/>
  <c r="I11" i="13"/>
  <c r="J11" i="13" s="1"/>
  <c r="D7" i="13"/>
  <c r="D8" i="13"/>
  <c r="D9" i="13"/>
  <c r="D10" i="13"/>
  <c r="D11" i="13"/>
  <c r="O3" i="13"/>
  <c r="O4" i="13"/>
  <c r="O5" i="13"/>
  <c r="O6" i="13"/>
  <c r="O2" i="13"/>
  <c r="I3" i="13"/>
  <c r="I4" i="13"/>
  <c r="J4" i="13" s="1"/>
  <c r="I5" i="13"/>
  <c r="I6" i="13"/>
  <c r="J6" i="13" s="1"/>
  <c r="I2" i="13"/>
  <c r="K2" i="13" s="1"/>
  <c r="D3" i="13"/>
  <c r="D4" i="13"/>
  <c r="D5" i="13"/>
  <c r="D6" i="13"/>
  <c r="D2" i="13"/>
  <c r="K6" i="13" l="1"/>
  <c r="K17" i="9"/>
  <c r="K18" i="9"/>
  <c r="K21" i="9"/>
  <c r="K19" i="9"/>
  <c r="K20" i="9"/>
  <c r="K5" i="13"/>
  <c r="K3" i="13"/>
  <c r="J2" i="13"/>
  <c r="J5" i="13"/>
  <c r="K16" i="13"/>
  <c r="K4" i="13"/>
  <c r="K15" i="13"/>
  <c r="J15" i="13"/>
  <c r="K13" i="13"/>
  <c r="K10" i="13"/>
  <c r="K14" i="13"/>
  <c r="J3" i="13"/>
  <c r="J8" i="13"/>
  <c r="J7" i="13"/>
  <c r="K11" i="13"/>
  <c r="J12" i="13"/>
  <c r="O47" i="1"/>
  <c r="O48" i="1"/>
  <c r="O49" i="1"/>
  <c r="O50" i="1"/>
  <c r="O51" i="1"/>
  <c r="O32" i="1"/>
  <c r="O33" i="1"/>
  <c r="O34" i="1"/>
  <c r="O35" i="1"/>
  <c r="O36" i="1"/>
  <c r="O27" i="1"/>
  <c r="O28" i="1"/>
  <c r="O29" i="1"/>
  <c r="O30" i="1"/>
  <c r="O31" i="1"/>
  <c r="O22" i="1"/>
  <c r="O23" i="1"/>
  <c r="O24" i="1"/>
  <c r="O25" i="1"/>
  <c r="O26" i="1"/>
  <c r="O21" i="1"/>
  <c r="O20" i="1"/>
  <c r="O19" i="1"/>
  <c r="O18" i="1"/>
  <c r="O17" i="1"/>
  <c r="O12" i="1"/>
  <c r="O13" i="1"/>
  <c r="O14" i="1"/>
  <c r="O15" i="1"/>
  <c r="O16" i="1"/>
  <c r="O7" i="1"/>
  <c r="O8" i="1"/>
  <c r="O9" i="1"/>
  <c r="O10" i="1"/>
  <c r="O11" i="1"/>
  <c r="O3" i="1"/>
  <c r="O4" i="1"/>
  <c r="O5" i="1"/>
  <c r="O6" i="1"/>
  <c r="O53" i="1"/>
  <c r="O54" i="1"/>
  <c r="O55" i="1"/>
  <c r="O56" i="1"/>
  <c r="O52" i="1"/>
  <c r="I52" i="1"/>
  <c r="J52" i="1" s="1"/>
  <c r="I53" i="1"/>
  <c r="I54" i="1"/>
  <c r="I55" i="1"/>
  <c r="J55" i="1" s="1"/>
  <c r="I56" i="1"/>
  <c r="J56" i="1" s="1"/>
  <c r="D52" i="1"/>
  <c r="D53" i="1"/>
  <c r="D54" i="1"/>
  <c r="D55" i="1"/>
  <c r="D56" i="1"/>
  <c r="O43" i="1"/>
  <c r="O44" i="1"/>
  <c r="O45" i="1"/>
  <c r="O46" i="1"/>
  <c r="O42" i="1"/>
  <c r="Q30" i="14" l="1"/>
  <c r="S30" i="14" s="1"/>
  <c r="K52" i="1"/>
  <c r="K54" i="1"/>
  <c r="K53" i="1"/>
  <c r="K55" i="1"/>
  <c r="J54" i="1"/>
  <c r="J53" i="1"/>
  <c r="K56" i="1"/>
  <c r="O37" i="11"/>
  <c r="O38" i="11"/>
  <c r="O39" i="11"/>
  <c r="O40" i="11"/>
  <c r="O41" i="11"/>
  <c r="I41" i="11"/>
  <c r="I37" i="11"/>
  <c r="K37" i="11" s="1"/>
  <c r="I38" i="11"/>
  <c r="J38" i="11" s="1"/>
  <c r="I39" i="11"/>
  <c r="J39" i="11" s="1"/>
  <c r="I40" i="11"/>
  <c r="J40" i="11" s="1"/>
  <c r="D37" i="11"/>
  <c r="D38" i="11"/>
  <c r="D39" i="11"/>
  <c r="D40" i="11"/>
  <c r="D41" i="11"/>
  <c r="I2" i="11"/>
  <c r="I3" i="11"/>
  <c r="J3" i="11" s="1"/>
  <c r="I4" i="11"/>
  <c r="J4" i="11" s="1"/>
  <c r="I5" i="11"/>
  <c r="J5" i="11" s="1"/>
  <c r="I6" i="11"/>
  <c r="J6" i="11" s="1"/>
  <c r="D2" i="11"/>
  <c r="D3" i="11"/>
  <c r="D4" i="11"/>
  <c r="D5" i="11"/>
  <c r="D6" i="11"/>
  <c r="K39" i="11" l="1"/>
  <c r="K41" i="11"/>
  <c r="K6" i="11"/>
  <c r="J37" i="11"/>
  <c r="K38" i="11"/>
  <c r="J41" i="11"/>
  <c r="K40" i="11"/>
  <c r="J2" i="11"/>
  <c r="K2" i="11"/>
  <c r="K3" i="11"/>
  <c r="K5" i="11"/>
  <c r="K4" i="11"/>
  <c r="Q28" i="14"/>
  <c r="S28" i="14" s="1"/>
  <c r="Q5" i="14"/>
  <c r="S5" i="14" s="1"/>
  <c r="I42" i="11"/>
  <c r="K42" i="11" s="1"/>
  <c r="I43" i="11"/>
  <c r="J43" i="11" s="1"/>
  <c r="I44" i="11"/>
  <c r="J44" i="11" s="1"/>
  <c r="I45" i="11"/>
  <c r="J45" i="11" s="1"/>
  <c r="I46" i="11"/>
  <c r="J46" i="11" s="1"/>
  <c r="D42" i="11"/>
  <c r="D43" i="11"/>
  <c r="D44" i="11"/>
  <c r="D45" i="11"/>
  <c r="D46" i="11"/>
  <c r="D2" i="9"/>
  <c r="I12" i="9"/>
  <c r="K12" i="9" s="1"/>
  <c r="I13" i="9"/>
  <c r="I14" i="9"/>
  <c r="J14" i="9" s="1"/>
  <c r="I15" i="9"/>
  <c r="J15" i="9" s="1"/>
  <c r="I16" i="9"/>
  <c r="D12" i="9"/>
  <c r="D13" i="9"/>
  <c r="D14" i="9"/>
  <c r="D15" i="9"/>
  <c r="D16" i="9"/>
  <c r="I11" i="9"/>
  <c r="J11" i="9" s="1"/>
  <c r="D11" i="9"/>
  <c r="I10" i="9"/>
  <c r="J10" i="9" s="1"/>
  <c r="D10" i="9"/>
  <c r="I9" i="9"/>
  <c r="J9" i="9" s="1"/>
  <c r="D9" i="9"/>
  <c r="I8" i="9"/>
  <c r="D8" i="9"/>
  <c r="I7" i="9"/>
  <c r="J7" i="9" s="1"/>
  <c r="D7" i="9"/>
  <c r="I6" i="9"/>
  <c r="D6" i="9"/>
  <c r="I5" i="9"/>
  <c r="J5" i="9" s="1"/>
  <c r="D5" i="9"/>
  <c r="I4" i="9"/>
  <c r="J4" i="9" s="1"/>
  <c r="D4" i="9"/>
  <c r="I3" i="9"/>
  <c r="D3" i="9"/>
  <c r="I2" i="9"/>
  <c r="K2" i="9" s="1"/>
  <c r="J6" i="7"/>
  <c r="D6" i="7"/>
  <c r="D5" i="7"/>
  <c r="J4" i="7"/>
  <c r="D4" i="7"/>
  <c r="D3" i="7"/>
  <c r="D2" i="7"/>
  <c r="J11" i="5"/>
  <c r="J10" i="5"/>
  <c r="J9" i="5"/>
  <c r="J8" i="5"/>
  <c r="J7" i="5"/>
  <c r="I7" i="5"/>
  <c r="I8" i="5"/>
  <c r="I9" i="5"/>
  <c r="I10" i="5"/>
  <c r="I11" i="5"/>
  <c r="H7" i="5"/>
  <c r="H8" i="5"/>
  <c r="H9" i="5"/>
  <c r="H10" i="5"/>
  <c r="H11" i="5"/>
  <c r="D7" i="5"/>
  <c r="D8" i="5"/>
  <c r="D9" i="5"/>
  <c r="D10" i="5"/>
  <c r="D11" i="5"/>
  <c r="H6" i="5"/>
  <c r="D6" i="5"/>
  <c r="H5" i="5"/>
  <c r="D5" i="5"/>
  <c r="H4" i="5"/>
  <c r="I4" i="5" s="1"/>
  <c r="D4" i="5"/>
  <c r="H3" i="5"/>
  <c r="D3" i="5"/>
  <c r="H2" i="5"/>
  <c r="J2" i="5" s="1"/>
  <c r="D2" i="5"/>
  <c r="I47" i="1"/>
  <c r="K47" i="1" s="1"/>
  <c r="I48" i="1"/>
  <c r="I49" i="1"/>
  <c r="I50" i="1"/>
  <c r="J50" i="1" s="1"/>
  <c r="I51" i="1"/>
  <c r="D47" i="1"/>
  <c r="D48" i="1"/>
  <c r="D49" i="1"/>
  <c r="D50" i="1"/>
  <c r="D51" i="1"/>
  <c r="K13" i="9" l="1"/>
  <c r="J13" i="9"/>
  <c r="K16" i="9"/>
  <c r="K6" i="7"/>
  <c r="K46" i="11"/>
  <c r="K44" i="11"/>
  <c r="K43" i="11"/>
  <c r="K3" i="9"/>
  <c r="K14" i="9"/>
  <c r="K15" i="9"/>
  <c r="J16" i="9"/>
  <c r="J12" i="9"/>
  <c r="K51" i="1"/>
  <c r="J47" i="1"/>
  <c r="K49" i="1"/>
  <c r="K48" i="1"/>
  <c r="J51" i="1"/>
  <c r="K50" i="1"/>
  <c r="J49" i="1"/>
  <c r="J48" i="1"/>
  <c r="K45" i="11"/>
  <c r="J42" i="11"/>
  <c r="J3" i="9"/>
  <c r="K8" i="9"/>
  <c r="K6" i="9"/>
  <c r="K11" i="9"/>
  <c r="K5" i="9"/>
  <c r="J2" i="9"/>
  <c r="K10" i="9"/>
  <c r="K7" i="9"/>
  <c r="J6" i="9"/>
  <c r="K9" i="9"/>
  <c r="K4" i="9"/>
  <c r="J8" i="9"/>
  <c r="J2" i="7"/>
  <c r="J5" i="7"/>
  <c r="J5" i="5"/>
  <c r="J6" i="5"/>
  <c r="J4" i="5"/>
  <c r="J3" i="5"/>
  <c r="I6" i="5"/>
  <c r="I3" i="5"/>
  <c r="I5" i="5"/>
  <c r="I2" i="5"/>
  <c r="I42" i="1"/>
  <c r="K42" i="1" s="1"/>
  <c r="I43" i="1"/>
  <c r="I44" i="1"/>
  <c r="I45" i="1"/>
  <c r="J45" i="1" s="1"/>
  <c r="I46" i="1"/>
  <c r="D42" i="1"/>
  <c r="D43" i="1"/>
  <c r="D44" i="1"/>
  <c r="D45" i="1"/>
  <c r="D46" i="1"/>
  <c r="O7" i="4"/>
  <c r="O8" i="4"/>
  <c r="O9" i="4"/>
  <c r="O10" i="4"/>
  <c r="O11" i="4"/>
  <c r="O3" i="4"/>
  <c r="O4" i="4"/>
  <c r="O5" i="4"/>
  <c r="O6" i="4"/>
  <c r="O2" i="4"/>
  <c r="K43" i="1" l="1"/>
  <c r="K46" i="1"/>
  <c r="J46" i="1"/>
  <c r="J42" i="1"/>
  <c r="K45" i="1"/>
  <c r="K44" i="1"/>
  <c r="J44" i="1"/>
  <c r="J43" i="1"/>
  <c r="I7" i="4"/>
  <c r="J7" i="4" s="1"/>
  <c r="I8" i="4"/>
  <c r="J8" i="4" s="1"/>
  <c r="I9" i="4"/>
  <c r="I10" i="4"/>
  <c r="J10" i="4" s="1"/>
  <c r="I11" i="4"/>
  <c r="K11" i="4" s="1"/>
  <c r="D7" i="4"/>
  <c r="D8" i="4"/>
  <c r="D9" i="4"/>
  <c r="D10" i="4"/>
  <c r="D11" i="4"/>
  <c r="I6" i="4"/>
  <c r="I5" i="4"/>
  <c r="I4" i="4"/>
  <c r="I3" i="4"/>
  <c r="J3" i="4" s="1"/>
  <c r="K2" i="4"/>
  <c r="J33" i="1"/>
  <c r="J34" i="1"/>
  <c r="J35" i="1"/>
  <c r="J36" i="1"/>
  <c r="D32" i="1"/>
  <c r="D33" i="1"/>
  <c r="D34" i="1"/>
  <c r="D35" i="1"/>
  <c r="D36" i="1"/>
  <c r="K36" i="1" l="1"/>
  <c r="K35" i="1"/>
  <c r="K7" i="4"/>
  <c r="K9" i="4"/>
  <c r="J9" i="4"/>
  <c r="K4" i="4"/>
  <c r="K8" i="4"/>
  <c r="J11" i="4"/>
  <c r="K10" i="4"/>
  <c r="J32" i="1"/>
  <c r="K34" i="1"/>
  <c r="K32" i="1"/>
  <c r="K33" i="1"/>
  <c r="K5" i="4"/>
  <c r="J5" i="4"/>
  <c r="K3" i="4"/>
  <c r="K6" i="4"/>
  <c r="J2" i="4"/>
  <c r="J4" i="4"/>
  <c r="J6" i="4"/>
  <c r="I27" i="1"/>
  <c r="K27" i="1" s="1"/>
  <c r="I28" i="1"/>
  <c r="I29" i="1"/>
  <c r="I30" i="1"/>
  <c r="J30" i="1" s="1"/>
  <c r="I31" i="1"/>
  <c r="D27" i="1"/>
  <c r="D28" i="1"/>
  <c r="D29" i="1"/>
  <c r="D30" i="1"/>
  <c r="D31" i="1"/>
  <c r="I22" i="1"/>
  <c r="J22" i="1" s="1"/>
  <c r="I23" i="1"/>
  <c r="J23" i="1" s="1"/>
  <c r="I24" i="1"/>
  <c r="J24" i="1" s="1"/>
  <c r="I25" i="1"/>
  <c r="J25" i="1" s="1"/>
  <c r="I26" i="1"/>
  <c r="J26" i="1" s="1"/>
  <c r="D22" i="1"/>
  <c r="D23" i="1"/>
  <c r="D24" i="1"/>
  <c r="D25" i="1"/>
  <c r="D26" i="1"/>
  <c r="I17" i="1"/>
  <c r="J17" i="1" s="1"/>
  <c r="I18" i="1"/>
  <c r="J18" i="1" s="1"/>
  <c r="I19" i="1"/>
  <c r="I20" i="1"/>
  <c r="J20" i="1" s="1"/>
  <c r="I21" i="1"/>
  <c r="D17" i="1"/>
  <c r="D18" i="1"/>
  <c r="D19" i="1"/>
  <c r="D20" i="1"/>
  <c r="D2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I3" i="1"/>
  <c r="J3" i="1" s="1"/>
  <c r="I4" i="1"/>
  <c r="J4" i="1" s="1"/>
  <c r="I5" i="1"/>
  <c r="J5" i="1" s="1"/>
  <c r="I6" i="1"/>
  <c r="J6" i="1" s="1"/>
  <c r="I7" i="1"/>
  <c r="K7" i="1" s="1"/>
  <c r="I8" i="1"/>
  <c r="I9" i="1"/>
  <c r="K9" i="1" s="1"/>
  <c r="I10" i="1"/>
  <c r="I11" i="1"/>
  <c r="J11" i="1" s="1"/>
  <c r="I12" i="1"/>
  <c r="J12" i="1" s="1"/>
  <c r="I13" i="1"/>
  <c r="J13" i="1" s="1"/>
  <c r="I14" i="1"/>
  <c r="J14" i="1" s="1"/>
  <c r="I15" i="1"/>
  <c r="J15" i="1" s="1"/>
  <c r="I16" i="1"/>
  <c r="I2" i="1"/>
  <c r="K2" i="1" s="1"/>
  <c r="K10" i="1" l="1"/>
  <c r="K17" i="1"/>
  <c r="J7" i="1"/>
  <c r="K21" i="1"/>
  <c r="K8" i="1"/>
  <c r="K12" i="1"/>
  <c r="K29" i="1"/>
  <c r="K28" i="1"/>
  <c r="K13" i="1"/>
  <c r="K14" i="1"/>
  <c r="K19" i="1"/>
  <c r="K20" i="1"/>
  <c r="J29" i="1"/>
  <c r="K18" i="1"/>
  <c r="J28" i="1"/>
  <c r="K26" i="1"/>
  <c r="J27" i="1"/>
  <c r="K16" i="1"/>
  <c r="J21" i="1"/>
  <c r="K31" i="1"/>
  <c r="K15" i="1"/>
  <c r="J19" i="1"/>
  <c r="K30" i="1"/>
  <c r="J2" i="1"/>
  <c r="J9" i="1"/>
  <c r="K3" i="1"/>
  <c r="K11" i="1"/>
  <c r="J31" i="1"/>
  <c r="J16" i="1"/>
  <c r="J8" i="1"/>
  <c r="K4" i="1"/>
  <c r="K22" i="1"/>
  <c r="K5" i="1"/>
  <c r="K23" i="1"/>
  <c r="K24" i="1"/>
  <c r="K25" i="1"/>
  <c r="K6" i="1"/>
  <c r="J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<sst xmlns="http://schemas.openxmlformats.org/spreadsheetml/2006/main" count="590" uniqueCount="104">
  <si>
    <t>Company</t>
  </si>
  <si>
    <t>Year</t>
  </si>
  <si>
    <t>Sales</t>
  </si>
  <si>
    <t>EBITD</t>
  </si>
  <si>
    <t>Income</t>
  </si>
  <si>
    <t>Free Cash Flow</t>
  </si>
  <si>
    <t>Cash Flow Operation</t>
  </si>
  <si>
    <t>APPL</t>
  </si>
  <si>
    <t>FTNT</t>
  </si>
  <si>
    <t>MSFT</t>
  </si>
  <si>
    <t>FB</t>
  </si>
  <si>
    <t>Gross Margin</t>
  </si>
  <si>
    <t>Free Cash Ratio</t>
  </si>
  <si>
    <t>Free Cash Growth</t>
  </si>
  <si>
    <t>CapEx</t>
  </si>
  <si>
    <t>AMZN</t>
  </si>
  <si>
    <t>GOOG</t>
  </si>
  <si>
    <t>NVDA</t>
  </si>
  <si>
    <t>PRU</t>
  </si>
  <si>
    <t>MET</t>
  </si>
  <si>
    <t>KL</t>
  </si>
  <si>
    <t>NFLX</t>
  </si>
  <si>
    <t>Current Liabilities</t>
  </si>
  <si>
    <t>GILD</t>
  </si>
  <si>
    <t>CRM</t>
  </si>
  <si>
    <t>Current Asset</t>
  </si>
  <si>
    <t>Quick Ratio</t>
  </si>
  <si>
    <t>LT Libilities</t>
  </si>
  <si>
    <t>KR</t>
  </si>
  <si>
    <t>M</t>
  </si>
  <si>
    <t>TSLA</t>
  </si>
  <si>
    <t>EXEL</t>
  </si>
  <si>
    <t>SBUX</t>
  </si>
  <si>
    <t>UAL</t>
  </si>
  <si>
    <t>Cash Op</t>
  </si>
  <si>
    <t>DIS</t>
  </si>
  <si>
    <t>ALK</t>
  </si>
  <si>
    <t>Non-Curr Asset</t>
  </si>
  <si>
    <t>BABA</t>
  </si>
  <si>
    <t>Inventory</t>
  </si>
  <si>
    <t>Intangible Assets</t>
  </si>
  <si>
    <t>MU</t>
  </si>
  <si>
    <t>BA</t>
  </si>
  <si>
    <t>GE</t>
  </si>
  <si>
    <t>COST</t>
  </si>
  <si>
    <t>Debt Ratio</t>
  </si>
  <si>
    <t>Inventories</t>
  </si>
  <si>
    <t>Non–Current Assets</t>
  </si>
  <si>
    <t>JPM</t>
  </si>
  <si>
    <t>WFC</t>
  </si>
  <si>
    <t>TimeLine</t>
  </si>
  <si>
    <t>SUM_10</t>
  </si>
  <si>
    <t>MktCap</t>
  </si>
  <si>
    <t>Return</t>
  </si>
  <si>
    <t>NEM</t>
  </si>
  <si>
    <t>GOLD</t>
  </si>
  <si>
    <t>Remark</t>
  </si>
  <si>
    <t>*</t>
  </si>
  <si>
    <t>MMM</t>
  </si>
  <si>
    <t>PG</t>
  </si>
  <si>
    <t>cash flow</t>
  </si>
  <si>
    <t>income</t>
  </si>
  <si>
    <t>INTC</t>
  </si>
  <si>
    <t>AMD</t>
  </si>
  <si>
    <t>T</t>
  </si>
  <si>
    <t>VZ</t>
  </si>
  <si>
    <t>TMUS</t>
  </si>
  <si>
    <t>V</t>
  </si>
  <si>
    <t>SLB</t>
  </si>
  <si>
    <t>XOM</t>
  </si>
  <si>
    <t>OXY</t>
  </si>
  <si>
    <t>PSX</t>
  </si>
  <si>
    <t>CVE</t>
  </si>
  <si>
    <t>Profit Margin</t>
  </si>
  <si>
    <t>DAL</t>
  </si>
  <si>
    <t>HD</t>
  </si>
  <si>
    <t>COLM</t>
  </si>
  <si>
    <t>NKE</t>
  </si>
  <si>
    <t>LULU</t>
  </si>
  <si>
    <t>F</t>
  </si>
  <si>
    <t>GM</t>
  </si>
  <si>
    <t>JWN</t>
  </si>
  <si>
    <t>TTD</t>
  </si>
  <si>
    <t>WMT</t>
  </si>
  <si>
    <t>TGT</t>
  </si>
  <si>
    <t>MCD</t>
  </si>
  <si>
    <t>SQ</t>
  </si>
  <si>
    <t>INTU</t>
  </si>
  <si>
    <t>AVTI</t>
  </si>
  <si>
    <t>EA</t>
  </si>
  <si>
    <t>CVX</t>
  </si>
  <si>
    <t>RDS</t>
  </si>
  <si>
    <t>RTX</t>
  </si>
  <si>
    <t>JBLU</t>
  </si>
  <si>
    <t>TWTR</t>
  </si>
  <si>
    <t>MOMO</t>
  </si>
  <si>
    <t>RCL</t>
  </si>
  <si>
    <t>CCL</t>
  </si>
  <si>
    <t>QCOM</t>
  </si>
  <si>
    <t>SWKS</t>
  </si>
  <si>
    <t>QRVO</t>
  </si>
  <si>
    <t>LUV</t>
  </si>
  <si>
    <t>EDU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</si>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</sst>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.19999999999999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0" fontId="0" fillId="0" borderId="0" xfId="0" applyNumberFormat="1"/>
    <xf numFmtId="2" fontId="0" fillId="0" borderId="0" xfId="0" applyNumberFormat="1"/>
    <xf numFmtId="3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6" fontId="0" fillId="0" borderId="0" xfId="0" applyNumberFormat="1"/>
    <xf numFmtId="1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Free Cash Tech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APPL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'Tech Fact'!$A$52:$A$56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'Tech Fact'!$K$2:$K$6</c:f>
              <c:numCache>
                <c:formatCode>0.00%</c:formatCode>
                <c:ptCount val="5"/>
                <c:pt idx="0">
                  <c:v>1</c:v>
                </c:pt>
                <c:pt idx="1">
                  <c:v>0.7582227681057998</c:v>
                </c:pt>
                <c:pt idx="2">
                  <c:v>0.73047315728587958</c:v>
                </c:pt>
                <c:pt idx="3">
                  <c:v>0.91576572073294393</c:v>
                </c:pt>
                <c:pt idx="4">
                  <c:v>0.84114311829646238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0-4CCF-988B-4E05EE8AD3DF}"/>
            </c:ext>
          </c:extLst>
        </c:ser>
        <c:ser>
          <c:idx val="1"/>
          <c:order val="1"/>
          <c:tx>
            <c:v>FTNT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'Tech Fact'!$A$52:$A$56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'Tech Fact'!$K$7:$K$11</c:f>
              <c:numCache>
                <c:formatCode>0.00%</c:formatCode>
                <c:ptCount val="5"/>
                <c:pt idx="0">
                  <c:v>1</c:v>
                </c:pt>
                <c:pt idx="1">
                  <c:v>1.1341463414634145</c:v>
                </c:pt>
                <c:pt idx="2">
                  <c:v>1.8658536585365855</c:v>
                </c:pt>
                <c:pt idx="3">
                  <c:v>2.3821138211382116</c:v>
                </c:pt>
                <c:pt idx="4">
                  <c:v>2.910569105691057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10-4CCF-988B-4E05EE8AD3DF}"/>
            </c:ext>
          </c:extLst>
        </c:ser>
        <c:ser>
          <c:idx val="2"/>
          <c:order val="2"/>
          <c:tx>
            <c:strRef>
              <c:f>'Tech Fact'!$T$12</c:f>
              <c:strCache>
                <c:ptCount val="1"/>
                <c:pt idx="0">
                  <c:v>MSFT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'Tech Fact'!$A$52:$A$56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'Tech Fact'!$K$12:$K$16</c:f>
              <c:numCache>
                <c:formatCode>0.00%</c:formatCode>
                <c:ptCount val="5"/>
                <c:pt idx="0">
                  <c:v>1</c:v>
                </c:pt>
                <c:pt idx="1">
                  <c:v>1.0797890733056708</c:v>
                </c:pt>
                <c:pt idx="2">
                  <c:v>1.3562413554633472</c:v>
                </c:pt>
                <c:pt idx="3">
                  <c:v>1.3940179806362378</c:v>
                </c:pt>
                <c:pt idx="4">
                  <c:v>1.6536998616874135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10-4CCF-988B-4E05EE8AD3DF}"/>
            </c:ext>
          </c:extLst>
        </c:ser>
        <c:ser>
          <c:idx val="3"/>
          <c:order val="3"/>
          <c:tx>
            <c:strRef>
              <c:f>'Tech Fact'!$T$17</c:f>
              <c:strCache>
                <c:ptCount val="1"/>
                <c:pt idx="0">
                  <c:v>FB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'Tech Fact'!$A$52:$A$56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'Tech Fact'!$K$17:$K$21</c:f>
              <c:numCache>
                <c:formatCode>0.00%</c:formatCode>
                <c:ptCount val="5"/>
                <c:pt idx="0">
                  <c:v>1</c:v>
                </c:pt>
                <c:pt idx="1">
                  <c:v>1.9119486504279131</c:v>
                </c:pt>
                <c:pt idx="2">
                  <c:v>2.8773864384463463</c:v>
                </c:pt>
                <c:pt idx="3">
                  <c:v>2.5278143515470703</c:v>
                </c:pt>
                <c:pt idx="4">
                  <c:v>3.4911125740618827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10-4CCF-988B-4E05EE8AD3DF}"/>
            </c:ext>
          </c:extLst>
        </c:ser>
        <c:ser>
          <c:idx val="4"/>
          <c:order val="4"/>
          <c:tx>
            <c:strRef>
              <c:f>'Tech Fact'!$T$22</c:f>
              <c:strCache>
                <c:ptCount val="1"/>
                <c:pt idx="0">
                  <c:v>AMZN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'Tech Fact'!$A$52:$A$56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'Tech Fact'!$K$22:$K$26</c:f>
              <c:numCache>
                <c:formatCode>0.00%</c:formatCode>
                <c:ptCount val="5"/>
                <c:pt idx="0">
                  <c:v>1</c:v>
                </c:pt>
                <c:pt idx="1">
                  <c:v>1.3239667166825808</c:v>
                </c:pt>
                <c:pt idx="2">
                  <c:v>0.88378120311008046</c:v>
                </c:pt>
                <c:pt idx="3">
                  <c:v>2.3592961396808074</c:v>
                </c:pt>
                <c:pt idx="4">
                  <c:v>2.9536216068749148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10-4CCF-988B-4E05EE8AD3DF}"/>
            </c:ext>
          </c:extLst>
        </c:ser>
        <c:ser>
          <c:idx val="5"/>
          <c:order val="5"/>
          <c:tx>
            <c:strRef>
              <c:f>'Tech Fact'!$T$27</c:f>
              <c:strCache>
                <c:ptCount val="1"/>
                <c:pt idx="0">
                  <c:v>GOOG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'Tech Fact'!$A$52:$A$56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'Tech Fact'!$K$27:$K$31</c:f>
              <c:numCache>
                <c:formatCode>0.00%</c:formatCode>
                <c:ptCount val="5"/>
                <c:pt idx="0">
                  <c:v>1</c:v>
                </c:pt>
                <c:pt idx="1">
                  <c:v>1.1926291968780307</c:v>
                </c:pt>
                <c:pt idx="2">
                  <c:v>1.1040964300558813</c:v>
                </c:pt>
                <c:pt idx="3">
                  <c:v>1.0544497298295847</c:v>
                </c:pt>
                <c:pt idx="4">
                  <c:v>1.430379162240798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10-4CCF-988B-4E05EE8AD3DF}"/>
            </c:ext>
          </c:extLst>
        </c:ser>
        <c:ser>
          <c:idx val="6"/>
          <c:order val="6"/>
          <c:tx>
            <c:strRef>
              <c:f>'Tech Fact'!$T$32</c:f>
              <c:strCache>
                <c:ptCount val="1"/>
                <c:pt idx="0">
                  <c:v>NVDA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'Tech Fact'!$A$52:$A$56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'Tech Fact'!$K$32:$K$36</c:f>
              <c:numCache>
                <c:formatCode>0.00%</c:formatCode>
                <c:ptCount val="5"/>
                <c:pt idx="0">
                  <c:v>1</c:v>
                </c:pt>
                <c:pt idx="1">
                  <c:v>1.3737373737373737</c:v>
                </c:pt>
                <c:pt idx="2">
                  <c:v>2.6712580348943984</c:v>
                </c:pt>
                <c:pt idx="3">
                  <c:v>2.8861340679522498</c:v>
                </c:pt>
                <c:pt idx="4">
                  <c:v>3.9228650137741048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09-40F1-8381-CA38B497E5D6}"/>
            </c:ext>
          </c:extLst>
        </c:ser>
        <c:ser>
          <c:idx val="7"/>
          <c:order val="7"/>
          <c:tx>
            <c:strRef>
              <c:f>'Tech Fact'!$T$42</c:f>
              <c:strCache>
                <c:ptCount val="1"/>
                <c:pt idx="0">
                  <c:v>CRM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'Tech Fact'!$A$52:$A$56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'Tech Fact'!$K$42:$K$46</c:f>
              <c:numCache>
                <c:formatCode>0.00%</c:formatCode>
                <c:ptCount val="5"/>
                <c:pt idx="0">
                  <c:v>1</c:v>
                </c:pt>
                <c:pt idx="1">
                  <c:v>1.2776523702031604</c:v>
                </c:pt>
                <c:pt idx="2">
                  <c:v>1.6583897667419112</c:v>
                </c:pt>
                <c:pt idx="3">
                  <c:v>2.1091045899172309</c:v>
                </c:pt>
                <c:pt idx="4">
                  <c:v>2.7750188111361926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E9-4CB1-850F-2FDF6CABD839}"/>
            </c:ext>
          </c:extLst>
        </c:ser>
        <c:ser>
          <c:idx val="8"/>
          <c:order val="8"/>
          <c:tx>
            <c:strRef>
              <c:f>'Tech Fact'!$T$52</c:f>
              <c:strCache>
                <c:ptCount val="1"/>
                <c:pt idx="0">
                  <c:v>BABA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'Tech Fact'!$A$52:$A$56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'Tech Fact'!$K$52:$K$56</c:f>
              <c:numCache>
                <c:formatCode>0.00%</c:formatCode>
                <c:ptCount val="5"/>
                <c:pt idx="0">
                  <c:v>1</c:v>
                </c:pt>
                <c:pt idx="1">
                  <c:v>1.3194598594154643</c:v>
                </c:pt>
                <c:pt idx="2">
                  <c:v>1.6871994080651129</c:v>
                </c:pt>
                <c:pt idx="3">
                  <c:v>2.8113207547169812</c:v>
                </c:pt>
                <c:pt idx="4">
                  <c:v>3.1831298557158711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5-4FC6-A4C6-79E7F90EB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9471784"/>
        <c:axId val="869471128"/>
      </c:lineChart>
      <c:catAx>
        <c:axId val="86947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471128"/>
        <c:crosses val="autoZero"/>
        <c:auto val="1"/>
        <c:lblAlgn val="ctr"/>
        <c:lblOffset val="100"/>
        <c:noMultiLvlLbl val="0"/>
      </c:catAx>
      <c:valAx>
        <c:axId val="86947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4717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628650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D2BF48-A328-4FE5-A6F9-1824D6170F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A356-5027-4A1F-A65A-5324576EF0C5}">
  <dimension ref="A1:T118"/>
  <sheetViews>
    <sheetView workbookViewId="0">
      <selection activeCell="F2" sqref="F2"/>
    </sheetView>
  </sheetViews>
  <sheetFormatPr defaultRowHeight="14.5" x14ac:dyDescent="0.35"/>
  <cols>
    <col min="1" max="1" width="14.90625" customWidth="1"/>
    <col min="2" max="2" width="15.453125" customWidth="1"/>
    <col min="3" max="3" width="15.36328125" customWidth="1"/>
    <col min="4" max="4" width="11.453125" customWidth="1"/>
    <col min="5" max="5" width="10.26953125" customWidth="1"/>
    <col min="6" max="6" width="11.54296875" customWidth="1"/>
    <col min="7" max="7" width="14.81640625" customWidth="1"/>
    <col min="8" max="8" width="11" customWidth="1"/>
    <col min="9" max="9" width="13.08984375" customWidth="1"/>
    <col min="10" max="10" width="13" customWidth="1"/>
    <col min="11" max="11" width="14.81640625" customWidth="1"/>
    <col min="12" max="13" width="11.90625" customWidth="1"/>
    <col min="14" max="14" width="15.36328125" customWidth="1"/>
    <col min="15" max="15" width="10.81640625" customWidth="1"/>
    <col min="16" max="16" width="12.453125" customWidth="1"/>
    <col min="17" max="17" width="14.36328125" customWidth="1"/>
    <col min="18" max="19" width="11.1796875" customWidth="1"/>
    <col min="20" max="20" width="15.08984375" customWidth="1"/>
  </cols>
  <sheetData>
    <row r="1" spans="1:20" x14ac:dyDescent="0.35">
      <c r="A1" t="s">
        <v>1</v>
      </c>
      <c r="B1" t="s">
        <v>2</v>
      </c>
      <c r="C1" t="s">
        <v>3</v>
      </c>
      <c r="D1" t="s">
        <v>11</v>
      </c>
      <c r="E1" t="s">
        <v>4</v>
      </c>
      <c r="F1" t="s">
        <v>73</v>
      </c>
      <c r="G1" t="s">
        <v>6</v>
      </c>
      <c r="H1" s="1" t="s">
        <v>14</v>
      </c>
      <c r="I1" t="s">
        <v>5</v>
      </c>
      <c r="J1" t="s">
        <v>12</v>
      </c>
      <c r="K1" t="s">
        <v>13</v>
      </c>
      <c r="L1" t="s">
        <v>25</v>
      </c>
      <c r="M1" t="s">
        <v>39</v>
      </c>
      <c r="N1" t="s">
        <v>22</v>
      </c>
      <c r="O1" t="s">
        <v>26</v>
      </c>
      <c r="P1" t="s">
        <v>37</v>
      </c>
      <c r="Q1" t="s">
        <v>40</v>
      </c>
      <c r="R1" t="s">
        <v>27</v>
      </c>
      <c r="S1" t="s">
        <v>45</v>
      </c>
      <c r="T1" t="s">
        <v>0</v>
      </c>
    </row>
    <row r="2" spans="1:20" x14ac:dyDescent="0.35">
      <c r="A2">
        <v>2015</v>
      </c>
      <c r="B2" s="1">
        <v>233715</v>
      </c>
      <c r="C2" s="1">
        <v>81730</v>
      </c>
      <c r="D2" s="2">
        <f t="shared" ref="D2:D41" si="0">C2/B2</f>
        <v>0.34969942023404577</v>
      </c>
      <c r="E2" s="1">
        <v>53394</v>
      </c>
      <c r="F2" s="2">
        <f>E2/B2</f>
        <v>0.22845773698735639</v>
      </c>
      <c r="G2" s="1">
        <v>81266</v>
      </c>
      <c r="H2" s="1">
        <v>11247</v>
      </c>
      <c r="I2" s="1">
        <f t="shared" ref="I2:I31" si="1">G2-H2</f>
        <v>70019</v>
      </c>
      <c r="J2" s="2">
        <f t="shared" ref="J2:J41" si="2">I2/B2</f>
        <v>0.29959138266692337</v>
      </c>
      <c r="K2" s="2">
        <f>I2/I2</f>
        <v>1</v>
      </c>
      <c r="L2" s="1">
        <v>89378</v>
      </c>
      <c r="M2" s="1">
        <v>2349</v>
      </c>
      <c r="N2" s="1">
        <v>80610</v>
      </c>
      <c r="O2" s="3">
        <f t="shared" ref="O2:O41" si="3">(L2-M2)/N2</f>
        <v>1.0796303188190051</v>
      </c>
      <c r="P2" s="1">
        <v>201101</v>
      </c>
      <c r="Q2" s="1">
        <v>9009</v>
      </c>
      <c r="R2" s="1">
        <v>90514</v>
      </c>
      <c r="S2" s="3">
        <f t="shared" ref="S2:S41" si="4">(N2+R2)/(L2+P2-M2-Q2)</f>
        <v>0.61308178173623629</v>
      </c>
      <c r="T2" s="1" t="s">
        <v>7</v>
      </c>
    </row>
    <row r="3" spans="1:20" x14ac:dyDescent="0.35">
      <c r="A3">
        <v>2016</v>
      </c>
      <c r="B3" s="1">
        <v>215091</v>
      </c>
      <c r="C3" s="1">
        <v>69276</v>
      </c>
      <c r="D3" s="2">
        <f t="shared" si="0"/>
        <v>0.32207763225797453</v>
      </c>
      <c r="E3" s="1">
        <v>45687</v>
      </c>
      <c r="F3" s="2">
        <f t="shared" ref="F3:F66" si="5">E3/B3</f>
        <v>0.21240777159434843</v>
      </c>
      <c r="G3" s="1">
        <v>65824</v>
      </c>
      <c r="H3" s="1">
        <v>12734</v>
      </c>
      <c r="I3" s="1">
        <f t="shared" si="1"/>
        <v>53090</v>
      </c>
      <c r="J3" s="2">
        <f t="shared" si="2"/>
        <v>0.24682576211928905</v>
      </c>
      <c r="K3" s="2">
        <f>I3/I2</f>
        <v>0.7582227681057998</v>
      </c>
      <c r="L3" s="1">
        <v>106869</v>
      </c>
      <c r="M3" s="1">
        <v>2132</v>
      </c>
      <c r="N3" s="1">
        <v>79006</v>
      </c>
      <c r="O3" s="3">
        <f t="shared" si="3"/>
        <v>1.3256841252563096</v>
      </c>
      <c r="P3" s="1">
        <v>214817</v>
      </c>
      <c r="Q3" s="1">
        <v>8620</v>
      </c>
      <c r="R3" s="1">
        <v>114431</v>
      </c>
      <c r="S3" s="3">
        <f t="shared" si="4"/>
        <v>0.62211594743579024</v>
      </c>
      <c r="T3" s="1" t="s">
        <v>7</v>
      </c>
    </row>
    <row r="4" spans="1:20" x14ac:dyDescent="0.35">
      <c r="A4">
        <v>2017</v>
      </c>
      <c r="B4" s="1">
        <v>229234</v>
      </c>
      <c r="C4" s="1">
        <v>70744</v>
      </c>
      <c r="D4" s="2">
        <f t="shared" si="0"/>
        <v>0.30861041555790153</v>
      </c>
      <c r="E4" s="1">
        <v>48351</v>
      </c>
      <c r="F4" s="2">
        <f t="shared" si="5"/>
        <v>0.21092420845075338</v>
      </c>
      <c r="G4" s="1">
        <v>63598</v>
      </c>
      <c r="H4" s="1">
        <v>12451</v>
      </c>
      <c r="I4" s="1">
        <f t="shared" si="1"/>
        <v>51147</v>
      </c>
      <c r="J4" s="2">
        <f t="shared" si="2"/>
        <v>0.22312135198094524</v>
      </c>
      <c r="K4" s="2">
        <f>I4/I2</f>
        <v>0.73047315728587958</v>
      </c>
      <c r="L4" s="1">
        <v>128645</v>
      </c>
      <c r="M4" s="1">
        <v>4855</v>
      </c>
      <c r="N4" s="1">
        <v>100814</v>
      </c>
      <c r="O4" s="3">
        <f t="shared" si="3"/>
        <v>1.2279048544844962</v>
      </c>
      <c r="P4" s="1">
        <v>246674</v>
      </c>
      <c r="Q4" s="1">
        <v>8015</v>
      </c>
      <c r="R4" s="1">
        <v>140458</v>
      </c>
      <c r="S4" s="3">
        <f t="shared" si="4"/>
        <v>0.66567158414011351</v>
      </c>
      <c r="T4" s="1" t="s">
        <v>7</v>
      </c>
    </row>
    <row r="5" spans="1:20" x14ac:dyDescent="0.35">
      <c r="A5">
        <v>2018</v>
      </c>
      <c r="B5" s="1">
        <v>265359</v>
      </c>
      <c r="C5" s="1">
        <v>81565</v>
      </c>
      <c r="D5" s="2">
        <f t="shared" si="0"/>
        <v>0.30737604528205187</v>
      </c>
      <c r="E5" s="1">
        <v>59531</v>
      </c>
      <c r="F5" s="2">
        <f t="shared" si="5"/>
        <v>0.22434136396353618</v>
      </c>
      <c r="G5" s="1">
        <v>77434</v>
      </c>
      <c r="H5" s="1">
        <v>13313</v>
      </c>
      <c r="I5" s="1">
        <f t="shared" si="1"/>
        <v>64121</v>
      </c>
      <c r="J5" s="2">
        <f t="shared" si="2"/>
        <v>0.24163868570502603</v>
      </c>
      <c r="K5" s="2">
        <f>I5/I2</f>
        <v>0.91576572073294393</v>
      </c>
      <c r="L5" s="1">
        <v>131339</v>
      </c>
      <c r="M5" s="1">
        <v>3956</v>
      </c>
      <c r="N5" s="1">
        <v>116866</v>
      </c>
      <c r="O5" s="3">
        <f t="shared" si="3"/>
        <v>1.0899919565998666</v>
      </c>
      <c r="P5" s="1">
        <v>234386</v>
      </c>
      <c r="Q5" s="1">
        <v>0</v>
      </c>
      <c r="R5" s="1">
        <v>141712</v>
      </c>
      <c r="S5" s="3">
        <f t="shared" si="4"/>
        <v>0.71475997114180601</v>
      </c>
      <c r="T5" s="1" t="s">
        <v>7</v>
      </c>
    </row>
    <row r="6" spans="1:20" x14ac:dyDescent="0.35">
      <c r="A6">
        <v>2019</v>
      </c>
      <c r="B6" s="1">
        <v>260174</v>
      </c>
      <c r="C6" s="1">
        <v>76477</v>
      </c>
      <c r="D6" s="2">
        <f t="shared" si="0"/>
        <v>0.29394559025882677</v>
      </c>
      <c r="E6" s="1">
        <v>55256</v>
      </c>
      <c r="F6" s="2">
        <f t="shared" si="5"/>
        <v>0.21238094505984456</v>
      </c>
      <c r="G6" s="1">
        <v>69391</v>
      </c>
      <c r="H6" s="1">
        <v>10495</v>
      </c>
      <c r="I6" s="1">
        <f t="shared" si="1"/>
        <v>58896</v>
      </c>
      <c r="J6" s="2">
        <f t="shared" si="2"/>
        <v>0.22637158209505945</v>
      </c>
      <c r="K6" s="2">
        <f>I6/I2</f>
        <v>0.84114311829646238</v>
      </c>
      <c r="L6" s="1">
        <v>162819</v>
      </c>
      <c r="M6" s="1">
        <v>4106</v>
      </c>
      <c r="N6" s="1">
        <v>105718</v>
      </c>
      <c r="O6" s="3">
        <f t="shared" si="3"/>
        <v>1.501286441287198</v>
      </c>
      <c r="P6" s="1">
        <v>175697</v>
      </c>
      <c r="Q6" s="1">
        <v>0</v>
      </c>
      <c r="R6" s="1">
        <v>142310</v>
      </c>
      <c r="S6" s="3">
        <f t="shared" si="4"/>
        <v>0.74168834664035166</v>
      </c>
      <c r="T6" s="1" t="s">
        <v>7</v>
      </c>
    </row>
    <row r="7" spans="1:20" x14ac:dyDescent="0.35">
      <c r="A7">
        <v>2015</v>
      </c>
      <c r="B7" s="1">
        <v>1009</v>
      </c>
      <c r="C7">
        <v>57</v>
      </c>
      <c r="D7" s="2">
        <f t="shared" si="0"/>
        <v>5.6491575817641228E-2</v>
      </c>
      <c r="E7">
        <v>8</v>
      </c>
      <c r="F7" s="2">
        <f t="shared" si="5"/>
        <v>7.9286422200198214E-3</v>
      </c>
      <c r="G7">
        <v>283</v>
      </c>
      <c r="H7">
        <v>37</v>
      </c>
      <c r="I7" s="1">
        <f t="shared" si="1"/>
        <v>246</v>
      </c>
      <c r="J7" s="2">
        <f t="shared" si="2"/>
        <v>0.24380574826560952</v>
      </c>
      <c r="K7" s="2">
        <f>I7/I7</f>
        <v>1</v>
      </c>
      <c r="L7" s="1">
        <v>1271</v>
      </c>
      <c r="M7">
        <v>84</v>
      </c>
      <c r="N7">
        <v>679</v>
      </c>
      <c r="O7" s="3">
        <f t="shared" si="3"/>
        <v>1.748159057437408</v>
      </c>
      <c r="P7">
        <v>520</v>
      </c>
      <c r="Q7">
        <v>22</v>
      </c>
      <c r="R7">
        <v>356</v>
      </c>
      <c r="S7" s="3">
        <f t="shared" si="4"/>
        <v>0.6142433234421365</v>
      </c>
      <c r="T7" s="1" t="s">
        <v>8</v>
      </c>
    </row>
    <row r="8" spans="1:20" x14ac:dyDescent="0.35">
      <c r="A8">
        <v>2016</v>
      </c>
      <c r="B8" s="1">
        <v>1275</v>
      </c>
      <c r="C8">
        <v>96</v>
      </c>
      <c r="D8" s="2">
        <f t="shared" si="0"/>
        <v>7.5294117647058817E-2</v>
      </c>
      <c r="E8">
        <v>32</v>
      </c>
      <c r="F8" s="2">
        <f t="shared" si="5"/>
        <v>2.5098039215686273E-2</v>
      </c>
      <c r="G8">
        <v>346</v>
      </c>
      <c r="H8">
        <v>67</v>
      </c>
      <c r="I8" s="1">
        <f t="shared" si="1"/>
        <v>279</v>
      </c>
      <c r="J8" s="2">
        <f t="shared" si="2"/>
        <v>0.21882352941176469</v>
      </c>
      <c r="K8" s="2">
        <f>I8/I7</f>
        <v>1.1341463414634145</v>
      </c>
      <c r="L8" s="1">
        <v>1539</v>
      </c>
      <c r="M8">
        <v>107</v>
      </c>
      <c r="N8">
        <v>829</v>
      </c>
      <c r="O8" s="3">
        <f t="shared" si="3"/>
        <v>1.727382388419783</v>
      </c>
      <c r="P8">
        <v>601</v>
      </c>
      <c r="Q8">
        <v>39</v>
      </c>
      <c r="R8">
        <v>473</v>
      </c>
      <c r="S8" s="3">
        <f t="shared" si="4"/>
        <v>0.65295887662988972</v>
      </c>
      <c r="T8" s="1" t="s">
        <v>8</v>
      </c>
    </row>
    <row r="9" spans="1:20" x14ac:dyDescent="0.35">
      <c r="A9">
        <v>2017</v>
      </c>
      <c r="B9" s="1">
        <v>1495</v>
      </c>
      <c r="C9">
        <v>167</v>
      </c>
      <c r="D9" s="2">
        <f t="shared" si="0"/>
        <v>0.11170568561872909</v>
      </c>
      <c r="E9">
        <v>31</v>
      </c>
      <c r="F9" s="2">
        <f t="shared" si="5"/>
        <v>2.0735785953177259E-2</v>
      </c>
      <c r="G9">
        <v>594</v>
      </c>
      <c r="H9">
        <v>135</v>
      </c>
      <c r="I9" s="1">
        <f t="shared" si="1"/>
        <v>459</v>
      </c>
      <c r="J9" s="2">
        <f t="shared" si="2"/>
        <v>0.30702341137123745</v>
      </c>
      <c r="K9" s="2">
        <f>I9/I7</f>
        <v>1.8658536585365855</v>
      </c>
      <c r="L9" s="1">
        <v>1717</v>
      </c>
      <c r="M9">
        <v>77</v>
      </c>
      <c r="N9" s="1">
        <v>1027</v>
      </c>
      <c r="O9" s="3">
        <f t="shared" si="3"/>
        <v>1.5968841285296982</v>
      </c>
      <c r="P9">
        <v>541</v>
      </c>
      <c r="Q9">
        <v>31</v>
      </c>
      <c r="R9" s="1">
        <v>641</v>
      </c>
      <c r="S9" s="3">
        <f t="shared" si="4"/>
        <v>0.77581395348837212</v>
      </c>
      <c r="T9" s="1" t="s">
        <v>8</v>
      </c>
    </row>
    <row r="10" spans="1:20" x14ac:dyDescent="0.35">
      <c r="A10">
        <v>2018</v>
      </c>
      <c r="B10" s="1">
        <v>1801</v>
      </c>
      <c r="C10">
        <v>287</v>
      </c>
      <c r="D10" s="2">
        <f t="shared" si="0"/>
        <v>0.15935591338145474</v>
      </c>
      <c r="E10">
        <v>332</v>
      </c>
      <c r="F10" s="2">
        <f t="shared" si="5"/>
        <v>0.18434203220433093</v>
      </c>
      <c r="G10">
        <v>639</v>
      </c>
      <c r="H10" s="1">
        <v>53</v>
      </c>
      <c r="I10" s="1">
        <f t="shared" si="1"/>
        <v>586</v>
      </c>
      <c r="J10" s="2">
        <f t="shared" si="2"/>
        <v>0.32537479178234313</v>
      </c>
      <c r="K10" s="2">
        <f>I10/I7</f>
        <v>2.3821138211382116</v>
      </c>
      <c r="L10" s="1">
        <v>2221</v>
      </c>
      <c r="M10">
        <v>90</v>
      </c>
      <c r="N10" s="1">
        <v>1256</v>
      </c>
      <c r="O10" s="3">
        <f t="shared" si="3"/>
        <v>1.6966560509554141</v>
      </c>
      <c r="P10">
        <v>857</v>
      </c>
      <c r="Q10">
        <v>60</v>
      </c>
      <c r="R10">
        <v>811</v>
      </c>
      <c r="S10" s="3">
        <f t="shared" si="4"/>
        <v>0.70594262295081966</v>
      </c>
      <c r="T10" s="1" t="s">
        <v>8</v>
      </c>
    </row>
    <row r="11" spans="1:20" x14ac:dyDescent="0.35">
      <c r="A11">
        <v>2019</v>
      </c>
      <c r="B11" s="1">
        <v>2156</v>
      </c>
      <c r="C11">
        <v>406</v>
      </c>
      <c r="D11" s="2">
        <f t="shared" si="0"/>
        <v>0.18831168831168832</v>
      </c>
      <c r="E11">
        <v>327</v>
      </c>
      <c r="F11" s="2">
        <f t="shared" si="5"/>
        <v>0.15166975881261596</v>
      </c>
      <c r="G11">
        <v>808</v>
      </c>
      <c r="H11" s="1">
        <v>92</v>
      </c>
      <c r="I11" s="1">
        <f t="shared" si="1"/>
        <v>716</v>
      </c>
      <c r="J11" s="2">
        <f t="shared" si="2"/>
        <v>0.33209647495361783</v>
      </c>
      <c r="K11" s="2">
        <f>I11/I7</f>
        <v>2.910569105691057</v>
      </c>
      <c r="L11" s="1">
        <v>2769</v>
      </c>
      <c r="M11">
        <v>118</v>
      </c>
      <c r="N11" s="1">
        <v>1474</v>
      </c>
      <c r="O11" s="3">
        <f t="shared" si="3"/>
        <v>1.7985074626865671</v>
      </c>
      <c r="P11" s="1">
        <v>1117</v>
      </c>
      <c r="Q11">
        <v>98</v>
      </c>
      <c r="R11" s="1">
        <v>1090</v>
      </c>
      <c r="S11" s="3">
        <f t="shared" si="4"/>
        <v>0.6986376021798365</v>
      </c>
      <c r="T11" s="1" t="s">
        <v>8</v>
      </c>
    </row>
    <row r="12" spans="1:20" x14ac:dyDescent="0.35">
      <c r="A12">
        <v>2015</v>
      </c>
      <c r="B12" s="1">
        <v>93580</v>
      </c>
      <c r="C12" s="1">
        <v>33572</v>
      </c>
      <c r="D12" s="2">
        <f t="shared" si="0"/>
        <v>0.35875187005770465</v>
      </c>
      <c r="E12" s="1">
        <v>12193</v>
      </c>
      <c r="F12" s="2">
        <f t="shared" si="5"/>
        <v>0.13029493481513144</v>
      </c>
      <c r="G12" s="1">
        <v>29080</v>
      </c>
      <c r="H12" s="1">
        <v>5944</v>
      </c>
      <c r="I12" s="1">
        <f t="shared" si="1"/>
        <v>23136</v>
      </c>
      <c r="J12" s="2">
        <f t="shared" si="2"/>
        <v>0.24723231459713613</v>
      </c>
      <c r="K12" s="2">
        <f>I12/I12</f>
        <v>1</v>
      </c>
      <c r="L12" s="1">
        <v>124712</v>
      </c>
      <c r="M12" s="1">
        <v>2902</v>
      </c>
      <c r="N12" s="1">
        <v>49858</v>
      </c>
      <c r="O12" s="3">
        <f t="shared" si="3"/>
        <v>2.4431385133779937</v>
      </c>
      <c r="P12" s="1">
        <v>51511</v>
      </c>
      <c r="Q12" s="1">
        <v>21774</v>
      </c>
      <c r="R12" s="1">
        <v>46282</v>
      </c>
      <c r="S12" s="3">
        <f t="shared" si="4"/>
        <v>0.63439065108514192</v>
      </c>
      <c r="T12" s="1" t="s">
        <v>9</v>
      </c>
    </row>
    <row r="13" spans="1:20" x14ac:dyDescent="0.35">
      <c r="A13">
        <v>2016</v>
      </c>
      <c r="B13" s="1">
        <v>85320</v>
      </c>
      <c r="C13" s="1">
        <v>27170</v>
      </c>
      <c r="D13" s="2">
        <f t="shared" si="0"/>
        <v>0.3184481950304735</v>
      </c>
      <c r="E13" s="1">
        <v>16798</v>
      </c>
      <c r="F13" s="2">
        <f t="shared" si="5"/>
        <v>0.19688232536333802</v>
      </c>
      <c r="G13" s="1">
        <v>33325</v>
      </c>
      <c r="H13" s="1">
        <v>8343</v>
      </c>
      <c r="I13" s="1">
        <f t="shared" si="1"/>
        <v>24982</v>
      </c>
      <c r="J13" s="2">
        <f t="shared" si="2"/>
        <v>0.29280356305672761</v>
      </c>
      <c r="K13" s="2">
        <f>I13/I12</f>
        <v>1.0797890733056708</v>
      </c>
      <c r="L13" s="1">
        <v>139660</v>
      </c>
      <c r="M13" s="1">
        <v>2251</v>
      </c>
      <c r="N13" s="1">
        <v>59357</v>
      </c>
      <c r="O13" s="3">
        <f t="shared" si="3"/>
        <v>2.3149586400929967</v>
      </c>
      <c r="P13" s="1">
        <v>54034</v>
      </c>
      <c r="Q13" s="1">
        <v>21605</v>
      </c>
      <c r="R13" s="1">
        <v>62340</v>
      </c>
      <c r="S13" s="3">
        <f t="shared" si="4"/>
        <v>0.716547533531954</v>
      </c>
      <c r="T13" s="1" t="s">
        <v>9</v>
      </c>
    </row>
    <row r="14" spans="1:20" x14ac:dyDescent="0.35">
      <c r="A14">
        <v>2017</v>
      </c>
      <c r="B14" s="1">
        <v>89950</v>
      </c>
      <c r="C14" s="1">
        <v>30432</v>
      </c>
      <c r="D14" s="2">
        <f t="shared" si="0"/>
        <v>0.33832128960533631</v>
      </c>
      <c r="E14" s="1">
        <v>21204</v>
      </c>
      <c r="F14" s="2">
        <f t="shared" si="5"/>
        <v>0.23573096164535853</v>
      </c>
      <c r="G14" s="1">
        <v>39507</v>
      </c>
      <c r="H14" s="1">
        <v>8129</v>
      </c>
      <c r="I14" s="1">
        <f t="shared" si="1"/>
        <v>31378</v>
      </c>
      <c r="J14" s="2">
        <f t="shared" si="2"/>
        <v>0.34883824346859366</v>
      </c>
      <c r="K14" s="2">
        <f>I14/I12</f>
        <v>1.3562413554633472</v>
      </c>
      <c r="L14" s="1">
        <v>159851</v>
      </c>
      <c r="M14" s="1">
        <v>2181</v>
      </c>
      <c r="N14" s="1">
        <v>64527</v>
      </c>
      <c r="O14" s="3">
        <f t="shared" si="3"/>
        <v>2.4434732747532042</v>
      </c>
      <c r="P14" s="1">
        <v>81235</v>
      </c>
      <c r="Q14" s="1">
        <v>45228</v>
      </c>
      <c r="R14" s="1">
        <v>104165</v>
      </c>
      <c r="S14" s="3">
        <f t="shared" si="4"/>
        <v>0.87099655612179039</v>
      </c>
      <c r="T14" s="1" t="s">
        <v>9</v>
      </c>
    </row>
    <row r="15" spans="1:20" x14ac:dyDescent="0.35">
      <c r="A15">
        <v>2018</v>
      </c>
      <c r="B15" s="1">
        <v>110360</v>
      </c>
      <c r="C15" s="1">
        <v>44958</v>
      </c>
      <c r="D15" s="2">
        <f t="shared" si="0"/>
        <v>0.40737586081913735</v>
      </c>
      <c r="E15" s="1">
        <v>16571</v>
      </c>
      <c r="F15" s="2">
        <f t="shared" si="5"/>
        <v>0.15015404131931859</v>
      </c>
      <c r="G15" s="1">
        <v>43884</v>
      </c>
      <c r="H15" s="1">
        <v>11632</v>
      </c>
      <c r="I15" s="1">
        <f t="shared" si="1"/>
        <v>32252</v>
      </c>
      <c r="J15" s="2">
        <f t="shared" si="2"/>
        <v>0.29224356650960492</v>
      </c>
      <c r="K15" s="2">
        <f>I15/I12</f>
        <v>1.3940179806362378</v>
      </c>
      <c r="L15" s="1">
        <v>169662</v>
      </c>
      <c r="M15" s="1">
        <v>2662</v>
      </c>
      <c r="N15" s="1">
        <v>58488</v>
      </c>
      <c r="O15" s="3">
        <f t="shared" si="3"/>
        <v>2.8552865545069075</v>
      </c>
      <c r="P15" s="1">
        <v>89186</v>
      </c>
      <c r="Q15" s="1">
        <v>43736</v>
      </c>
      <c r="R15" s="1">
        <v>117642</v>
      </c>
      <c r="S15" s="3">
        <f t="shared" si="4"/>
        <v>0.82904212755942575</v>
      </c>
      <c r="T15" s="1" t="s">
        <v>9</v>
      </c>
    </row>
    <row r="16" spans="1:20" x14ac:dyDescent="0.35">
      <c r="A16">
        <v>2019</v>
      </c>
      <c r="B16" s="1">
        <v>125843</v>
      </c>
      <c r="C16" s="1">
        <v>54559</v>
      </c>
      <c r="D16" s="2">
        <f t="shared" si="0"/>
        <v>0.43354815126784962</v>
      </c>
      <c r="E16" s="1">
        <v>39240</v>
      </c>
      <c r="F16" s="2">
        <f t="shared" si="5"/>
        <v>0.31181710544090652</v>
      </c>
      <c r="G16" s="1">
        <v>52185</v>
      </c>
      <c r="H16" s="1">
        <v>13925</v>
      </c>
      <c r="I16" s="1">
        <f t="shared" si="1"/>
        <v>38260</v>
      </c>
      <c r="J16" s="2">
        <f t="shared" si="2"/>
        <v>0.30402962421429874</v>
      </c>
      <c r="K16" s="2">
        <f>I16/I12</f>
        <v>1.6536998616874135</v>
      </c>
      <c r="L16" s="1">
        <v>175552</v>
      </c>
      <c r="M16" s="1">
        <v>2063</v>
      </c>
      <c r="N16" s="1">
        <v>69420</v>
      </c>
      <c r="O16" s="3">
        <f t="shared" si="3"/>
        <v>2.4991212906943243</v>
      </c>
      <c r="P16" s="1">
        <v>111004</v>
      </c>
      <c r="Q16" s="1">
        <v>49776</v>
      </c>
      <c r="R16" s="1">
        <v>114806</v>
      </c>
      <c r="S16" s="3">
        <f t="shared" si="4"/>
        <v>0.78488562822462793</v>
      </c>
      <c r="T16" s="1" t="s">
        <v>9</v>
      </c>
    </row>
    <row r="17" spans="1:20" x14ac:dyDescent="0.35">
      <c r="A17">
        <v>2015</v>
      </c>
      <c r="B17" s="1">
        <v>17928</v>
      </c>
      <c r="C17" s="1">
        <v>8244</v>
      </c>
      <c r="D17" s="2">
        <f t="shared" si="0"/>
        <v>0.45983935742971888</v>
      </c>
      <c r="E17" s="1">
        <v>3669</v>
      </c>
      <c r="F17" s="2">
        <f t="shared" si="5"/>
        <v>0.20465194109772422</v>
      </c>
      <c r="G17" s="1">
        <v>8599</v>
      </c>
      <c r="H17" s="1">
        <v>2523</v>
      </c>
      <c r="I17" s="1">
        <f t="shared" si="1"/>
        <v>6076</v>
      </c>
      <c r="J17" s="2">
        <f t="shared" si="2"/>
        <v>0.33891120035698347</v>
      </c>
      <c r="K17" s="2">
        <f>I17/I17</f>
        <v>1</v>
      </c>
      <c r="L17" s="1">
        <v>21652</v>
      </c>
      <c r="M17" s="1">
        <v>0</v>
      </c>
      <c r="N17" s="1">
        <v>1925</v>
      </c>
      <c r="O17" s="3">
        <f t="shared" si="3"/>
        <v>11.247792207792207</v>
      </c>
      <c r="P17" s="1">
        <v>27755</v>
      </c>
      <c r="Q17" s="1">
        <v>21272</v>
      </c>
      <c r="R17" s="1">
        <v>5189</v>
      </c>
      <c r="S17" s="3">
        <f t="shared" si="4"/>
        <v>0.25285231917540429</v>
      </c>
      <c r="T17" s="1" t="s">
        <v>10</v>
      </c>
    </row>
    <row r="18" spans="1:20" x14ac:dyDescent="0.35">
      <c r="A18">
        <v>2016</v>
      </c>
      <c r="B18" s="1">
        <v>27638</v>
      </c>
      <c r="C18" s="1">
        <v>14834</v>
      </c>
      <c r="D18" s="2">
        <f t="shared" si="0"/>
        <v>0.53672479918952165</v>
      </c>
      <c r="E18" s="1">
        <v>10188</v>
      </c>
      <c r="F18" s="2">
        <f t="shared" si="5"/>
        <v>0.36862291048556334</v>
      </c>
      <c r="G18" s="1">
        <v>16108</v>
      </c>
      <c r="H18" s="1">
        <v>4491</v>
      </c>
      <c r="I18" s="1">
        <f t="shared" si="1"/>
        <v>11617</v>
      </c>
      <c r="J18" s="2">
        <f t="shared" si="2"/>
        <v>0.4203270858962298</v>
      </c>
      <c r="K18" s="2">
        <f>I18/I17</f>
        <v>1.9119486504279131</v>
      </c>
      <c r="L18" s="1">
        <v>34401</v>
      </c>
      <c r="M18" s="1">
        <v>0</v>
      </c>
      <c r="N18" s="1">
        <v>2875</v>
      </c>
      <c r="O18" s="3">
        <f t="shared" si="3"/>
        <v>11.965565217391305</v>
      </c>
      <c r="P18" s="1">
        <v>30560</v>
      </c>
      <c r="Q18" s="1">
        <v>20657</v>
      </c>
      <c r="R18" s="1">
        <v>5767</v>
      </c>
      <c r="S18" s="3">
        <f t="shared" si="4"/>
        <v>0.19506139400505598</v>
      </c>
      <c r="T18" s="1" t="s">
        <v>10</v>
      </c>
    </row>
    <row r="19" spans="1:20" x14ac:dyDescent="0.35">
      <c r="A19">
        <v>2017</v>
      </c>
      <c r="B19" s="1">
        <v>40653</v>
      </c>
      <c r="C19" s="1">
        <v>23330</v>
      </c>
      <c r="D19" s="2">
        <f t="shared" si="0"/>
        <v>0.57388138636754971</v>
      </c>
      <c r="E19" s="1">
        <v>15920</v>
      </c>
      <c r="F19" s="2">
        <f t="shared" si="5"/>
        <v>0.39160701547241283</v>
      </c>
      <c r="G19" s="1">
        <v>24216</v>
      </c>
      <c r="H19" s="1">
        <v>6733</v>
      </c>
      <c r="I19" s="1">
        <f t="shared" si="1"/>
        <v>17483</v>
      </c>
      <c r="J19" s="2">
        <f t="shared" si="2"/>
        <v>0.43005436253167045</v>
      </c>
      <c r="K19" s="2">
        <f>I19/I17</f>
        <v>2.8773864384463463</v>
      </c>
      <c r="L19" s="1">
        <v>48563</v>
      </c>
      <c r="M19" s="1">
        <v>0</v>
      </c>
      <c r="N19" s="1">
        <v>3760</v>
      </c>
      <c r="O19" s="3">
        <f t="shared" si="3"/>
        <v>12.915691489361702</v>
      </c>
      <c r="P19" s="1">
        <v>35961</v>
      </c>
      <c r="Q19" s="1">
        <v>20105</v>
      </c>
      <c r="R19" s="1">
        <v>10177</v>
      </c>
      <c r="S19" s="3">
        <f t="shared" si="4"/>
        <v>0.21634921374128752</v>
      </c>
      <c r="T19" s="1" t="s">
        <v>10</v>
      </c>
    </row>
    <row r="20" spans="1:20" x14ac:dyDescent="0.35">
      <c r="A20">
        <v>2018</v>
      </c>
      <c r="B20" s="1">
        <v>55838</v>
      </c>
      <c r="C20" s="1">
        <v>29233</v>
      </c>
      <c r="D20" s="2">
        <f t="shared" si="0"/>
        <v>0.52353236147426485</v>
      </c>
      <c r="E20" s="1">
        <v>22111</v>
      </c>
      <c r="F20" s="2">
        <f t="shared" si="5"/>
        <v>0.39598481320964218</v>
      </c>
      <c r="G20" s="1">
        <v>29274</v>
      </c>
      <c r="H20" s="1">
        <v>13915</v>
      </c>
      <c r="I20" s="1">
        <f t="shared" si="1"/>
        <v>15359</v>
      </c>
      <c r="J20" s="2">
        <f t="shared" si="2"/>
        <v>0.2750635767756725</v>
      </c>
      <c r="K20" s="2">
        <f>I20/I17</f>
        <v>2.5278143515470703</v>
      </c>
      <c r="L20" s="1">
        <v>50480</v>
      </c>
      <c r="M20" s="1">
        <v>0</v>
      </c>
      <c r="N20" s="1">
        <v>7017</v>
      </c>
      <c r="O20" s="3">
        <f t="shared" si="3"/>
        <v>7.1939575317087074</v>
      </c>
      <c r="P20" s="1">
        <v>46854</v>
      </c>
      <c r="Q20" s="1">
        <v>19595</v>
      </c>
      <c r="R20" s="1">
        <v>13207</v>
      </c>
      <c r="S20" s="3">
        <f t="shared" si="4"/>
        <v>0.26015256177722895</v>
      </c>
      <c r="T20" s="1" t="s">
        <v>10</v>
      </c>
    </row>
    <row r="21" spans="1:20" x14ac:dyDescent="0.35">
      <c r="A21">
        <v>2019</v>
      </c>
      <c r="B21" s="1">
        <v>70697</v>
      </c>
      <c r="C21" s="1">
        <v>34728</v>
      </c>
      <c r="D21" s="2">
        <f t="shared" si="0"/>
        <v>0.49122310706253447</v>
      </c>
      <c r="E21" s="1">
        <v>18485</v>
      </c>
      <c r="F21" s="2">
        <f t="shared" si="5"/>
        <v>0.26146795479298979</v>
      </c>
      <c r="G21" s="1">
        <v>36314</v>
      </c>
      <c r="H21" s="1">
        <v>15102</v>
      </c>
      <c r="I21" s="1">
        <f t="shared" si="1"/>
        <v>21212</v>
      </c>
      <c r="J21" s="2">
        <f t="shared" si="2"/>
        <v>0.30004102012815254</v>
      </c>
      <c r="K21" s="2">
        <f>I21/I17</f>
        <v>3.4911125740618827</v>
      </c>
      <c r="L21" s="1">
        <v>66225</v>
      </c>
      <c r="M21" s="1">
        <v>0</v>
      </c>
      <c r="N21" s="1">
        <v>15053</v>
      </c>
      <c r="O21" s="3">
        <f t="shared" si="3"/>
        <v>4.3994552580880883</v>
      </c>
      <c r="P21" s="1">
        <v>67151</v>
      </c>
      <c r="Q21" s="1">
        <v>19609</v>
      </c>
      <c r="R21" s="1">
        <v>32322</v>
      </c>
      <c r="S21" s="3">
        <f t="shared" si="4"/>
        <v>0.41642128209410462</v>
      </c>
      <c r="T21" s="1" t="s">
        <v>10</v>
      </c>
    </row>
    <row r="22" spans="1:20" x14ac:dyDescent="0.35">
      <c r="A22">
        <v>2015</v>
      </c>
      <c r="B22" s="1">
        <v>107006</v>
      </c>
      <c r="C22" s="1">
        <v>7304</v>
      </c>
      <c r="D22" s="2">
        <f t="shared" si="0"/>
        <v>6.825785469973647E-2</v>
      </c>
      <c r="E22">
        <v>596</v>
      </c>
      <c r="F22" s="2">
        <f t="shared" si="5"/>
        <v>5.5697811337681999E-3</v>
      </c>
      <c r="G22" s="1">
        <v>11920</v>
      </c>
      <c r="H22" s="1">
        <v>4589</v>
      </c>
      <c r="I22" s="1">
        <f t="shared" si="1"/>
        <v>7331</v>
      </c>
      <c r="J22" s="2">
        <f t="shared" si="2"/>
        <v>6.8510176999420594E-2</v>
      </c>
      <c r="K22" s="2">
        <f>I22/I22</f>
        <v>1</v>
      </c>
      <c r="L22" s="1">
        <v>36474</v>
      </c>
      <c r="M22" s="1">
        <v>10243</v>
      </c>
      <c r="N22" s="1">
        <v>33899</v>
      </c>
      <c r="O22" s="3">
        <f t="shared" si="3"/>
        <v>0.77379863712793884</v>
      </c>
      <c r="P22" s="1">
        <v>28970</v>
      </c>
      <c r="Q22" s="1">
        <v>4521</v>
      </c>
      <c r="R22" s="1">
        <v>18161</v>
      </c>
      <c r="S22" s="3">
        <f t="shared" si="4"/>
        <v>1.0272296764009472</v>
      </c>
      <c r="T22" t="s">
        <v>15</v>
      </c>
    </row>
    <row r="23" spans="1:20" x14ac:dyDescent="0.35">
      <c r="A23">
        <v>2016</v>
      </c>
      <c r="B23" s="1">
        <v>135987</v>
      </c>
      <c r="C23" s="1">
        <v>10753</v>
      </c>
      <c r="D23" s="2">
        <f t="shared" si="0"/>
        <v>7.9073734989373978E-2</v>
      </c>
      <c r="E23" s="1">
        <v>2371</v>
      </c>
      <c r="F23" s="2">
        <f t="shared" si="5"/>
        <v>1.7435490157147373E-2</v>
      </c>
      <c r="G23" s="1">
        <v>16443</v>
      </c>
      <c r="H23" s="1">
        <v>6737</v>
      </c>
      <c r="I23" s="1">
        <f t="shared" si="1"/>
        <v>9706</v>
      </c>
      <c r="J23" s="2">
        <f t="shared" si="2"/>
        <v>7.1374469618419409E-2</v>
      </c>
      <c r="K23" s="2">
        <f>I23/I22</f>
        <v>1.3239667166825808</v>
      </c>
      <c r="L23" s="1">
        <v>45781</v>
      </c>
      <c r="M23" s="1">
        <v>11461</v>
      </c>
      <c r="N23" s="1">
        <v>43816</v>
      </c>
      <c r="O23" s="3">
        <f t="shared" si="3"/>
        <v>0.78327551579331756</v>
      </c>
      <c r="P23" s="1">
        <v>37621</v>
      </c>
      <c r="Q23" s="1">
        <v>4638</v>
      </c>
      <c r="R23" s="1">
        <v>20301</v>
      </c>
      <c r="S23" s="3">
        <f t="shared" si="4"/>
        <v>0.95266184271132048</v>
      </c>
      <c r="T23" t="s">
        <v>15</v>
      </c>
    </row>
    <row r="24" spans="1:20" x14ac:dyDescent="0.35">
      <c r="A24">
        <v>2017</v>
      </c>
      <c r="B24" s="1">
        <v>177866</v>
      </c>
      <c r="C24" s="1">
        <v>13120</v>
      </c>
      <c r="D24" s="2">
        <f t="shared" si="0"/>
        <v>7.3763394915273298E-2</v>
      </c>
      <c r="E24" s="1">
        <v>3033</v>
      </c>
      <c r="F24" s="2">
        <f t="shared" si="5"/>
        <v>1.7052162864178651E-2</v>
      </c>
      <c r="G24" s="1">
        <v>18434</v>
      </c>
      <c r="H24" s="1">
        <v>11955</v>
      </c>
      <c r="I24" s="1">
        <f t="shared" si="1"/>
        <v>6479</v>
      </c>
      <c r="J24" s="2">
        <f t="shared" si="2"/>
        <v>3.642629844939449E-2</v>
      </c>
      <c r="K24" s="2">
        <f>I24/I22</f>
        <v>0.88378120311008046</v>
      </c>
      <c r="L24" s="1">
        <v>60197</v>
      </c>
      <c r="M24" s="1">
        <v>16047</v>
      </c>
      <c r="N24" s="1">
        <v>57883</v>
      </c>
      <c r="O24" s="3">
        <f t="shared" si="3"/>
        <v>0.76274553841369663</v>
      </c>
      <c r="P24" s="1">
        <v>71113</v>
      </c>
      <c r="Q24" s="1">
        <v>16721</v>
      </c>
      <c r="R24" s="1">
        <v>45718</v>
      </c>
      <c r="S24" s="3">
        <f t="shared" si="4"/>
        <v>1.0513385155568185</v>
      </c>
      <c r="T24" t="s">
        <v>15</v>
      </c>
    </row>
    <row r="25" spans="1:20" x14ac:dyDescent="0.35">
      <c r="A25">
        <v>2018</v>
      </c>
      <c r="B25" s="1">
        <v>232887</v>
      </c>
      <c r="C25" s="1">
        <v>24817</v>
      </c>
      <c r="D25" s="2">
        <f t="shared" si="0"/>
        <v>0.10656241009588341</v>
      </c>
      <c r="E25" s="1">
        <v>10073</v>
      </c>
      <c r="F25" s="2">
        <f t="shared" si="5"/>
        <v>4.3252736305590261E-2</v>
      </c>
      <c r="G25" s="1">
        <v>30723</v>
      </c>
      <c r="H25" s="1">
        <v>13427</v>
      </c>
      <c r="I25" s="1">
        <f t="shared" si="1"/>
        <v>17296</v>
      </c>
      <c r="J25" s="2">
        <f t="shared" si="2"/>
        <v>7.4267777935221796E-2</v>
      </c>
      <c r="K25" s="2">
        <f>I25/I22</f>
        <v>2.3592961396808074</v>
      </c>
      <c r="L25" s="1">
        <v>75101</v>
      </c>
      <c r="M25" s="1">
        <v>16655</v>
      </c>
      <c r="N25" s="1">
        <v>68391</v>
      </c>
      <c r="O25" s="3">
        <f t="shared" si="3"/>
        <v>0.85458612975391501</v>
      </c>
      <c r="P25" s="1">
        <v>87547</v>
      </c>
      <c r="Q25" s="1">
        <v>18658</v>
      </c>
      <c r="R25" s="1">
        <v>50708</v>
      </c>
      <c r="S25" s="3">
        <f t="shared" si="4"/>
        <v>0.93532021832174972</v>
      </c>
      <c r="T25" t="s">
        <v>15</v>
      </c>
    </row>
    <row r="26" spans="1:20" x14ac:dyDescent="0.35">
      <c r="A26">
        <v>2019</v>
      </c>
      <c r="B26" s="1">
        <v>280522</v>
      </c>
      <c r="C26" s="1">
        <v>29842</v>
      </c>
      <c r="D26" s="2">
        <f t="shared" si="0"/>
        <v>0.10638024825147403</v>
      </c>
      <c r="E26" s="1">
        <v>11588</v>
      </c>
      <c r="F26" s="2">
        <f t="shared" si="5"/>
        <v>4.1308703060722513E-2</v>
      </c>
      <c r="G26" s="1">
        <v>38514</v>
      </c>
      <c r="H26" s="1">
        <v>16861</v>
      </c>
      <c r="I26" s="1">
        <f t="shared" si="1"/>
        <v>21653</v>
      </c>
      <c r="J26" s="2">
        <f t="shared" si="2"/>
        <v>7.7188241920419787E-2</v>
      </c>
      <c r="K26" s="2">
        <f>I26/I22</f>
        <v>2.9536216068749148</v>
      </c>
      <c r="L26" s="1">
        <v>96334</v>
      </c>
      <c r="M26" s="1">
        <v>19868</v>
      </c>
      <c r="N26" s="1">
        <v>87812</v>
      </c>
      <c r="O26" s="3">
        <f t="shared" si="3"/>
        <v>0.87079214685919915</v>
      </c>
      <c r="P26" s="1">
        <v>128914</v>
      </c>
      <c r="Q26" s="1">
        <v>18803</v>
      </c>
      <c r="R26" s="1">
        <v>75376</v>
      </c>
      <c r="S26" s="3">
        <f t="shared" si="4"/>
        <v>0.87464156889648781</v>
      </c>
      <c r="T26" t="s">
        <v>15</v>
      </c>
    </row>
    <row r="27" spans="1:20" x14ac:dyDescent="0.35">
      <c r="A27">
        <v>2015</v>
      </c>
      <c r="B27" s="1">
        <v>74989</v>
      </c>
      <c r="C27" s="1">
        <v>24384</v>
      </c>
      <c r="D27" s="2">
        <f t="shared" si="0"/>
        <v>0.32516769126138501</v>
      </c>
      <c r="E27" s="1">
        <v>15826</v>
      </c>
      <c r="F27" s="2">
        <f t="shared" si="5"/>
        <v>0.21104428649535265</v>
      </c>
      <c r="G27" s="1">
        <v>26024</v>
      </c>
      <c r="H27" s="1">
        <v>9915</v>
      </c>
      <c r="I27" s="1">
        <f t="shared" si="1"/>
        <v>16109</v>
      </c>
      <c r="J27" s="2">
        <f t="shared" si="2"/>
        <v>0.21481817333208872</v>
      </c>
      <c r="K27" s="2">
        <f>I27/I27</f>
        <v>1</v>
      </c>
      <c r="L27" s="1">
        <v>90114</v>
      </c>
      <c r="M27">
        <v>491</v>
      </c>
      <c r="N27" s="1">
        <v>19310</v>
      </c>
      <c r="O27" s="3">
        <f t="shared" si="3"/>
        <v>4.6412739513205592</v>
      </c>
      <c r="P27" s="1">
        <v>57347</v>
      </c>
      <c r="Q27" s="1">
        <v>19716</v>
      </c>
      <c r="R27" s="1">
        <v>7820</v>
      </c>
      <c r="S27" s="3">
        <f t="shared" si="4"/>
        <v>0.21319565593223003</v>
      </c>
      <c r="T27" t="s">
        <v>16</v>
      </c>
    </row>
    <row r="28" spans="1:20" x14ac:dyDescent="0.35">
      <c r="A28">
        <v>2016</v>
      </c>
      <c r="B28" s="1">
        <v>90272</v>
      </c>
      <c r="C28" s="1">
        <v>29816</v>
      </c>
      <c r="D28" s="2">
        <f t="shared" si="0"/>
        <v>0.33029067706487059</v>
      </c>
      <c r="E28" s="1">
        <v>19478</v>
      </c>
      <c r="F28" s="2">
        <f t="shared" si="5"/>
        <v>0.2157701169797944</v>
      </c>
      <c r="G28" s="1">
        <v>36036</v>
      </c>
      <c r="H28" s="1">
        <v>10212</v>
      </c>
      <c r="I28" s="1">
        <f t="shared" si="1"/>
        <v>25824</v>
      </c>
      <c r="J28" s="2">
        <f t="shared" si="2"/>
        <v>0.28606876993973768</v>
      </c>
      <c r="K28" s="2">
        <f>I28/I26</f>
        <v>1.1926291968780307</v>
      </c>
      <c r="L28" s="1">
        <v>105408</v>
      </c>
      <c r="M28">
        <v>268</v>
      </c>
      <c r="N28" s="1">
        <v>16756</v>
      </c>
      <c r="O28" s="3">
        <f t="shared" si="3"/>
        <v>6.2747672475531155</v>
      </c>
      <c r="P28" s="1">
        <v>62089</v>
      </c>
      <c r="Q28" s="1">
        <v>19775</v>
      </c>
      <c r="R28" s="1">
        <v>11705</v>
      </c>
      <c r="S28" s="3">
        <f t="shared" si="4"/>
        <v>0.19301612706335536</v>
      </c>
      <c r="T28" t="s">
        <v>16</v>
      </c>
    </row>
    <row r="29" spans="1:20" x14ac:dyDescent="0.35">
      <c r="A29">
        <v>2017</v>
      </c>
      <c r="B29" s="1">
        <v>110855</v>
      </c>
      <c r="C29" s="1">
        <v>35781</v>
      </c>
      <c r="D29" s="2">
        <f t="shared" si="0"/>
        <v>0.32277299174597446</v>
      </c>
      <c r="E29" s="1">
        <v>12662</v>
      </c>
      <c r="F29" s="2">
        <f t="shared" si="5"/>
        <v>0.11422128005051645</v>
      </c>
      <c r="G29" s="1">
        <v>37091</v>
      </c>
      <c r="H29" s="1">
        <v>13184</v>
      </c>
      <c r="I29" s="1">
        <f t="shared" si="1"/>
        <v>23907</v>
      </c>
      <c r="J29" s="2">
        <f t="shared" si="2"/>
        <v>0.21566009652248433</v>
      </c>
      <c r="K29" s="2">
        <f>I29/I26</f>
        <v>1.1040964300558813</v>
      </c>
      <c r="L29" s="1">
        <v>124308</v>
      </c>
      <c r="M29">
        <v>749</v>
      </c>
      <c r="N29" s="1">
        <v>24183</v>
      </c>
      <c r="O29" s="3">
        <f t="shared" si="3"/>
        <v>5.1093330025224333</v>
      </c>
      <c r="P29" s="1">
        <v>72987</v>
      </c>
      <c r="Q29" s="1">
        <v>19439</v>
      </c>
      <c r="R29" s="1">
        <v>20610</v>
      </c>
      <c r="S29" s="3">
        <f t="shared" si="4"/>
        <v>0.25291490454922733</v>
      </c>
      <c r="T29" t="s">
        <v>16</v>
      </c>
    </row>
    <row r="30" spans="1:20" x14ac:dyDescent="0.35">
      <c r="A30">
        <v>2018</v>
      </c>
      <c r="B30" s="1">
        <v>136819</v>
      </c>
      <c r="C30" s="1">
        <v>40421</v>
      </c>
      <c r="D30" s="2">
        <f t="shared" si="0"/>
        <v>0.29543411368304112</v>
      </c>
      <c r="E30" s="1">
        <v>30736</v>
      </c>
      <c r="F30" s="2">
        <f t="shared" si="5"/>
        <v>0.22464716157843576</v>
      </c>
      <c r="G30" s="1">
        <v>47971</v>
      </c>
      <c r="H30" s="1">
        <v>25139</v>
      </c>
      <c r="I30" s="1">
        <f t="shared" si="1"/>
        <v>22832</v>
      </c>
      <c r="J30" s="2">
        <f t="shared" si="2"/>
        <v>0.16687740737763029</v>
      </c>
      <c r="K30" s="2">
        <f>I30/I26</f>
        <v>1.0544497298295847</v>
      </c>
      <c r="L30" s="1">
        <v>135676</v>
      </c>
      <c r="M30" s="1">
        <v>1107</v>
      </c>
      <c r="N30" s="1">
        <v>34620</v>
      </c>
      <c r="O30" s="3">
        <f t="shared" si="3"/>
        <v>3.8870306181398036</v>
      </c>
      <c r="P30" s="1">
        <v>97116</v>
      </c>
      <c r="Q30" s="1">
        <v>20108</v>
      </c>
      <c r="R30" s="1">
        <v>20544</v>
      </c>
      <c r="S30" s="3">
        <f t="shared" si="4"/>
        <v>0.26072777286756121</v>
      </c>
      <c r="T30" t="s">
        <v>16</v>
      </c>
    </row>
    <row r="31" spans="1:20" x14ac:dyDescent="0.35">
      <c r="A31">
        <v>2019</v>
      </c>
      <c r="B31" s="1">
        <v>161857</v>
      </c>
      <c r="C31" s="1">
        <v>48133</v>
      </c>
      <c r="D31" s="2">
        <f t="shared" si="0"/>
        <v>0.29737978586035824</v>
      </c>
      <c r="E31" s="1">
        <v>34343</v>
      </c>
      <c r="F31" s="2">
        <f t="shared" si="5"/>
        <v>0.21218112284300339</v>
      </c>
      <c r="G31" s="1">
        <v>54520</v>
      </c>
      <c r="H31" s="1">
        <v>23548</v>
      </c>
      <c r="I31" s="1">
        <f t="shared" si="1"/>
        <v>30972</v>
      </c>
      <c r="J31" s="2">
        <f t="shared" si="2"/>
        <v>0.19135409651729612</v>
      </c>
      <c r="K31" s="2">
        <f>I31/I26</f>
        <v>1.430379162240798</v>
      </c>
      <c r="L31" s="1">
        <v>152578</v>
      </c>
      <c r="M31">
        <v>999</v>
      </c>
      <c r="N31" s="1">
        <v>45221</v>
      </c>
      <c r="O31" s="3">
        <f t="shared" si="3"/>
        <v>3.3519603723933571</v>
      </c>
      <c r="P31" s="1">
        <v>123331</v>
      </c>
      <c r="Q31" s="1">
        <v>22603</v>
      </c>
      <c r="R31" s="1">
        <v>29246</v>
      </c>
      <c r="S31" s="3">
        <f t="shared" si="4"/>
        <v>0.29514440740843495</v>
      </c>
      <c r="T31" t="s">
        <v>16</v>
      </c>
    </row>
    <row r="32" spans="1:20" x14ac:dyDescent="0.35">
      <c r="A32">
        <v>2015</v>
      </c>
      <c r="B32" s="1">
        <v>5010</v>
      </c>
      <c r="C32">
        <v>747</v>
      </c>
      <c r="D32" s="2">
        <f t="shared" si="0"/>
        <v>0.14910179640718563</v>
      </c>
      <c r="E32">
        <v>614</v>
      </c>
      <c r="F32" s="2">
        <f t="shared" si="5"/>
        <v>0.12255489021956088</v>
      </c>
      <c r="G32" s="1">
        <v>1175</v>
      </c>
      <c r="H32" s="1">
        <v>-86</v>
      </c>
      <c r="I32" s="1">
        <f>G32+H32</f>
        <v>1089</v>
      </c>
      <c r="J32" s="2">
        <f t="shared" si="2"/>
        <v>0.21736526946107784</v>
      </c>
      <c r="K32" s="2">
        <f>I32/I32</f>
        <v>1</v>
      </c>
      <c r="L32" s="1">
        <v>6053</v>
      </c>
      <c r="M32">
        <v>418</v>
      </c>
      <c r="N32" s="1">
        <v>2351</v>
      </c>
      <c r="O32" s="3">
        <f t="shared" si="3"/>
        <v>2.3968524032326668</v>
      </c>
      <c r="P32" s="1">
        <v>1317</v>
      </c>
      <c r="Q32">
        <v>784</v>
      </c>
      <c r="R32" s="1">
        <v>550</v>
      </c>
      <c r="S32" s="3">
        <f t="shared" si="4"/>
        <v>0.47033073929961089</v>
      </c>
      <c r="T32" t="s">
        <v>17</v>
      </c>
    </row>
    <row r="33" spans="1:20" x14ac:dyDescent="0.35">
      <c r="A33">
        <v>2016</v>
      </c>
      <c r="B33" s="1">
        <v>6910</v>
      </c>
      <c r="C33" s="1">
        <v>1934</v>
      </c>
      <c r="D33" s="2">
        <f t="shared" si="0"/>
        <v>0.27988422575976846</v>
      </c>
      <c r="E33" s="1">
        <v>1666</v>
      </c>
      <c r="F33" s="2">
        <f t="shared" si="5"/>
        <v>0.24109985528219971</v>
      </c>
      <c r="G33" s="1">
        <v>1672</v>
      </c>
      <c r="H33" s="1">
        <v>-176</v>
      </c>
      <c r="I33" s="1">
        <f>G33+H33</f>
        <v>1496</v>
      </c>
      <c r="J33" s="2">
        <f t="shared" si="2"/>
        <v>0.21649782923299565</v>
      </c>
      <c r="K33" s="2">
        <f>I33/I32</f>
        <v>1.3737373737373737</v>
      </c>
      <c r="L33" s="1">
        <v>8536</v>
      </c>
      <c r="M33">
        <v>794</v>
      </c>
      <c r="N33" s="1">
        <v>1788</v>
      </c>
      <c r="O33" s="3">
        <f t="shared" si="3"/>
        <v>4.3299776286353469</v>
      </c>
      <c r="P33" s="1">
        <v>1305</v>
      </c>
      <c r="Q33">
        <v>722</v>
      </c>
      <c r="R33" s="1">
        <v>2291</v>
      </c>
      <c r="S33" s="3">
        <f t="shared" si="4"/>
        <v>0.48996996996996994</v>
      </c>
      <c r="T33" t="s">
        <v>17</v>
      </c>
    </row>
    <row r="34" spans="1:20" x14ac:dyDescent="0.35">
      <c r="A34">
        <v>2017</v>
      </c>
      <c r="B34" s="1">
        <v>9714</v>
      </c>
      <c r="C34" s="1">
        <v>3210</v>
      </c>
      <c r="D34" s="2">
        <f t="shared" si="0"/>
        <v>0.33045089561457691</v>
      </c>
      <c r="E34" s="1">
        <v>3047</v>
      </c>
      <c r="F34" s="2">
        <f t="shared" si="5"/>
        <v>0.3136709903232448</v>
      </c>
      <c r="G34" s="1">
        <v>3502</v>
      </c>
      <c r="H34" s="1">
        <v>-593</v>
      </c>
      <c r="I34" s="1">
        <f>G34+H34</f>
        <v>2909</v>
      </c>
      <c r="J34" s="2">
        <f t="shared" si="2"/>
        <v>0.29946469013794524</v>
      </c>
      <c r="K34" s="2">
        <f>I34/I32</f>
        <v>2.6712580348943984</v>
      </c>
      <c r="L34" s="1">
        <v>9255</v>
      </c>
      <c r="M34">
        <v>796</v>
      </c>
      <c r="N34" s="1">
        <v>1153</v>
      </c>
      <c r="O34" s="3">
        <f t="shared" si="3"/>
        <v>7.3365134431916736</v>
      </c>
      <c r="P34" s="1">
        <v>1316</v>
      </c>
      <c r="Q34">
        <v>670</v>
      </c>
      <c r="R34" s="1">
        <v>2617</v>
      </c>
      <c r="S34" s="3">
        <f t="shared" si="4"/>
        <v>0.41405820977484897</v>
      </c>
      <c r="T34" t="s">
        <v>17</v>
      </c>
    </row>
    <row r="35" spans="1:20" x14ac:dyDescent="0.35">
      <c r="A35">
        <v>2018</v>
      </c>
      <c r="B35" s="1">
        <v>11716</v>
      </c>
      <c r="C35" s="1">
        <v>2846</v>
      </c>
      <c r="D35" s="2">
        <f t="shared" si="0"/>
        <v>0.24291567087743257</v>
      </c>
      <c r="E35" s="1">
        <v>4141</v>
      </c>
      <c r="F35" s="2">
        <f t="shared" si="5"/>
        <v>0.35344827586206895</v>
      </c>
      <c r="G35" s="1">
        <v>3743</v>
      </c>
      <c r="H35" s="1">
        <v>-600</v>
      </c>
      <c r="I35" s="1">
        <f t="shared" ref="I35:I36" si="6">G35+H35</f>
        <v>3143</v>
      </c>
      <c r="J35" s="2">
        <f t="shared" si="2"/>
        <v>0.26826561966541485</v>
      </c>
      <c r="K35" s="2">
        <f>I35/I32</f>
        <v>2.8861340679522498</v>
      </c>
      <c r="L35" s="1">
        <v>10557</v>
      </c>
      <c r="M35" s="1">
        <v>1575</v>
      </c>
      <c r="N35" s="1">
        <v>1329</v>
      </c>
      <c r="O35" s="3">
        <f t="shared" si="3"/>
        <v>6.758465011286682</v>
      </c>
      <c r="P35" s="1">
        <v>2735</v>
      </c>
      <c r="Q35">
        <v>663</v>
      </c>
      <c r="R35" s="1">
        <v>2621</v>
      </c>
      <c r="S35" s="3">
        <f t="shared" si="4"/>
        <v>0.3573367106929618</v>
      </c>
      <c r="T35" t="s">
        <v>17</v>
      </c>
    </row>
    <row r="36" spans="1:20" x14ac:dyDescent="0.35">
      <c r="A36">
        <v>2019</v>
      </c>
      <c r="B36" s="1">
        <v>10918</v>
      </c>
      <c r="C36" s="1">
        <v>3242</v>
      </c>
      <c r="D36" s="2">
        <f t="shared" si="0"/>
        <v>0.29694083165414908</v>
      </c>
      <c r="E36" s="1">
        <v>2796</v>
      </c>
      <c r="F36" s="2">
        <f t="shared" si="5"/>
        <v>0.25609085913170909</v>
      </c>
      <c r="G36" s="1">
        <v>4761</v>
      </c>
      <c r="H36" s="1">
        <v>-489</v>
      </c>
      <c r="I36" s="1">
        <f t="shared" si="6"/>
        <v>4272</v>
      </c>
      <c r="J36" s="2">
        <f t="shared" si="2"/>
        <v>0.39128045429565855</v>
      </c>
      <c r="K36" s="2">
        <f>I36/I32</f>
        <v>3.9228650137741048</v>
      </c>
      <c r="L36" s="1">
        <v>13690</v>
      </c>
      <c r="M36">
        <v>979</v>
      </c>
      <c r="N36" s="1">
        <v>1784</v>
      </c>
      <c r="O36" s="3">
        <f t="shared" si="3"/>
        <v>7.125</v>
      </c>
      <c r="P36" s="1">
        <v>3625</v>
      </c>
      <c r="Q36">
        <v>667</v>
      </c>
      <c r="R36" s="1">
        <v>3327</v>
      </c>
      <c r="S36" s="3">
        <f t="shared" si="4"/>
        <v>0.32618546173974089</v>
      </c>
      <c r="T36" t="s">
        <v>17</v>
      </c>
    </row>
    <row r="37" spans="1:20" x14ac:dyDescent="0.35">
      <c r="A37">
        <v>2015</v>
      </c>
      <c r="B37" s="1">
        <v>114</v>
      </c>
      <c r="C37">
        <v>40</v>
      </c>
      <c r="D37" s="2">
        <f t="shared" si="0"/>
        <v>0.35087719298245612</v>
      </c>
      <c r="E37">
        <v>16</v>
      </c>
      <c r="F37" s="2">
        <f t="shared" si="5"/>
        <v>0.14035087719298245</v>
      </c>
      <c r="G37">
        <v>-37</v>
      </c>
      <c r="H37">
        <v>5</v>
      </c>
      <c r="I37" s="1">
        <f t="shared" ref="I37:I41" si="7">G37-H37</f>
        <v>-42</v>
      </c>
      <c r="J37" s="2">
        <f t="shared" si="2"/>
        <v>-0.36842105263157893</v>
      </c>
      <c r="K37" s="2">
        <f>I37/ABS(I37)</f>
        <v>-1</v>
      </c>
      <c r="L37">
        <v>200</v>
      </c>
      <c r="M37">
        <v>0</v>
      </c>
      <c r="N37">
        <v>119</v>
      </c>
      <c r="O37" s="3">
        <f t="shared" si="3"/>
        <v>1.680672268907563</v>
      </c>
      <c r="P37">
        <v>10</v>
      </c>
      <c r="Q37">
        <v>2</v>
      </c>
      <c r="R37">
        <v>53</v>
      </c>
      <c r="S37" s="3">
        <f t="shared" si="4"/>
        <v>0.82692307692307687</v>
      </c>
      <c r="T37" t="s">
        <v>82</v>
      </c>
    </row>
    <row r="38" spans="1:20" x14ac:dyDescent="0.35">
      <c r="A38">
        <v>2016</v>
      </c>
      <c r="B38" s="1">
        <v>203</v>
      </c>
      <c r="C38">
        <v>61</v>
      </c>
      <c r="D38" s="2">
        <f t="shared" si="0"/>
        <v>0.30049261083743845</v>
      </c>
      <c r="E38">
        <v>20</v>
      </c>
      <c r="F38" s="2">
        <f t="shared" si="5"/>
        <v>9.8522167487684734E-2</v>
      </c>
      <c r="G38">
        <v>75</v>
      </c>
      <c r="H38">
        <v>7</v>
      </c>
      <c r="I38" s="1">
        <f t="shared" si="7"/>
        <v>68</v>
      </c>
      <c r="J38" s="2">
        <f t="shared" si="2"/>
        <v>0.33497536945812806</v>
      </c>
      <c r="K38" s="2">
        <f>I38/ABS(I37)</f>
        <v>1.6190476190476191</v>
      </c>
      <c r="L38">
        <v>516</v>
      </c>
      <c r="M38">
        <v>0</v>
      </c>
      <c r="N38">
        <v>344</v>
      </c>
      <c r="O38" s="3">
        <f t="shared" si="3"/>
        <v>1.5</v>
      </c>
      <c r="P38">
        <v>21</v>
      </c>
      <c r="Q38">
        <v>3</v>
      </c>
      <c r="R38">
        <v>29</v>
      </c>
      <c r="S38" s="3">
        <f t="shared" si="4"/>
        <v>0.69850187265917607</v>
      </c>
      <c r="T38" t="s">
        <v>82</v>
      </c>
    </row>
    <row r="39" spans="1:20" x14ac:dyDescent="0.35">
      <c r="A39">
        <v>2017</v>
      </c>
      <c r="B39" s="1">
        <v>308</v>
      </c>
      <c r="C39">
        <v>77</v>
      </c>
      <c r="D39" s="2">
        <f t="shared" si="0"/>
        <v>0.25</v>
      </c>
      <c r="E39">
        <v>51</v>
      </c>
      <c r="F39" s="2">
        <f t="shared" si="5"/>
        <v>0.16558441558441558</v>
      </c>
      <c r="G39">
        <v>31</v>
      </c>
      <c r="H39">
        <v>10</v>
      </c>
      <c r="I39" s="1">
        <f t="shared" si="7"/>
        <v>21</v>
      </c>
      <c r="J39" s="2">
        <f t="shared" si="2"/>
        <v>6.8181818181818177E-2</v>
      </c>
      <c r="K39" s="2">
        <f>I39/ABS(I37)</f>
        <v>0.5</v>
      </c>
      <c r="L39">
        <v>766</v>
      </c>
      <c r="M39">
        <v>0</v>
      </c>
      <c r="N39">
        <v>519</v>
      </c>
      <c r="O39" s="3">
        <f t="shared" si="3"/>
        <v>1.4759152215799614</v>
      </c>
      <c r="P39">
        <v>31</v>
      </c>
      <c r="Q39">
        <v>8</v>
      </c>
      <c r="R39">
        <v>33</v>
      </c>
      <c r="S39" s="3">
        <f t="shared" si="4"/>
        <v>0.69961977186311786</v>
      </c>
      <c r="T39" t="s">
        <v>82</v>
      </c>
    </row>
    <row r="40" spans="1:20" x14ac:dyDescent="0.35">
      <c r="A40">
        <v>2018</v>
      </c>
      <c r="B40" s="1">
        <v>477</v>
      </c>
      <c r="C40">
        <v>119</v>
      </c>
      <c r="D40" s="2">
        <f t="shared" si="0"/>
        <v>0.24947589098532494</v>
      </c>
      <c r="E40">
        <v>88</v>
      </c>
      <c r="F40" s="2">
        <f t="shared" si="5"/>
        <v>0.18448637316561844</v>
      </c>
      <c r="G40">
        <v>87</v>
      </c>
      <c r="H40">
        <v>20</v>
      </c>
      <c r="I40" s="1">
        <f t="shared" si="7"/>
        <v>67</v>
      </c>
      <c r="J40" s="2">
        <f t="shared" si="2"/>
        <v>0.14046121593291405</v>
      </c>
      <c r="K40" s="2">
        <f>I40/ABS(I37)</f>
        <v>1.5952380952380953</v>
      </c>
      <c r="L40" s="1">
        <v>1057</v>
      </c>
      <c r="M40">
        <v>0</v>
      </c>
      <c r="N40">
        <v>714</v>
      </c>
      <c r="O40" s="3">
        <f t="shared" si="3"/>
        <v>1.4803921568627452</v>
      </c>
      <c r="P40">
        <v>61</v>
      </c>
      <c r="Q40">
        <v>4</v>
      </c>
      <c r="R40">
        <v>9</v>
      </c>
      <c r="S40" s="3">
        <f t="shared" si="4"/>
        <v>0.64901256732495516</v>
      </c>
      <c r="T40" t="s">
        <v>82</v>
      </c>
    </row>
    <row r="41" spans="1:20" x14ac:dyDescent="0.35">
      <c r="A41">
        <v>2019</v>
      </c>
      <c r="B41" s="1">
        <v>661</v>
      </c>
      <c r="C41">
        <v>134</v>
      </c>
      <c r="D41" s="2">
        <f t="shared" si="0"/>
        <v>0.20272314674735251</v>
      </c>
      <c r="E41">
        <v>108</v>
      </c>
      <c r="F41" s="2">
        <f t="shared" si="5"/>
        <v>0.16338880484114976</v>
      </c>
      <c r="G41">
        <v>60</v>
      </c>
      <c r="H41">
        <v>36</v>
      </c>
      <c r="I41" s="1">
        <f t="shared" si="7"/>
        <v>24</v>
      </c>
      <c r="J41" s="2">
        <f t="shared" si="2"/>
        <v>3.6308623298033284E-2</v>
      </c>
      <c r="K41" s="2">
        <f>I41/ABS(I37)</f>
        <v>0.5714285714285714</v>
      </c>
      <c r="L41" s="1">
        <v>1449</v>
      </c>
      <c r="M41">
        <v>0</v>
      </c>
      <c r="N41">
        <v>930</v>
      </c>
      <c r="O41" s="3">
        <f t="shared" si="3"/>
        <v>1.5580645161290323</v>
      </c>
      <c r="P41">
        <v>280</v>
      </c>
      <c r="Q41">
        <v>0</v>
      </c>
      <c r="R41">
        <v>186</v>
      </c>
      <c r="S41" s="3">
        <f t="shared" si="4"/>
        <v>0.64545980335454023</v>
      </c>
      <c r="T41" t="s">
        <v>82</v>
      </c>
    </row>
    <row r="42" spans="1:20" x14ac:dyDescent="0.35">
      <c r="A42">
        <v>2015</v>
      </c>
      <c r="B42" s="1">
        <v>6667</v>
      </c>
      <c r="C42">
        <v>603</v>
      </c>
      <c r="D42" s="2">
        <f t="shared" ref="D42:D105" si="8">C42/B42</f>
        <v>9.0445477726113693E-2</v>
      </c>
      <c r="E42">
        <v>-47</v>
      </c>
      <c r="F42" s="2">
        <f t="shared" si="5"/>
        <v>-7.0496475176241189E-3</v>
      </c>
      <c r="G42" s="1">
        <v>1613</v>
      </c>
      <c r="H42">
        <v>284</v>
      </c>
      <c r="I42" s="1">
        <f t="shared" ref="I42:I105" si="9">G42-H42</f>
        <v>1329</v>
      </c>
      <c r="J42" s="2">
        <f t="shared" ref="J42:J105" si="10">I42/B42</f>
        <v>0.19934003299835007</v>
      </c>
      <c r="K42" s="2">
        <f>I42/I42</f>
        <v>1</v>
      </c>
      <c r="L42" s="1">
        <v>4347</v>
      </c>
      <c r="M42" s="1">
        <v>0</v>
      </c>
      <c r="N42" s="1">
        <v>5617</v>
      </c>
      <c r="O42" s="3">
        <f>L42/N42</f>
        <v>0.77390065871461633</v>
      </c>
      <c r="P42" s="1">
        <v>8423</v>
      </c>
      <c r="Q42" s="1">
        <v>4503</v>
      </c>
      <c r="R42" s="1">
        <v>7768</v>
      </c>
      <c r="S42" s="3">
        <f t="shared" ref="S42:S100" si="11">(N42+R42)/(L42+P42-M42-Q42)</f>
        <v>1.6190879400024192</v>
      </c>
      <c r="T42" t="s">
        <v>24</v>
      </c>
    </row>
    <row r="43" spans="1:20" x14ac:dyDescent="0.35">
      <c r="A43">
        <v>2016</v>
      </c>
      <c r="B43" s="1">
        <v>8392</v>
      </c>
      <c r="C43">
        <v>709</v>
      </c>
      <c r="D43" s="2">
        <f t="shared" si="8"/>
        <v>8.4485224022878933E-2</v>
      </c>
      <c r="E43">
        <v>180</v>
      </c>
      <c r="F43" s="2">
        <f t="shared" si="5"/>
        <v>2.1448999046711152E-2</v>
      </c>
      <c r="G43" s="1">
        <v>2162</v>
      </c>
      <c r="H43">
        <v>464</v>
      </c>
      <c r="I43" s="1">
        <f t="shared" si="9"/>
        <v>1698</v>
      </c>
      <c r="J43" s="2">
        <f t="shared" si="10"/>
        <v>0.20233555767397521</v>
      </c>
      <c r="K43" s="2">
        <f>I43/I42</f>
        <v>1.2776523702031604</v>
      </c>
      <c r="L43" s="1">
        <v>5997</v>
      </c>
      <c r="M43" s="1">
        <v>0</v>
      </c>
      <c r="N43" s="1">
        <v>7258</v>
      </c>
      <c r="O43" s="3">
        <f>L43/N43</f>
        <v>0.8262606778726922</v>
      </c>
      <c r="P43" s="1">
        <v>11588</v>
      </c>
      <c r="Q43" s="1">
        <v>8558</v>
      </c>
      <c r="R43" s="1">
        <v>10085</v>
      </c>
      <c r="S43" s="3">
        <f t="shared" si="11"/>
        <v>1.9212362911266201</v>
      </c>
      <c r="T43" t="s">
        <v>24</v>
      </c>
    </row>
    <row r="44" spans="1:20" x14ac:dyDescent="0.35">
      <c r="A44">
        <v>2017</v>
      </c>
      <c r="B44" s="1">
        <v>10480</v>
      </c>
      <c r="C44">
        <v>987</v>
      </c>
      <c r="D44" s="2">
        <f t="shared" si="8"/>
        <v>9.4179389312977105E-2</v>
      </c>
      <c r="E44">
        <v>127</v>
      </c>
      <c r="F44" s="2">
        <f t="shared" si="5"/>
        <v>1.2118320610687024E-2</v>
      </c>
      <c r="G44" s="1">
        <v>2738</v>
      </c>
      <c r="H44">
        <v>534</v>
      </c>
      <c r="I44" s="1">
        <f t="shared" si="9"/>
        <v>2204</v>
      </c>
      <c r="J44" s="2">
        <f t="shared" si="10"/>
        <v>0.21030534351145039</v>
      </c>
      <c r="K44" s="2">
        <f>I44/I42</f>
        <v>1.6583897667419112</v>
      </c>
      <c r="L44" s="1">
        <v>9290</v>
      </c>
      <c r="M44" s="1">
        <v>0</v>
      </c>
      <c r="N44" s="1">
        <v>10130</v>
      </c>
      <c r="O44" s="3">
        <f>L44/N44</f>
        <v>0.91707798617966441</v>
      </c>
      <c r="P44" s="1">
        <v>11719</v>
      </c>
      <c r="Q44" s="1">
        <v>8309</v>
      </c>
      <c r="R44" s="1">
        <v>11621</v>
      </c>
      <c r="S44" s="3">
        <f t="shared" si="11"/>
        <v>1.7126771653543307</v>
      </c>
      <c r="T44" t="s">
        <v>24</v>
      </c>
    </row>
    <row r="45" spans="1:20" x14ac:dyDescent="0.35">
      <c r="A45">
        <v>2018</v>
      </c>
      <c r="B45" s="1">
        <v>13282</v>
      </c>
      <c r="C45" s="1">
        <v>1524</v>
      </c>
      <c r="D45" s="2">
        <f t="shared" si="8"/>
        <v>0.11474175575967475</v>
      </c>
      <c r="E45" s="1">
        <v>1110</v>
      </c>
      <c r="F45" s="2">
        <f t="shared" si="5"/>
        <v>8.3571751242282791E-2</v>
      </c>
      <c r="G45" s="1">
        <v>3398</v>
      </c>
      <c r="H45">
        <v>595</v>
      </c>
      <c r="I45" s="1">
        <f t="shared" si="9"/>
        <v>2803</v>
      </c>
      <c r="J45" s="2">
        <f t="shared" si="10"/>
        <v>0.21103749435326005</v>
      </c>
      <c r="K45" s="2">
        <f>I45/I42</f>
        <v>2.1091045899172309</v>
      </c>
      <c r="L45" s="1">
        <v>10683</v>
      </c>
      <c r="M45" s="1">
        <v>0</v>
      </c>
      <c r="N45" s="1">
        <v>11255</v>
      </c>
      <c r="O45" s="3">
        <f>L45/N45</f>
        <v>0.94917814304753445</v>
      </c>
      <c r="P45" s="1">
        <v>20054</v>
      </c>
      <c r="Q45" s="1">
        <v>14926</v>
      </c>
      <c r="R45" s="1">
        <v>15132</v>
      </c>
      <c r="S45" s="3">
        <f t="shared" si="11"/>
        <v>1.6689013977610525</v>
      </c>
      <c r="T45" t="s">
        <v>24</v>
      </c>
    </row>
    <row r="46" spans="1:20" x14ac:dyDescent="0.35">
      <c r="A46">
        <v>2019</v>
      </c>
      <c r="B46" s="1">
        <v>17098</v>
      </c>
      <c r="C46" s="1">
        <v>2598</v>
      </c>
      <c r="D46" s="2">
        <f t="shared" si="8"/>
        <v>0.15194759621008305</v>
      </c>
      <c r="E46">
        <v>126</v>
      </c>
      <c r="F46" s="2">
        <f t="shared" si="5"/>
        <v>7.3692829570710027E-3</v>
      </c>
      <c r="G46" s="1">
        <v>4331</v>
      </c>
      <c r="H46">
        <v>643</v>
      </c>
      <c r="I46" s="1">
        <f t="shared" si="9"/>
        <v>3688</v>
      </c>
      <c r="J46" s="2">
        <f t="shared" si="10"/>
        <v>0.21569774242601475</v>
      </c>
      <c r="K46" s="2">
        <f>I46/I42</f>
        <v>2.7750188111361926</v>
      </c>
      <c r="L46" s="1">
        <v>15963</v>
      </c>
      <c r="M46" s="1">
        <v>0</v>
      </c>
      <c r="N46" s="1">
        <v>14845</v>
      </c>
      <c r="O46" s="3">
        <f>L46/N46</f>
        <v>1.0753115527113506</v>
      </c>
      <c r="P46" s="1">
        <v>39163</v>
      </c>
      <c r="Q46" s="1">
        <v>29858</v>
      </c>
      <c r="R46" s="1">
        <v>21241</v>
      </c>
      <c r="S46" s="3">
        <f t="shared" si="11"/>
        <v>1.4281304416653475</v>
      </c>
      <c r="T46" t="s">
        <v>24</v>
      </c>
    </row>
    <row r="47" spans="1:20" x14ac:dyDescent="0.35">
      <c r="A47">
        <v>2015</v>
      </c>
      <c r="B47" s="1">
        <v>4046</v>
      </c>
      <c r="C47">
        <v>-294</v>
      </c>
      <c r="D47" s="2">
        <f t="shared" si="8"/>
        <v>-7.2664359861591699E-2</v>
      </c>
      <c r="E47">
        <v>-889</v>
      </c>
      <c r="F47" s="2">
        <f t="shared" si="5"/>
        <v>-0.21972318339100347</v>
      </c>
      <c r="G47">
        <v>-524</v>
      </c>
      <c r="H47" s="1">
        <v>1635</v>
      </c>
      <c r="I47" s="1">
        <f t="shared" si="9"/>
        <v>-2159</v>
      </c>
      <c r="J47" s="2">
        <f t="shared" si="10"/>
        <v>-0.53361344537815125</v>
      </c>
      <c r="K47" s="2">
        <f>I47/ABS(I47)</f>
        <v>-1</v>
      </c>
      <c r="L47" s="1">
        <v>2792</v>
      </c>
      <c r="M47" s="1">
        <v>1278</v>
      </c>
      <c r="N47" s="1">
        <v>2816</v>
      </c>
      <c r="O47" s="3">
        <f t="shared" ref="O47:O51" si="12">L47/N47</f>
        <v>0.99147727272727271</v>
      </c>
      <c r="P47" s="1">
        <v>5301</v>
      </c>
      <c r="Q47" s="1">
        <v>0</v>
      </c>
      <c r="R47" s="1">
        <v>4145</v>
      </c>
      <c r="S47" s="3">
        <f t="shared" si="11"/>
        <v>1.0214233308877476</v>
      </c>
      <c r="T47" t="s">
        <v>30</v>
      </c>
    </row>
    <row r="48" spans="1:20" x14ac:dyDescent="0.35">
      <c r="A48">
        <v>2016</v>
      </c>
      <c r="B48" s="1">
        <v>7000</v>
      </c>
      <c r="C48">
        <v>301</v>
      </c>
      <c r="D48" s="2">
        <f t="shared" si="8"/>
        <v>4.2999999999999997E-2</v>
      </c>
      <c r="E48">
        <v>-675</v>
      </c>
      <c r="F48" s="2">
        <f t="shared" si="5"/>
        <v>-9.6428571428571433E-2</v>
      </c>
      <c r="G48">
        <v>-124</v>
      </c>
      <c r="H48" s="1">
        <v>1440</v>
      </c>
      <c r="I48" s="1">
        <f t="shared" si="9"/>
        <v>-1564</v>
      </c>
      <c r="J48" s="2">
        <f t="shared" si="10"/>
        <v>-0.22342857142857142</v>
      </c>
      <c r="K48" s="2">
        <f>I48/ABS(I47)</f>
        <v>-0.72440944881889768</v>
      </c>
      <c r="L48" s="1">
        <v>6260</v>
      </c>
      <c r="M48" s="1">
        <v>2067</v>
      </c>
      <c r="N48" s="1">
        <v>5827</v>
      </c>
      <c r="O48" s="3">
        <f t="shared" si="12"/>
        <v>1.0743092500429037</v>
      </c>
      <c r="P48" s="1">
        <v>16404</v>
      </c>
      <c r="Q48">
        <v>376</v>
      </c>
      <c r="R48" s="1">
        <v>10923</v>
      </c>
      <c r="S48" s="3">
        <f t="shared" si="11"/>
        <v>0.82834676821126552</v>
      </c>
      <c r="T48" t="s">
        <v>30</v>
      </c>
    </row>
    <row r="49" spans="1:20" x14ac:dyDescent="0.35">
      <c r="A49">
        <v>2017</v>
      </c>
      <c r="B49" s="1">
        <v>11759</v>
      </c>
      <c r="C49">
        <v>71</v>
      </c>
      <c r="D49" s="2">
        <f t="shared" si="8"/>
        <v>6.0379283952717066E-3</v>
      </c>
      <c r="E49" s="1">
        <v>-1961</v>
      </c>
      <c r="F49" s="2">
        <f t="shared" si="5"/>
        <v>-0.16676588145250446</v>
      </c>
      <c r="G49">
        <v>-61</v>
      </c>
      <c r="H49" s="1">
        <v>4081</v>
      </c>
      <c r="I49" s="1">
        <f t="shared" si="9"/>
        <v>-4142</v>
      </c>
      <c r="J49" s="2">
        <f t="shared" si="10"/>
        <v>-0.35224083680585083</v>
      </c>
      <c r="K49" s="2">
        <f>I49/ABS(I47)</f>
        <v>-1.9184807781380269</v>
      </c>
      <c r="L49" s="1">
        <v>6571</v>
      </c>
      <c r="M49" s="1">
        <v>2264</v>
      </c>
      <c r="N49" s="1">
        <v>7675</v>
      </c>
      <c r="O49" s="3">
        <f t="shared" si="12"/>
        <v>0.85615635179153093</v>
      </c>
      <c r="P49" s="1">
        <v>22085</v>
      </c>
      <c r="Q49">
        <v>422</v>
      </c>
      <c r="R49" s="1">
        <v>15348</v>
      </c>
      <c r="S49" s="3">
        <f t="shared" si="11"/>
        <v>0.88652291105121295</v>
      </c>
      <c r="T49" t="s">
        <v>30</v>
      </c>
    </row>
    <row r="50" spans="1:20" x14ac:dyDescent="0.35">
      <c r="A50">
        <v>2018</v>
      </c>
      <c r="B50" s="1">
        <v>21461</v>
      </c>
      <c r="C50" s="1">
        <v>1635</v>
      </c>
      <c r="D50" s="2">
        <f t="shared" si="8"/>
        <v>7.6184707143189978E-2</v>
      </c>
      <c r="E50">
        <v>-976</v>
      </c>
      <c r="F50" s="2">
        <f t="shared" si="5"/>
        <v>-4.5477843530124414E-2</v>
      </c>
      <c r="G50" s="1">
        <v>2098</v>
      </c>
      <c r="H50" s="1">
        <v>2320</v>
      </c>
      <c r="I50" s="1">
        <f t="shared" si="9"/>
        <v>-222</v>
      </c>
      <c r="J50" s="2">
        <f t="shared" si="10"/>
        <v>-1.0344345557056987E-2</v>
      </c>
      <c r="K50" s="2">
        <f>I50/ABS(I47)</f>
        <v>-0.10282538212135248</v>
      </c>
      <c r="L50" s="1">
        <v>8306</v>
      </c>
      <c r="M50" s="1">
        <v>3113</v>
      </c>
      <c r="N50" s="1">
        <v>9992</v>
      </c>
      <c r="O50" s="3">
        <f t="shared" si="12"/>
        <v>0.83126501200960767</v>
      </c>
      <c r="P50" s="1">
        <v>21433</v>
      </c>
      <c r="Q50">
        <v>351</v>
      </c>
      <c r="R50" s="1">
        <v>13434</v>
      </c>
      <c r="S50" s="3">
        <f t="shared" si="11"/>
        <v>0.89156993339676494</v>
      </c>
      <c r="T50" t="s">
        <v>30</v>
      </c>
    </row>
    <row r="51" spans="1:20" x14ac:dyDescent="0.35">
      <c r="A51">
        <v>2019</v>
      </c>
      <c r="B51" s="1">
        <v>24578</v>
      </c>
      <c r="C51" s="1">
        <v>2187</v>
      </c>
      <c r="D51" s="2">
        <f t="shared" si="8"/>
        <v>8.8982016437464395E-2</v>
      </c>
      <c r="E51">
        <v>-870</v>
      </c>
      <c r="F51" s="2">
        <f t="shared" si="5"/>
        <v>-3.5397509968264303E-2</v>
      </c>
      <c r="G51" s="1">
        <v>2405</v>
      </c>
      <c r="H51" s="1">
        <v>1432</v>
      </c>
      <c r="I51" s="1">
        <f t="shared" si="9"/>
        <v>973</v>
      </c>
      <c r="J51" s="2">
        <f t="shared" si="10"/>
        <v>3.9588249654162258E-2</v>
      </c>
      <c r="K51" s="2">
        <f>I51/ABS(I47)</f>
        <v>0.45067160722556737</v>
      </c>
      <c r="L51" s="1">
        <v>12103</v>
      </c>
      <c r="M51" s="1">
        <v>3552</v>
      </c>
      <c r="N51" s="1">
        <v>10667</v>
      </c>
      <c r="O51" s="3">
        <f t="shared" si="12"/>
        <v>1.1346207931002157</v>
      </c>
      <c r="P51" s="1">
        <v>22206</v>
      </c>
      <c r="Q51">
        <v>537</v>
      </c>
      <c r="R51" s="1">
        <v>15532</v>
      </c>
      <c r="S51" s="3">
        <f t="shared" si="11"/>
        <v>0.86694242223692919</v>
      </c>
      <c r="T51" t="s">
        <v>30</v>
      </c>
    </row>
    <row r="52" spans="1:20" x14ac:dyDescent="0.35">
      <c r="A52">
        <v>2014</v>
      </c>
      <c r="B52" s="1">
        <v>12293</v>
      </c>
      <c r="C52" s="1">
        <v>4472</v>
      </c>
      <c r="D52" s="2">
        <f t="shared" si="8"/>
        <v>0.36378426746929149</v>
      </c>
      <c r="E52" s="1">
        <v>3914</v>
      </c>
      <c r="F52" s="2">
        <f t="shared" si="5"/>
        <v>0.31839258114374036</v>
      </c>
      <c r="G52" s="1">
        <v>6649</v>
      </c>
      <c r="H52" s="1">
        <v>1243</v>
      </c>
      <c r="I52" s="1">
        <f t="shared" si="9"/>
        <v>5406</v>
      </c>
      <c r="J52" s="2">
        <f t="shared" si="10"/>
        <v>0.43976246644431788</v>
      </c>
      <c r="K52" s="2">
        <f>I52/I52</f>
        <v>1</v>
      </c>
      <c r="L52" s="1">
        <v>22925</v>
      </c>
      <c r="M52">
        <v>0</v>
      </c>
      <c r="N52" s="1">
        <v>6400</v>
      </c>
      <c r="O52" s="3">
        <f>(L52-M52)/N52</f>
        <v>3.58203125</v>
      </c>
      <c r="P52" s="1">
        <v>18281</v>
      </c>
      <c r="Q52" s="1">
        <v>8326</v>
      </c>
      <c r="R52" s="1">
        <v>15706</v>
      </c>
      <c r="S52" s="3">
        <f t="shared" si="11"/>
        <v>0.67232360097323596</v>
      </c>
      <c r="T52" t="s">
        <v>38</v>
      </c>
    </row>
    <row r="53" spans="1:20" x14ac:dyDescent="0.35">
      <c r="A53">
        <v>2015</v>
      </c>
      <c r="B53" s="1">
        <v>15686</v>
      </c>
      <c r="C53" s="1">
        <v>5623</v>
      </c>
      <c r="D53" s="2">
        <f t="shared" si="8"/>
        <v>0.35847252326915718</v>
      </c>
      <c r="E53" s="1">
        <v>11083</v>
      </c>
      <c r="F53" s="2">
        <f t="shared" si="5"/>
        <v>0.70655361468825706</v>
      </c>
      <c r="G53" s="1">
        <v>8815</v>
      </c>
      <c r="H53" s="1">
        <v>1682</v>
      </c>
      <c r="I53" s="1">
        <f t="shared" si="9"/>
        <v>7133</v>
      </c>
      <c r="J53" s="2">
        <f t="shared" si="10"/>
        <v>0.45473670789238813</v>
      </c>
      <c r="K53" s="2">
        <f>I53/I52</f>
        <v>1.3194598594154643</v>
      </c>
      <c r="L53" s="1">
        <v>20792</v>
      </c>
      <c r="M53">
        <v>0</v>
      </c>
      <c r="N53" s="1">
        <v>8071</v>
      </c>
      <c r="O53" s="3">
        <f t="shared" ref="O53:O111" si="13">(L53-M53)/N53</f>
        <v>2.5761367860240365</v>
      </c>
      <c r="P53" s="1">
        <v>35729</v>
      </c>
      <c r="Q53" s="1">
        <v>13941</v>
      </c>
      <c r="R53" s="1">
        <v>17767</v>
      </c>
      <c r="S53" s="3">
        <f t="shared" si="11"/>
        <v>0.60681070925317049</v>
      </c>
      <c r="T53" t="s">
        <v>38</v>
      </c>
    </row>
    <row r="54" spans="1:20" x14ac:dyDescent="0.35">
      <c r="A54">
        <v>2016</v>
      </c>
      <c r="B54" s="1">
        <v>22994</v>
      </c>
      <c r="C54" s="1">
        <v>9058</v>
      </c>
      <c r="D54" s="2">
        <f t="shared" si="8"/>
        <v>0.39392885100460989</v>
      </c>
      <c r="E54" s="1">
        <v>6345</v>
      </c>
      <c r="F54" s="2">
        <f t="shared" si="5"/>
        <v>0.27594154996955728</v>
      </c>
      <c r="G54" s="1">
        <v>11670</v>
      </c>
      <c r="H54" s="1">
        <v>2549</v>
      </c>
      <c r="I54" s="1">
        <f t="shared" si="9"/>
        <v>9121</v>
      </c>
      <c r="J54" s="2">
        <f t="shared" si="10"/>
        <v>0.3966686961816126</v>
      </c>
      <c r="K54" s="2">
        <f>I54/I52</f>
        <v>1.6871994080651129</v>
      </c>
      <c r="L54" s="1">
        <v>26516</v>
      </c>
      <c r="M54">
        <v>139</v>
      </c>
      <c r="N54" s="1">
        <v>13623</v>
      </c>
      <c r="O54" s="3">
        <f t="shared" si="13"/>
        <v>1.9362108199368715</v>
      </c>
      <c r="P54" s="1">
        <v>47114</v>
      </c>
      <c r="Q54" s="1">
        <v>20952</v>
      </c>
      <c r="R54" s="1">
        <v>26542</v>
      </c>
      <c r="S54" s="3">
        <f t="shared" si="11"/>
        <v>0.764479719827176</v>
      </c>
      <c r="T54" t="s">
        <v>38</v>
      </c>
    </row>
    <row r="55" spans="1:20" x14ac:dyDescent="0.35">
      <c r="A55">
        <v>2017</v>
      </c>
      <c r="B55" s="1">
        <v>39898</v>
      </c>
      <c r="C55" s="1">
        <v>14640</v>
      </c>
      <c r="D55" s="2">
        <f t="shared" si="8"/>
        <v>0.36693568599929821</v>
      </c>
      <c r="E55" s="1">
        <v>10201</v>
      </c>
      <c r="F55" s="2">
        <f t="shared" si="5"/>
        <v>0.25567697628953834</v>
      </c>
      <c r="G55" s="1">
        <v>19955</v>
      </c>
      <c r="H55" s="1">
        <v>4757</v>
      </c>
      <c r="I55" s="1">
        <f t="shared" si="9"/>
        <v>15198</v>
      </c>
      <c r="J55" s="2">
        <f t="shared" si="10"/>
        <v>0.38092134944107475</v>
      </c>
      <c r="K55" s="2">
        <f>I55/I52</f>
        <v>2.8113207547169812</v>
      </c>
      <c r="L55" s="1">
        <v>40949</v>
      </c>
      <c r="M55">
        <v>723</v>
      </c>
      <c r="N55" s="1">
        <v>21651</v>
      </c>
      <c r="O55" s="3">
        <f t="shared" si="13"/>
        <v>1.857928040275276</v>
      </c>
      <c r="P55" s="1">
        <v>73378</v>
      </c>
      <c r="Q55" s="1">
        <v>31724</v>
      </c>
      <c r="R55" s="1">
        <v>44270</v>
      </c>
      <c r="S55" s="3">
        <f t="shared" si="11"/>
        <v>0.80509281875915972</v>
      </c>
      <c r="T55" t="s">
        <v>38</v>
      </c>
    </row>
    <row r="56" spans="1:20" x14ac:dyDescent="0.35">
      <c r="A56">
        <v>2018</v>
      </c>
      <c r="B56" s="1">
        <v>56150</v>
      </c>
      <c r="C56" s="1">
        <v>14281</v>
      </c>
      <c r="D56" s="2">
        <f t="shared" si="8"/>
        <v>0.2543365983971505</v>
      </c>
      <c r="E56" s="1">
        <v>13052</v>
      </c>
      <c r="F56" s="2">
        <f t="shared" si="5"/>
        <v>0.23244879786286732</v>
      </c>
      <c r="G56" s="1">
        <v>22495</v>
      </c>
      <c r="H56" s="1">
        <v>5287</v>
      </c>
      <c r="I56" s="1">
        <f t="shared" si="9"/>
        <v>17208</v>
      </c>
      <c r="J56" s="2">
        <f t="shared" si="10"/>
        <v>0.30646482635796973</v>
      </c>
      <c r="K56" s="2">
        <f>I56/I52</f>
        <v>3.1831298557158711</v>
      </c>
      <c r="L56" s="1">
        <v>40271</v>
      </c>
      <c r="M56" s="1">
        <v>1272</v>
      </c>
      <c r="N56" s="1">
        <v>30943</v>
      </c>
      <c r="O56" s="3">
        <f t="shared" si="13"/>
        <v>1.2603496752092558</v>
      </c>
      <c r="P56" s="1">
        <v>103525</v>
      </c>
      <c r="Q56" s="1">
        <v>50605</v>
      </c>
      <c r="R56" s="1">
        <v>52101</v>
      </c>
      <c r="S56" s="3">
        <f t="shared" si="11"/>
        <v>0.90344760060488039</v>
      </c>
      <c r="T56" t="s">
        <v>38</v>
      </c>
    </row>
    <row r="57" spans="1:20" x14ac:dyDescent="0.35">
      <c r="A57">
        <v>2015</v>
      </c>
      <c r="B57" s="1">
        <v>55355</v>
      </c>
      <c r="C57" s="1">
        <v>23067</v>
      </c>
      <c r="D57" s="2">
        <f t="shared" si="8"/>
        <v>0.41671032427061694</v>
      </c>
      <c r="E57" s="1">
        <v>11420</v>
      </c>
      <c r="F57" s="2">
        <f t="shared" si="5"/>
        <v>0.20630476018426519</v>
      </c>
      <c r="G57" s="1">
        <v>19017</v>
      </c>
      <c r="H57" s="1">
        <v>7326</v>
      </c>
      <c r="I57" s="1">
        <f t="shared" si="9"/>
        <v>11691</v>
      </c>
      <c r="J57" s="2">
        <f t="shared" si="10"/>
        <v>0.21120043356517026</v>
      </c>
      <c r="K57" s="2">
        <f>I57/I57</f>
        <v>1</v>
      </c>
      <c r="L57" s="1">
        <v>40356</v>
      </c>
      <c r="M57" s="1">
        <v>5167</v>
      </c>
      <c r="N57" s="1">
        <v>15667</v>
      </c>
      <c r="O57" s="3">
        <f t="shared" si="13"/>
        <v>2.2460585944979896</v>
      </c>
      <c r="P57" s="1">
        <v>62709</v>
      </c>
      <c r="Q57" s="1">
        <v>15265</v>
      </c>
      <c r="R57" s="1">
        <v>41083</v>
      </c>
      <c r="S57" s="3">
        <f t="shared" si="11"/>
        <v>0.68677162876816766</v>
      </c>
      <c r="T57" t="s">
        <v>62</v>
      </c>
    </row>
    <row r="58" spans="1:20" x14ac:dyDescent="0.35">
      <c r="A58">
        <v>2016</v>
      </c>
      <c r="B58" s="1">
        <v>59387</v>
      </c>
      <c r="C58" s="1">
        <v>23037</v>
      </c>
      <c r="D58" s="2">
        <f t="shared" si="8"/>
        <v>0.38791317965211242</v>
      </c>
      <c r="E58" s="1">
        <v>10316</v>
      </c>
      <c r="F58" s="2">
        <f t="shared" si="5"/>
        <v>0.17370805058346103</v>
      </c>
      <c r="G58" s="1">
        <v>21808</v>
      </c>
      <c r="H58" s="1">
        <v>9625</v>
      </c>
      <c r="I58" s="1">
        <f t="shared" si="9"/>
        <v>12183</v>
      </c>
      <c r="J58" s="2">
        <f t="shared" si="10"/>
        <v>0.20514590735346119</v>
      </c>
      <c r="K58" s="2">
        <f>I58/I57</f>
        <v>1.0420836540928919</v>
      </c>
      <c r="L58" s="1">
        <v>35508</v>
      </c>
      <c r="M58" s="1">
        <v>5553</v>
      </c>
      <c r="N58" s="1">
        <v>20302</v>
      </c>
      <c r="O58" s="3">
        <f t="shared" si="13"/>
        <v>1.4754703970052212</v>
      </c>
      <c r="P58" s="1">
        <v>77819</v>
      </c>
      <c r="Q58" s="1">
        <v>23593</v>
      </c>
      <c r="R58" s="1">
        <v>46219</v>
      </c>
      <c r="S58" s="3">
        <f t="shared" si="11"/>
        <v>0.79021394376403231</v>
      </c>
      <c r="T58" t="s">
        <v>62</v>
      </c>
    </row>
    <row r="59" spans="1:20" x14ac:dyDescent="0.35">
      <c r="A59">
        <v>2017</v>
      </c>
      <c r="B59" s="1">
        <v>62761</v>
      </c>
      <c r="C59" s="1">
        <v>26617</v>
      </c>
      <c r="D59" s="2">
        <f t="shared" si="8"/>
        <v>0.42410095441436563</v>
      </c>
      <c r="E59" s="1">
        <v>9601</v>
      </c>
      <c r="F59" s="2">
        <f t="shared" si="5"/>
        <v>0.15297716734914996</v>
      </c>
      <c r="G59" s="1">
        <v>22110</v>
      </c>
      <c r="H59" s="1">
        <v>11778</v>
      </c>
      <c r="I59" s="1">
        <f t="shared" si="9"/>
        <v>10332</v>
      </c>
      <c r="J59" s="2">
        <f t="shared" si="10"/>
        <v>0.16462452797119231</v>
      </c>
      <c r="K59" s="2">
        <f>I59/I57</f>
        <v>0.88375673595073134</v>
      </c>
      <c r="L59" s="1">
        <v>29500</v>
      </c>
      <c r="M59" s="1">
        <v>6983</v>
      </c>
      <c r="N59" s="1">
        <v>17421</v>
      </c>
      <c r="O59" s="3">
        <f t="shared" si="13"/>
        <v>1.2925205212100339</v>
      </c>
      <c r="P59" s="1">
        <v>93749</v>
      </c>
      <c r="Q59" s="1">
        <v>37134</v>
      </c>
      <c r="R59" s="1">
        <v>53364</v>
      </c>
      <c r="S59" s="3">
        <f t="shared" si="11"/>
        <v>0.89451802052267093</v>
      </c>
      <c r="T59" t="s">
        <v>62</v>
      </c>
    </row>
    <row r="60" spans="1:20" x14ac:dyDescent="0.35">
      <c r="A60">
        <v>2018</v>
      </c>
      <c r="B60" s="1">
        <v>70848</v>
      </c>
      <c r="C60" s="1">
        <v>32329</v>
      </c>
      <c r="D60" s="2">
        <f t="shared" si="8"/>
        <v>0.45631492773261068</v>
      </c>
      <c r="E60" s="1">
        <v>21053</v>
      </c>
      <c r="F60" s="2">
        <f t="shared" si="5"/>
        <v>0.29715729448961159</v>
      </c>
      <c r="G60" s="1">
        <v>29432</v>
      </c>
      <c r="H60" s="1">
        <v>15181</v>
      </c>
      <c r="I60" s="1">
        <f t="shared" si="9"/>
        <v>14251</v>
      </c>
      <c r="J60" s="2">
        <f t="shared" si="10"/>
        <v>0.20114893857271907</v>
      </c>
      <c r="K60" s="2">
        <f>I60/I57</f>
        <v>1.2189718586947225</v>
      </c>
      <c r="L60" s="1">
        <v>28787</v>
      </c>
      <c r="M60" s="1">
        <v>7253</v>
      </c>
      <c r="N60" s="1">
        <v>16626</v>
      </c>
      <c r="O60" s="3">
        <f t="shared" si="13"/>
        <v>1.2952002887044389</v>
      </c>
      <c r="P60" s="1">
        <v>99176</v>
      </c>
      <c r="Q60" s="1">
        <v>36349</v>
      </c>
      <c r="R60" s="1">
        <v>52981</v>
      </c>
      <c r="S60" s="3">
        <f t="shared" si="11"/>
        <v>0.82510875878664314</v>
      </c>
      <c r="T60" t="s">
        <v>62</v>
      </c>
    </row>
    <row r="61" spans="1:20" x14ac:dyDescent="0.35">
      <c r="A61">
        <v>2019</v>
      </c>
      <c r="B61" s="1">
        <v>71965</v>
      </c>
      <c r="C61" s="1">
        <v>33254</v>
      </c>
      <c r="D61" s="2">
        <f t="shared" si="8"/>
        <v>0.46208573612172582</v>
      </c>
      <c r="E61" s="1">
        <v>21048</v>
      </c>
      <c r="F61" s="2">
        <f t="shared" si="5"/>
        <v>0.2924755089279511</v>
      </c>
      <c r="G61" s="1">
        <v>33145</v>
      </c>
      <c r="H61" s="1">
        <v>16213</v>
      </c>
      <c r="I61" s="1">
        <f t="shared" si="9"/>
        <v>16932</v>
      </c>
      <c r="J61" s="2">
        <f t="shared" si="10"/>
        <v>0.23528103939414993</v>
      </c>
      <c r="K61" s="2">
        <f t="shared" ref="K61" si="14">I61/I57</f>
        <v>1.4482935591480626</v>
      </c>
      <c r="L61" s="1">
        <v>31239</v>
      </c>
      <c r="M61" s="1">
        <v>8744</v>
      </c>
      <c r="N61" s="1">
        <v>22310</v>
      </c>
      <c r="O61" s="3">
        <f t="shared" si="13"/>
        <v>1.0082922456297625</v>
      </c>
      <c r="P61" s="1">
        <v>105285</v>
      </c>
      <c r="Q61" s="1">
        <v>37103</v>
      </c>
      <c r="R61" s="1">
        <v>58865</v>
      </c>
      <c r="S61" s="3">
        <f t="shared" si="11"/>
        <v>0.89521047233587348</v>
      </c>
      <c r="T61" t="s">
        <v>62</v>
      </c>
    </row>
    <row r="62" spans="1:20" x14ac:dyDescent="0.35">
      <c r="A62">
        <v>2015</v>
      </c>
      <c r="B62" s="1">
        <v>3991</v>
      </c>
      <c r="C62">
        <v>-222</v>
      </c>
      <c r="D62" s="2">
        <f t="shared" si="8"/>
        <v>-5.56251566023553E-2</v>
      </c>
      <c r="E62">
        <v>-660</v>
      </c>
      <c r="F62" s="2">
        <f t="shared" si="5"/>
        <v>-0.16537208719619143</v>
      </c>
      <c r="G62">
        <v>-226</v>
      </c>
      <c r="H62">
        <v>96</v>
      </c>
      <c r="I62" s="1">
        <f t="shared" si="9"/>
        <v>-322</v>
      </c>
      <c r="J62" s="2">
        <f t="shared" si="10"/>
        <v>-8.068153345026309E-2</v>
      </c>
      <c r="K62" s="2">
        <f>I62/ABS(I62)</f>
        <v>-1</v>
      </c>
      <c r="L62" s="1">
        <v>2320</v>
      </c>
      <c r="M62">
        <v>678</v>
      </c>
      <c r="N62" s="1">
        <v>1403</v>
      </c>
      <c r="O62" s="3">
        <f t="shared" si="13"/>
        <v>1.1703492516037064</v>
      </c>
      <c r="P62">
        <v>789</v>
      </c>
      <c r="Q62">
        <v>467</v>
      </c>
      <c r="R62" s="1">
        <v>3521</v>
      </c>
      <c r="S62" s="3">
        <f t="shared" si="11"/>
        <v>2.5071283095723014</v>
      </c>
      <c r="T62" t="s">
        <v>63</v>
      </c>
    </row>
    <row r="63" spans="1:20" x14ac:dyDescent="0.35">
      <c r="A63">
        <v>2016</v>
      </c>
      <c r="B63" s="1">
        <v>4272</v>
      </c>
      <c r="C63">
        <v>-59</v>
      </c>
      <c r="D63" s="2">
        <f t="shared" si="8"/>
        <v>-1.3810861423220975E-2</v>
      </c>
      <c r="E63">
        <v>-497</v>
      </c>
      <c r="F63" s="2">
        <f t="shared" si="5"/>
        <v>-0.11633895131086143</v>
      </c>
      <c r="G63">
        <v>90</v>
      </c>
      <c r="H63">
        <v>77</v>
      </c>
      <c r="I63" s="1">
        <f t="shared" si="9"/>
        <v>13</v>
      </c>
      <c r="J63" s="2">
        <f t="shared" si="10"/>
        <v>3.0430711610486892E-3</v>
      </c>
      <c r="K63" s="2">
        <f>I63/ABS(I62)</f>
        <v>4.0372670807453416E-2</v>
      </c>
      <c r="L63" s="1">
        <v>2530</v>
      </c>
      <c r="M63">
        <v>751</v>
      </c>
      <c r="N63" s="1">
        <v>1346</v>
      </c>
      <c r="O63" s="3">
        <f t="shared" si="13"/>
        <v>1.3216939078751857</v>
      </c>
      <c r="P63">
        <v>791</v>
      </c>
      <c r="Q63">
        <v>521</v>
      </c>
      <c r="R63" s="1">
        <v>2905</v>
      </c>
      <c r="S63" s="3">
        <f t="shared" si="11"/>
        <v>2.0746705710102491</v>
      </c>
      <c r="T63" t="s">
        <v>63</v>
      </c>
    </row>
    <row r="64" spans="1:20" x14ac:dyDescent="0.35">
      <c r="A64">
        <v>2017</v>
      </c>
      <c r="B64" s="1">
        <v>5329</v>
      </c>
      <c r="C64">
        <v>229</v>
      </c>
      <c r="D64" s="2">
        <f t="shared" si="8"/>
        <v>4.2972415087258395E-2</v>
      </c>
      <c r="E64">
        <v>43</v>
      </c>
      <c r="F64" s="2">
        <f t="shared" si="5"/>
        <v>8.0690561080878215E-3</v>
      </c>
      <c r="G64">
        <v>68</v>
      </c>
      <c r="H64">
        <v>113</v>
      </c>
      <c r="I64" s="1">
        <f t="shared" si="9"/>
        <v>-45</v>
      </c>
      <c r="J64" s="2">
        <f t="shared" si="10"/>
        <v>-8.4443610433477204E-3</v>
      </c>
      <c r="K64" s="2">
        <f>I64/ABS(I62)</f>
        <v>-0.13975155279503104</v>
      </c>
      <c r="L64" s="1">
        <v>2622</v>
      </c>
      <c r="M64" s="1">
        <v>739</v>
      </c>
      <c r="N64" s="1">
        <v>1486</v>
      </c>
      <c r="O64" s="3">
        <f t="shared" si="13"/>
        <v>1.2671601615074024</v>
      </c>
      <c r="P64">
        <v>918</v>
      </c>
      <c r="Q64">
        <v>528</v>
      </c>
      <c r="R64" s="1">
        <v>2929</v>
      </c>
      <c r="S64" s="3">
        <f t="shared" si="11"/>
        <v>1.9423669159700836</v>
      </c>
      <c r="T64" t="s">
        <v>63</v>
      </c>
    </row>
    <row r="65" spans="1:20" x14ac:dyDescent="0.35">
      <c r="A65">
        <v>2018</v>
      </c>
      <c r="B65" s="1">
        <v>6475</v>
      </c>
      <c r="C65">
        <v>590</v>
      </c>
      <c r="D65" s="2">
        <f t="shared" si="8"/>
        <v>9.1119691119691121E-2</v>
      </c>
      <c r="E65">
        <v>337</v>
      </c>
      <c r="F65" s="2">
        <f t="shared" si="5"/>
        <v>5.2046332046332043E-2</v>
      </c>
      <c r="G65">
        <v>34</v>
      </c>
      <c r="H65">
        <v>163</v>
      </c>
      <c r="I65" s="1">
        <f t="shared" si="9"/>
        <v>-129</v>
      </c>
      <c r="J65" s="2">
        <f t="shared" si="10"/>
        <v>-1.9922779922779923E-2</v>
      </c>
      <c r="K65" s="2">
        <f>I65/ABS(I62)</f>
        <v>-0.40062111801242234</v>
      </c>
      <c r="L65" s="1">
        <v>3540</v>
      </c>
      <c r="M65" s="1">
        <v>845</v>
      </c>
      <c r="N65" s="1">
        <v>1984</v>
      </c>
      <c r="O65" s="3">
        <f t="shared" si="13"/>
        <v>1.358366935483871</v>
      </c>
      <c r="P65" s="1">
        <v>1016</v>
      </c>
      <c r="Q65">
        <v>515</v>
      </c>
      <c r="R65" s="1">
        <v>3290</v>
      </c>
      <c r="S65" s="3">
        <f t="shared" si="11"/>
        <v>1.6501877346683353</v>
      </c>
      <c r="T65" t="s">
        <v>63</v>
      </c>
    </row>
    <row r="66" spans="1:20" x14ac:dyDescent="0.35">
      <c r="A66">
        <v>2019</v>
      </c>
      <c r="B66" s="1">
        <v>6731</v>
      </c>
      <c r="C66">
        <v>725</v>
      </c>
      <c r="D66" s="2">
        <f t="shared" si="8"/>
        <v>0.10771059277967612</v>
      </c>
      <c r="E66">
        <v>341</v>
      </c>
      <c r="F66" s="2">
        <f t="shared" si="5"/>
        <v>5.0661120190164909E-2</v>
      </c>
      <c r="G66">
        <v>493</v>
      </c>
      <c r="H66">
        <v>217</v>
      </c>
      <c r="I66" s="1">
        <f t="shared" si="9"/>
        <v>276</v>
      </c>
      <c r="J66" s="2">
        <f t="shared" si="10"/>
        <v>4.1004308423711187E-2</v>
      </c>
      <c r="K66" s="2">
        <f>I66/ABS(I62)</f>
        <v>0.8571428571428571</v>
      </c>
      <c r="L66" s="1">
        <v>4597</v>
      </c>
      <c r="M66">
        <v>982</v>
      </c>
      <c r="N66" s="1">
        <v>2359</v>
      </c>
      <c r="O66" s="3">
        <f t="shared" si="13"/>
        <v>1.5324289953370072</v>
      </c>
      <c r="P66" s="1">
        <v>1431</v>
      </c>
      <c r="Q66">
        <v>499</v>
      </c>
      <c r="R66" s="1">
        <v>3201</v>
      </c>
      <c r="S66" s="3">
        <f t="shared" si="11"/>
        <v>1.2227842533538598</v>
      </c>
      <c r="T66" t="s">
        <v>63</v>
      </c>
    </row>
    <row r="67" spans="1:20" x14ac:dyDescent="0.35">
      <c r="A67">
        <v>2015</v>
      </c>
      <c r="B67" s="1">
        <v>13880</v>
      </c>
      <c r="C67" s="1">
        <v>9572</v>
      </c>
      <c r="D67" s="2">
        <f t="shared" si="8"/>
        <v>0.68962536023054755</v>
      </c>
      <c r="E67" s="1">
        <v>6313</v>
      </c>
      <c r="F67" s="2">
        <f t="shared" ref="F67:F111" si="15">E67/B67</f>
        <v>0.45482708933717581</v>
      </c>
      <c r="G67" s="1">
        <v>6584</v>
      </c>
      <c r="H67">
        <v>414</v>
      </c>
      <c r="I67" s="1">
        <f t="shared" si="9"/>
        <v>6170</v>
      </c>
      <c r="J67" s="2">
        <f t="shared" si="10"/>
        <v>0.44452449567723346</v>
      </c>
      <c r="K67" s="2">
        <f>I67/I67</f>
        <v>1</v>
      </c>
      <c r="L67" s="1">
        <v>10892</v>
      </c>
      <c r="M67" s="1">
        <v>0</v>
      </c>
      <c r="N67" s="1">
        <v>5374</v>
      </c>
      <c r="O67" s="3">
        <f t="shared" si="13"/>
        <v>2.026795682917752</v>
      </c>
      <c r="P67" s="1">
        <v>29344</v>
      </c>
      <c r="Q67" s="1">
        <v>23186</v>
      </c>
      <c r="R67" s="1">
        <v>5020</v>
      </c>
      <c r="S67" s="3">
        <f t="shared" si="11"/>
        <v>0.60961876832844575</v>
      </c>
      <c r="T67" t="s">
        <v>67</v>
      </c>
    </row>
    <row r="68" spans="1:20" x14ac:dyDescent="0.35">
      <c r="A68">
        <v>2016</v>
      </c>
      <c r="B68" s="1">
        <v>15082</v>
      </c>
      <c r="C68" s="1">
        <v>10526</v>
      </c>
      <c r="D68" s="2">
        <f t="shared" si="8"/>
        <v>0.69791804800424351</v>
      </c>
      <c r="E68" s="1">
        <v>5929</v>
      </c>
      <c r="F68" s="2">
        <f t="shared" si="15"/>
        <v>0.39311762365733988</v>
      </c>
      <c r="G68" s="1">
        <v>5574</v>
      </c>
      <c r="H68">
        <v>523</v>
      </c>
      <c r="I68" s="1">
        <f t="shared" si="9"/>
        <v>5051</v>
      </c>
      <c r="J68" s="2">
        <f t="shared" si="10"/>
        <v>0.3349025328205808</v>
      </c>
      <c r="K68" s="2">
        <f>I68/I67</f>
        <v>0.81863857374392224</v>
      </c>
      <c r="L68" s="1">
        <v>14313</v>
      </c>
      <c r="M68" s="1">
        <v>0</v>
      </c>
      <c r="N68" s="1">
        <v>8046</v>
      </c>
      <c r="O68" s="3">
        <f t="shared" si="13"/>
        <v>1.7788963460104399</v>
      </c>
      <c r="P68" s="1">
        <v>49722</v>
      </c>
      <c r="Q68" s="1">
        <v>42300</v>
      </c>
      <c r="R68" s="1">
        <v>23077</v>
      </c>
      <c r="S68" s="3">
        <f t="shared" si="11"/>
        <v>1.4319300667126753</v>
      </c>
      <c r="T68" t="s">
        <v>67</v>
      </c>
    </row>
    <row r="69" spans="1:20" x14ac:dyDescent="0.35">
      <c r="A69">
        <v>2017</v>
      </c>
      <c r="B69" s="1">
        <v>18358</v>
      </c>
      <c r="C69" s="1">
        <v>12911</v>
      </c>
      <c r="D69" s="2">
        <f t="shared" si="8"/>
        <v>0.70329011874931913</v>
      </c>
      <c r="E69" s="1">
        <v>6467</v>
      </c>
      <c r="F69" s="2">
        <f t="shared" si="15"/>
        <v>0.35227148926898355</v>
      </c>
      <c r="G69" s="1">
        <v>9208</v>
      </c>
      <c r="H69">
        <v>707</v>
      </c>
      <c r="I69" s="1">
        <f t="shared" si="9"/>
        <v>8501</v>
      </c>
      <c r="J69" s="2">
        <f t="shared" si="10"/>
        <v>0.46306787231724589</v>
      </c>
      <c r="K69" s="2">
        <f>I69/I67</f>
        <v>1.3777957860615884</v>
      </c>
      <c r="L69" s="1">
        <v>19023</v>
      </c>
      <c r="M69" s="1">
        <v>0</v>
      </c>
      <c r="N69" s="1">
        <v>9994</v>
      </c>
      <c r="O69" s="3">
        <f t="shared" si="13"/>
        <v>1.9034420652391435</v>
      </c>
      <c r="P69" s="1">
        <v>48954</v>
      </c>
      <c r="Q69" s="1">
        <v>42958</v>
      </c>
      <c r="R69" s="1">
        <v>25223</v>
      </c>
      <c r="S69" s="3">
        <f t="shared" si="11"/>
        <v>1.407610216235661</v>
      </c>
      <c r="T69" t="s">
        <v>67</v>
      </c>
    </row>
    <row r="70" spans="1:20" x14ac:dyDescent="0.35">
      <c r="A70">
        <v>2018</v>
      </c>
      <c r="B70" s="1">
        <v>20609</v>
      </c>
      <c r="C70" s="1">
        <v>14369</v>
      </c>
      <c r="D70" s="2">
        <f t="shared" si="8"/>
        <v>0.6972196613130186</v>
      </c>
      <c r="E70" s="1">
        <v>9942</v>
      </c>
      <c r="F70" s="2">
        <f t="shared" si="15"/>
        <v>0.48241059731185404</v>
      </c>
      <c r="G70" s="1">
        <v>12713</v>
      </c>
      <c r="H70">
        <v>718</v>
      </c>
      <c r="I70" s="1">
        <f t="shared" si="9"/>
        <v>11995</v>
      </c>
      <c r="J70" s="2">
        <f t="shared" si="10"/>
        <v>0.58202726963947793</v>
      </c>
      <c r="K70" s="2">
        <f>I70/I67</f>
        <v>1.9440842787682333</v>
      </c>
      <c r="L70" s="1">
        <v>18216</v>
      </c>
      <c r="M70" s="1">
        <v>0</v>
      </c>
      <c r="N70" s="1">
        <v>11305</v>
      </c>
      <c r="O70" s="3">
        <f t="shared" si="13"/>
        <v>1.6113224237063246</v>
      </c>
      <c r="P70" s="1">
        <v>51009</v>
      </c>
      <c r="Q70" s="1">
        <v>42752</v>
      </c>
      <c r="R70" s="1">
        <v>23914</v>
      </c>
      <c r="S70" s="3">
        <f t="shared" si="11"/>
        <v>1.3303743436709099</v>
      </c>
      <c r="T70" t="s">
        <v>67</v>
      </c>
    </row>
    <row r="71" spans="1:20" x14ac:dyDescent="0.35">
      <c r="A71">
        <v>2019</v>
      </c>
      <c r="B71" s="1">
        <v>22977</v>
      </c>
      <c r="C71" s="1">
        <v>16057</v>
      </c>
      <c r="D71" s="2">
        <f t="shared" si="8"/>
        <v>0.69882926404665535</v>
      </c>
      <c r="E71" s="1">
        <v>11650</v>
      </c>
      <c r="F71" s="2">
        <f t="shared" si="15"/>
        <v>0.50702876789833307</v>
      </c>
      <c r="G71" s="1">
        <v>12784</v>
      </c>
      <c r="H71">
        <v>756</v>
      </c>
      <c r="I71" s="1">
        <f t="shared" si="9"/>
        <v>12028</v>
      </c>
      <c r="J71" s="2">
        <f t="shared" si="10"/>
        <v>0.52348000174087128</v>
      </c>
      <c r="K71" s="2">
        <f>I71/I67</f>
        <v>1.9494327390599675</v>
      </c>
      <c r="L71" s="1">
        <v>20970</v>
      </c>
      <c r="M71" s="1">
        <v>0</v>
      </c>
      <c r="N71" s="1">
        <v>13415</v>
      </c>
      <c r="O71" s="3">
        <f t="shared" si="13"/>
        <v>1.563175549757734</v>
      </c>
      <c r="P71" s="1">
        <v>51604</v>
      </c>
      <c r="Q71" s="1">
        <v>42436</v>
      </c>
      <c r="R71" s="1">
        <v>24475</v>
      </c>
      <c r="S71" s="3">
        <f t="shared" si="11"/>
        <v>1.2572168027075452</v>
      </c>
      <c r="T71" t="s">
        <v>67</v>
      </c>
    </row>
    <row r="72" spans="1:20" x14ac:dyDescent="0.35">
      <c r="A72">
        <v>2015</v>
      </c>
      <c r="B72" s="1">
        <v>1267</v>
      </c>
      <c r="C72" s="1">
        <v>-142</v>
      </c>
      <c r="D72" s="2">
        <f t="shared" si="8"/>
        <v>-0.11207576953433307</v>
      </c>
      <c r="E72" s="1">
        <v>-180</v>
      </c>
      <c r="F72" s="2">
        <f t="shared" si="15"/>
        <v>-0.1420678768745067</v>
      </c>
      <c r="G72">
        <v>28</v>
      </c>
      <c r="H72">
        <v>37</v>
      </c>
      <c r="I72" s="1">
        <f t="shared" si="9"/>
        <v>-9</v>
      </c>
      <c r="J72" s="2">
        <f t="shared" si="10"/>
        <v>-7.1033938437253356E-3</v>
      </c>
      <c r="K72" s="2">
        <f>I72/ABS(I72)</f>
        <v>-1</v>
      </c>
      <c r="L72">
        <v>706</v>
      </c>
      <c r="M72">
        <v>12</v>
      </c>
      <c r="N72">
        <v>334</v>
      </c>
      <c r="O72" s="3">
        <f t="shared" si="13"/>
        <v>2.0778443113772456</v>
      </c>
      <c r="P72">
        <v>189</v>
      </c>
      <c r="Q72">
        <v>83</v>
      </c>
      <c r="R72">
        <v>53</v>
      </c>
      <c r="S72" s="3">
        <f t="shared" si="11"/>
        <v>0.48375000000000001</v>
      </c>
      <c r="T72" t="s">
        <v>86</v>
      </c>
    </row>
    <row r="73" spans="1:20" x14ac:dyDescent="0.35">
      <c r="A73">
        <v>2016</v>
      </c>
      <c r="B73" s="1">
        <v>1709</v>
      </c>
      <c r="C73" s="1">
        <v>-85</v>
      </c>
      <c r="D73" s="2">
        <f t="shared" si="8"/>
        <v>-4.9736688121708603E-2</v>
      </c>
      <c r="E73">
        <v>-172</v>
      </c>
      <c r="F73" s="2">
        <f t="shared" si="15"/>
        <v>-0.10064365125804564</v>
      </c>
      <c r="G73">
        <v>23</v>
      </c>
      <c r="H73">
        <v>25</v>
      </c>
      <c r="I73" s="1">
        <f t="shared" si="9"/>
        <v>-2</v>
      </c>
      <c r="J73" s="2">
        <f t="shared" si="10"/>
        <v>-1.1702750146284377E-3</v>
      </c>
      <c r="K73" s="2">
        <f>I73/ABS(I72)</f>
        <v>-0.22222222222222221</v>
      </c>
      <c r="L73" s="1">
        <v>1001</v>
      </c>
      <c r="M73">
        <v>14</v>
      </c>
      <c r="N73">
        <v>577</v>
      </c>
      <c r="O73" s="3">
        <f t="shared" si="13"/>
        <v>1.7105719237435009</v>
      </c>
      <c r="P73" s="1">
        <v>210</v>
      </c>
      <c r="Q73">
        <v>76</v>
      </c>
      <c r="R73">
        <v>58</v>
      </c>
      <c r="S73" s="3">
        <f t="shared" si="11"/>
        <v>0.56645851917930423</v>
      </c>
      <c r="T73" t="s">
        <v>86</v>
      </c>
    </row>
    <row r="74" spans="1:20" x14ac:dyDescent="0.35">
      <c r="A74">
        <v>2017</v>
      </c>
      <c r="B74" s="1">
        <v>2214</v>
      </c>
      <c r="C74" s="1">
        <v>-17</v>
      </c>
      <c r="D74" s="2">
        <f t="shared" si="8"/>
        <v>-7.6784101174345075E-3</v>
      </c>
      <c r="E74" s="1">
        <v>-63</v>
      </c>
      <c r="F74" s="2">
        <f t="shared" si="15"/>
        <v>-2.8455284552845527E-2</v>
      </c>
      <c r="G74">
        <v>128</v>
      </c>
      <c r="H74">
        <v>26</v>
      </c>
      <c r="I74" s="1">
        <f t="shared" si="9"/>
        <v>102</v>
      </c>
      <c r="J74" s="2">
        <f t="shared" si="10"/>
        <v>4.6070460704607047E-2</v>
      </c>
      <c r="K74" s="2">
        <f>I74/ABS(I72)</f>
        <v>11.333333333333334</v>
      </c>
      <c r="L74" s="1">
        <v>1778</v>
      </c>
      <c r="M74">
        <v>17</v>
      </c>
      <c r="N74">
        <v>973</v>
      </c>
      <c r="O74" s="3">
        <f t="shared" si="13"/>
        <v>1.8098663926002057</v>
      </c>
      <c r="P74" s="1">
        <v>409</v>
      </c>
      <c r="Q74">
        <v>73</v>
      </c>
      <c r="R74">
        <v>428</v>
      </c>
      <c r="S74" s="3">
        <f t="shared" si="11"/>
        <v>0.66809728183118744</v>
      </c>
      <c r="T74" t="s">
        <v>86</v>
      </c>
    </row>
    <row r="75" spans="1:20" x14ac:dyDescent="0.35">
      <c r="A75">
        <v>2018</v>
      </c>
      <c r="B75" s="1">
        <v>3298</v>
      </c>
      <c r="C75" s="1">
        <v>29</v>
      </c>
      <c r="D75" s="2">
        <f t="shared" si="8"/>
        <v>8.7932080048514251E-3</v>
      </c>
      <c r="E75" s="1">
        <v>-38</v>
      </c>
      <c r="F75" s="2">
        <f t="shared" si="15"/>
        <v>-1.1522134627046696E-2</v>
      </c>
      <c r="G75">
        <v>295</v>
      </c>
      <c r="H75">
        <v>61</v>
      </c>
      <c r="I75" s="1">
        <f t="shared" si="9"/>
        <v>234</v>
      </c>
      <c r="J75" s="2">
        <f t="shared" si="10"/>
        <v>7.0952092177077014E-2</v>
      </c>
      <c r="K75" s="2">
        <f>I75/ABS(I72)</f>
        <v>26</v>
      </c>
      <c r="L75" s="1">
        <v>2112</v>
      </c>
      <c r="M75">
        <v>29</v>
      </c>
      <c r="N75" s="1">
        <v>1019</v>
      </c>
      <c r="O75" s="3">
        <f t="shared" si="13"/>
        <v>2.0441609421000981</v>
      </c>
      <c r="P75" s="1">
        <v>1169</v>
      </c>
      <c r="Q75">
        <v>339</v>
      </c>
      <c r="R75" s="1">
        <v>1142</v>
      </c>
      <c r="S75" s="3">
        <f t="shared" si="11"/>
        <v>0.74184689323721253</v>
      </c>
      <c r="T75" t="s">
        <v>86</v>
      </c>
    </row>
    <row r="76" spans="1:20" x14ac:dyDescent="0.35">
      <c r="A76">
        <v>2019</v>
      </c>
      <c r="B76" s="1">
        <v>4714</v>
      </c>
      <c r="C76" s="1">
        <v>112</v>
      </c>
      <c r="D76" s="2">
        <f t="shared" si="8"/>
        <v>2.3759015697921087E-2</v>
      </c>
      <c r="E76" s="1">
        <v>375</v>
      </c>
      <c r="F76" s="2">
        <f t="shared" si="15"/>
        <v>7.9550275774289345E-2</v>
      </c>
      <c r="G76" s="1">
        <v>466</v>
      </c>
      <c r="H76" s="1">
        <v>62</v>
      </c>
      <c r="I76" s="1">
        <f t="shared" si="9"/>
        <v>404</v>
      </c>
      <c r="J76" s="2">
        <f t="shared" si="10"/>
        <v>8.5702163767501061E-2</v>
      </c>
      <c r="K76" s="2">
        <f>I76/ABS(I72)</f>
        <v>44.888888888888886</v>
      </c>
      <c r="L76" s="1">
        <v>3220</v>
      </c>
      <c r="M76">
        <v>48</v>
      </c>
      <c r="N76" s="1">
        <v>1694</v>
      </c>
      <c r="O76" s="3">
        <f t="shared" si="13"/>
        <v>1.8724911452184179</v>
      </c>
      <c r="P76" s="1">
        <v>1331</v>
      </c>
      <c r="Q76">
        <v>335</v>
      </c>
      <c r="R76" s="1">
        <v>1142</v>
      </c>
      <c r="S76" s="3">
        <f t="shared" si="11"/>
        <v>0.68042226487523993</v>
      </c>
      <c r="T76" t="s">
        <v>86</v>
      </c>
    </row>
    <row r="77" spans="1:20" x14ac:dyDescent="0.35">
      <c r="A77">
        <v>2015</v>
      </c>
      <c r="B77" s="1">
        <v>4664</v>
      </c>
      <c r="C77" s="1">
        <v>1829</v>
      </c>
      <c r="D77" s="2">
        <f t="shared" si="8"/>
        <v>0.39215265866209265</v>
      </c>
      <c r="E77">
        <v>881</v>
      </c>
      <c r="F77" s="2">
        <f t="shared" si="15"/>
        <v>0.18889365351629503</v>
      </c>
      <c r="G77" s="1">
        <v>1192</v>
      </c>
      <c r="H77">
        <v>111</v>
      </c>
      <c r="I77" s="1">
        <f t="shared" si="9"/>
        <v>1081</v>
      </c>
      <c r="J77" s="2">
        <f t="shared" si="10"/>
        <v>0.23177530017152659</v>
      </c>
      <c r="K77" s="2">
        <f>I77/I77</f>
        <v>1</v>
      </c>
      <c r="L77" s="1">
        <v>3387</v>
      </c>
      <c r="M77">
        <v>128</v>
      </c>
      <c r="N77" s="1">
        <v>2611</v>
      </c>
      <c r="O77" s="3">
        <f t="shared" si="13"/>
        <v>1.2481807736499426</v>
      </c>
      <c r="P77" s="1">
        <v>11864</v>
      </c>
      <c r="Q77" s="1">
        <v>7657</v>
      </c>
      <c r="R77" s="1">
        <v>4572</v>
      </c>
      <c r="S77" s="3">
        <f t="shared" si="11"/>
        <v>0.96209482989552642</v>
      </c>
      <c r="T77" t="s">
        <v>88</v>
      </c>
    </row>
    <row r="78" spans="1:20" x14ac:dyDescent="0.35">
      <c r="A78">
        <v>2016</v>
      </c>
      <c r="B78" s="1">
        <v>6608</v>
      </c>
      <c r="C78" s="1">
        <v>2623</v>
      </c>
      <c r="D78" s="2">
        <f t="shared" si="8"/>
        <v>0.39694309927360777</v>
      </c>
      <c r="E78">
        <v>962</v>
      </c>
      <c r="F78" s="2">
        <f t="shared" si="15"/>
        <v>0.14558111380145278</v>
      </c>
      <c r="G78" s="1">
        <v>2155</v>
      </c>
      <c r="H78">
        <v>136</v>
      </c>
      <c r="I78" s="1">
        <f t="shared" si="9"/>
        <v>2019</v>
      </c>
      <c r="J78" s="2">
        <f t="shared" si="10"/>
        <v>0.30553874092009686</v>
      </c>
      <c r="K78" s="2">
        <f>I78/I77</f>
        <v>1.8677150786308974</v>
      </c>
      <c r="L78" s="1">
        <v>4830</v>
      </c>
      <c r="M78">
        <v>49</v>
      </c>
      <c r="N78" s="1">
        <v>2656</v>
      </c>
      <c r="O78" s="3">
        <f t="shared" si="13"/>
        <v>1.8000753012048192</v>
      </c>
      <c r="P78" s="1">
        <v>12622</v>
      </c>
      <c r="Q78" s="1">
        <v>11680</v>
      </c>
      <c r="R78" s="1">
        <v>5677</v>
      </c>
      <c r="S78" s="3">
        <f t="shared" si="11"/>
        <v>1.4560545168617858</v>
      </c>
      <c r="T78" t="s">
        <v>88</v>
      </c>
    </row>
    <row r="79" spans="1:20" x14ac:dyDescent="0.35">
      <c r="A79">
        <v>2017</v>
      </c>
      <c r="B79" s="1">
        <v>7017</v>
      </c>
      <c r="C79" s="1">
        <v>2581</v>
      </c>
      <c r="D79" s="2">
        <f t="shared" si="8"/>
        <v>0.36782100612797491</v>
      </c>
      <c r="E79">
        <v>273</v>
      </c>
      <c r="F79" s="2">
        <f t="shared" si="15"/>
        <v>3.8905515177426249E-2</v>
      </c>
      <c r="G79" s="1">
        <v>2213</v>
      </c>
      <c r="H79">
        <v>155</v>
      </c>
      <c r="I79" s="1">
        <f t="shared" si="9"/>
        <v>2058</v>
      </c>
      <c r="J79" s="2">
        <f t="shared" si="10"/>
        <v>0.29328772979905943</v>
      </c>
      <c r="K79" s="2">
        <f>I79/I77</f>
        <v>1.9037927844588345</v>
      </c>
      <c r="L79" s="1">
        <v>6520</v>
      </c>
      <c r="M79">
        <v>46</v>
      </c>
      <c r="N79" s="1">
        <v>3663</v>
      </c>
      <c r="O79" s="3">
        <f t="shared" si="13"/>
        <v>1.7674037674037675</v>
      </c>
      <c r="P79" s="1">
        <v>12148</v>
      </c>
      <c r="Q79" s="1">
        <v>10955</v>
      </c>
      <c r="R79" s="1">
        <v>5543</v>
      </c>
      <c r="S79" s="3">
        <f t="shared" si="11"/>
        <v>1.2007304030259554</v>
      </c>
      <c r="T79" t="s">
        <v>88</v>
      </c>
    </row>
    <row r="80" spans="1:20" x14ac:dyDescent="0.35">
      <c r="A80">
        <v>2018</v>
      </c>
      <c r="B80" s="1">
        <v>7500</v>
      </c>
      <c r="C80" s="1">
        <v>3008</v>
      </c>
      <c r="D80" s="2">
        <f t="shared" si="8"/>
        <v>0.40106666666666668</v>
      </c>
      <c r="E80" s="1">
        <v>1813</v>
      </c>
      <c r="F80" s="2">
        <f t="shared" si="15"/>
        <v>0.24173333333333333</v>
      </c>
      <c r="G80" s="1">
        <v>1790</v>
      </c>
      <c r="H80">
        <v>131</v>
      </c>
      <c r="I80" s="1">
        <f t="shared" si="9"/>
        <v>1659</v>
      </c>
      <c r="J80" s="2">
        <f t="shared" si="10"/>
        <v>0.22120000000000001</v>
      </c>
      <c r="K80" s="2">
        <f>I80/I77</f>
        <v>1.5346901017576318</v>
      </c>
      <c r="L80" s="1">
        <v>6106</v>
      </c>
      <c r="M80">
        <v>43</v>
      </c>
      <c r="N80" s="1">
        <v>2642</v>
      </c>
      <c r="O80" s="3">
        <f t="shared" si="13"/>
        <v>2.2948523845571538</v>
      </c>
      <c r="P80" s="1">
        <v>11729</v>
      </c>
      <c r="Q80" s="1">
        <v>10562</v>
      </c>
      <c r="R80" s="1">
        <v>3836</v>
      </c>
      <c r="S80" s="3">
        <f t="shared" si="11"/>
        <v>0.89598893499308441</v>
      </c>
      <c r="T80" t="s">
        <v>88</v>
      </c>
    </row>
    <row r="81" spans="1:20" x14ac:dyDescent="0.35">
      <c r="A81">
        <v>2019</v>
      </c>
      <c r="B81" s="1">
        <v>6489</v>
      </c>
      <c r="C81" s="1">
        <v>2313</v>
      </c>
      <c r="D81" s="2">
        <f t="shared" si="8"/>
        <v>0.3564493758668516</v>
      </c>
      <c r="E81" s="1">
        <v>1503</v>
      </c>
      <c r="F81" s="2">
        <f t="shared" si="15"/>
        <v>0.23162274618585299</v>
      </c>
      <c r="G81" s="1">
        <v>1831</v>
      </c>
      <c r="H81">
        <v>116</v>
      </c>
      <c r="I81" s="1">
        <f t="shared" si="9"/>
        <v>1715</v>
      </c>
      <c r="J81" s="2">
        <f t="shared" si="10"/>
        <v>0.26429341963322545</v>
      </c>
      <c r="K81" s="2">
        <f>I81/I77</f>
        <v>1.5864939870490287</v>
      </c>
      <c r="L81" s="1">
        <v>7292</v>
      </c>
      <c r="M81">
        <v>32</v>
      </c>
      <c r="N81" s="1">
        <v>2915</v>
      </c>
      <c r="O81" s="3">
        <f t="shared" si="13"/>
        <v>2.4905660377358489</v>
      </c>
      <c r="P81" s="1">
        <v>12553</v>
      </c>
      <c r="Q81" s="1">
        <v>10349</v>
      </c>
      <c r="R81" s="1">
        <v>4125</v>
      </c>
      <c r="S81" s="3">
        <f t="shared" si="11"/>
        <v>0.74387151310228228</v>
      </c>
      <c r="T81" t="s">
        <v>88</v>
      </c>
    </row>
    <row r="82" spans="1:20" x14ac:dyDescent="0.35">
      <c r="A82">
        <v>2015</v>
      </c>
      <c r="B82" s="1">
        <v>4515</v>
      </c>
      <c r="C82" s="1">
        <v>1265</v>
      </c>
      <c r="D82" s="2">
        <f t="shared" si="8"/>
        <v>0.28017718715393136</v>
      </c>
      <c r="E82">
        <v>875</v>
      </c>
      <c r="F82" s="2">
        <f t="shared" si="15"/>
        <v>0.19379844961240311</v>
      </c>
      <c r="G82" s="1">
        <v>1067</v>
      </c>
      <c r="H82">
        <v>95</v>
      </c>
      <c r="I82" s="1">
        <f t="shared" si="9"/>
        <v>972</v>
      </c>
      <c r="J82" s="2">
        <f t="shared" si="10"/>
        <v>0.21528239202657806</v>
      </c>
      <c r="K82" s="2">
        <f>I82/I82</f>
        <v>1</v>
      </c>
      <c r="L82" s="1">
        <v>3720</v>
      </c>
      <c r="M82">
        <v>36</v>
      </c>
      <c r="N82" s="1">
        <v>2747</v>
      </c>
      <c r="O82" s="3">
        <f t="shared" si="13"/>
        <v>1.3410993811430652</v>
      </c>
      <c r="P82" s="1">
        <v>2427</v>
      </c>
      <c r="Q82" s="1">
        <v>1824</v>
      </c>
      <c r="R82">
        <v>364</v>
      </c>
      <c r="S82" s="3">
        <f t="shared" si="11"/>
        <v>0.7256822953114066</v>
      </c>
      <c r="T82" t="s">
        <v>89</v>
      </c>
    </row>
    <row r="83" spans="1:20" x14ac:dyDescent="0.35">
      <c r="A83">
        <v>2016</v>
      </c>
      <c r="B83" s="1">
        <v>4396</v>
      </c>
      <c r="C83" s="1">
        <v>1071</v>
      </c>
      <c r="D83" s="2">
        <f t="shared" si="8"/>
        <v>0.24363057324840764</v>
      </c>
      <c r="E83" s="1">
        <v>1156</v>
      </c>
      <c r="F83" s="2">
        <f t="shared" si="15"/>
        <v>0.26296633303002731</v>
      </c>
      <c r="G83" s="1">
        <v>1223</v>
      </c>
      <c r="H83">
        <v>93</v>
      </c>
      <c r="I83" s="1">
        <f t="shared" si="9"/>
        <v>1130</v>
      </c>
      <c r="J83" s="2">
        <f t="shared" si="10"/>
        <v>0.2570518653321201</v>
      </c>
      <c r="K83" s="2">
        <f>I83/I82</f>
        <v>1.1625514403292181</v>
      </c>
      <c r="L83" s="1">
        <v>4354</v>
      </c>
      <c r="M83">
        <v>33</v>
      </c>
      <c r="N83" s="1">
        <v>2418</v>
      </c>
      <c r="O83" s="3">
        <f t="shared" si="13"/>
        <v>1.7870140612076095</v>
      </c>
      <c r="P83" s="1">
        <v>2696</v>
      </c>
      <c r="Q83" s="1">
        <v>1767</v>
      </c>
      <c r="R83" s="1">
        <v>1236</v>
      </c>
      <c r="S83" s="3">
        <f t="shared" si="11"/>
        <v>0.69599999999999995</v>
      </c>
      <c r="T83" t="s">
        <v>89</v>
      </c>
    </row>
    <row r="84" spans="1:20" x14ac:dyDescent="0.35">
      <c r="A84">
        <v>2017</v>
      </c>
      <c r="B84" s="1">
        <v>4845</v>
      </c>
      <c r="C84" s="1">
        <v>1388</v>
      </c>
      <c r="D84" s="2">
        <f t="shared" si="8"/>
        <v>0.2864809081527348</v>
      </c>
      <c r="E84">
        <v>967</v>
      </c>
      <c r="F84" s="2">
        <f t="shared" si="15"/>
        <v>0.19958720330237359</v>
      </c>
      <c r="G84" s="1">
        <v>1383</v>
      </c>
      <c r="H84">
        <v>123</v>
      </c>
      <c r="I84" s="1">
        <f t="shared" si="9"/>
        <v>1260</v>
      </c>
      <c r="J84" s="2">
        <f t="shared" si="10"/>
        <v>0.26006191950464397</v>
      </c>
      <c r="K84" s="2">
        <f>I84/I82</f>
        <v>1.2962962962962963</v>
      </c>
      <c r="L84" s="1">
        <v>5199</v>
      </c>
      <c r="M84">
        <v>0</v>
      </c>
      <c r="N84" s="1">
        <v>2415</v>
      </c>
      <c r="O84" s="3">
        <f t="shared" si="13"/>
        <v>2.1527950310559008</v>
      </c>
      <c r="P84" s="1">
        <v>2519</v>
      </c>
      <c r="Q84" s="1">
        <v>1715</v>
      </c>
      <c r="R84" s="1">
        <v>1243</v>
      </c>
      <c r="S84" s="3">
        <f t="shared" si="11"/>
        <v>0.60936198567382971</v>
      </c>
      <c r="T84" t="s">
        <v>89</v>
      </c>
    </row>
    <row r="85" spans="1:20" x14ac:dyDescent="0.35">
      <c r="A85">
        <v>2018</v>
      </c>
      <c r="B85" s="1">
        <v>5150</v>
      </c>
      <c r="C85" s="1">
        <v>1565</v>
      </c>
      <c r="D85" s="2">
        <f t="shared" si="8"/>
        <v>0.30388349514563107</v>
      </c>
      <c r="E85" s="1">
        <v>1043</v>
      </c>
      <c r="F85" s="2">
        <f t="shared" si="15"/>
        <v>0.20252427184466018</v>
      </c>
      <c r="G85" s="1">
        <v>1692</v>
      </c>
      <c r="H85">
        <v>107</v>
      </c>
      <c r="I85" s="1">
        <f t="shared" si="9"/>
        <v>1585</v>
      </c>
      <c r="J85" s="2">
        <f t="shared" si="10"/>
        <v>0.30776699029126214</v>
      </c>
      <c r="K85" s="2">
        <f>I85/I82</f>
        <v>1.6306584362139918</v>
      </c>
      <c r="L85" s="1">
        <v>6004</v>
      </c>
      <c r="M85">
        <v>0</v>
      </c>
      <c r="N85" s="1">
        <v>2491</v>
      </c>
      <c r="O85" s="3">
        <f t="shared" si="13"/>
        <v>2.4102769971898836</v>
      </c>
      <c r="P85" s="1">
        <v>2580</v>
      </c>
      <c r="Q85" s="1">
        <v>1954</v>
      </c>
      <c r="R85" s="1">
        <v>1498</v>
      </c>
      <c r="S85" s="3">
        <f t="shared" si="11"/>
        <v>0.60165912518853693</v>
      </c>
      <c r="T85" t="s">
        <v>89</v>
      </c>
    </row>
    <row r="86" spans="1:20" x14ac:dyDescent="0.35">
      <c r="A86">
        <v>2019</v>
      </c>
      <c r="B86" s="1">
        <v>4950</v>
      </c>
      <c r="C86" s="1">
        <v>1158</v>
      </c>
      <c r="D86" s="2">
        <f t="shared" si="8"/>
        <v>0.23393939393939395</v>
      </c>
      <c r="E86" s="1">
        <v>1019</v>
      </c>
      <c r="F86" s="2">
        <f t="shared" si="15"/>
        <v>0.20585858585858585</v>
      </c>
      <c r="G86" s="1">
        <v>1547</v>
      </c>
      <c r="H86">
        <v>119</v>
      </c>
      <c r="I86" s="1">
        <f t="shared" si="9"/>
        <v>1428</v>
      </c>
      <c r="J86" s="2">
        <f t="shared" si="10"/>
        <v>0.28848484848484851</v>
      </c>
      <c r="K86" s="2">
        <f>I86/I82</f>
        <v>1.4691358024691359</v>
      </c>
      <c r="L86" s="1">
        <v>6381</v>
      </c>
      <c r="M86">
        <v>0</v>
      </c>
      <c r="N86" s="1">
        <v>2265</v>
      </c>
      <c r="O86" s="3">
        <f t="shared" si="13"/>
        <v>2.8172185430463577</v>
      </c>
      <c r="P86" s="1">
        <v>2576</v>
      </c>
      <c r="Q86" s="1">
        <v>1979</v>
      </c>
      <c r="R86" s="1">
        <v>1361</v>
      </c>
      <c r="S86" s="3">
        <f t="shared" si="11"/>
        <v>0.51963313270278022</v>
      </c>
      <c r="T86" t="s">
        <v>89</v>
      </c>
    </row>
    <row r="87" spans="1:20" x14ac:dyDescent="0.35">
      <c r="A87">
        <v>2015</v>
      </c>
      <c r="B87" s="1">
        <v>2218</v>
      </c>
      <c r="C87">
        <v>-124</v>
      </c>
      <c r="D87" s="2">
        <f t="shared" si="8"/>
        <v>-5.5906221821460773E-2</v>
      </c>
      <c r="E87">
        <v>-533</v>
      </c>
      <c r="F87" s="2">
        <f t="shared" si="15"/>
        <v>-0.24030658250676284</v>
      </c>
      <c r="G87">
        <v>383</v>
      </c>
      <c r="H87">
        <v>347</v>
      </c>
      <c r="I87" s="1">
        <f t="shared" si="9"/>
        <v>36</v>
      </c>
      <c r="J87" s="2">
        <f t="shared" si="10"/>
        <v>1.6230838593327322E-2</v>
      </c>
      <c r="K87" s="2">
        <f>I87/I87</f>
        <v>1</v>
      </c>
      <c r="L87" s="1">
        <v>4382</v>
      </c>
      <c r="M87">
        <v>0</v>
      </c>
      <c r="N87">
        <v>506</v>
      </c>
      <c r="O87" s="3">
        <f t="shared" si="13"/>
        <v>8.6600790513833985</v>
      </c>
      <c r="P87" s="1">
        <v>2061</v>
      </c>
      <c r="Q87" s="1">
        <v>1264</v>
      </c>
      <c r="R87" s="1">
        <v>1568</v>
      </c>
      <c r="S87" s="3">
        <f t="shared" si="11"/>
        <v>0.40046340992469587</v>
      </c>
      <c r="T87" t="s">
        <v>94</v>
      </c>
    </row>
    <row r="88" spans="1:20" x14ac:dyDescent="0.35">
      <c r="A88">
        <v>2016</v>
      </c>
      <c r="B88" s="1">
        <v>2530</v>
      </c>
      <c r="C88">
        <v>136</v>
      </c>
      <c r="D88" s="2">
        <f t="shared" si="8"/>
        <v>5.3754940711462453E-2</v>
      </c>
      <c r="E88">
        <v>-441</v>
      </c>
      <c r="F88" s="2">
        <f t="shared" si="15"/>
        <v>-0.17430830039525691</v>
      </c>
      <c r="G88">
        <v>763</v>
      </c>
      <c r="H88">
        <v>219</v>
      </c>
      <c r="I88" s="1">
        <f t="shared" si="9"/>
        <v>544</v>
      </c>
      <c r="J88" s="2">
        <f t="shared" si="10"/>
        <v>0.21501976284584981</v>
      </c>
      <c r="K88" s="2">
        <f>I88/I87</f>
        <v>15.111111111111111</v>
      </c>
      <c r="L88" s="1">
        <v>4652</v>
      </c>
      <c r="M88">
        <v>0</v>
      </c>
      <c r="N88">
        <v>584</v>
      </c>
      <c r="O88" s="3">
        <f t="shared" si="13"/>
        <v>7.9657534246575343</v>
      </c>
      <c r="P88" s="1">
        <v>2218</v>
      </c>
      <c r="Q88" s="1">
        <v>1281</v>
      </c>
      <c r="R88" s="1">
        <v>1681</v>
      </c>
      <c r="S88" s="3">
        <f t="shared" si="11"/>
        <v>0.4052603327965647</v>
      </c>
      <c r="T88" t="s">
        <v>94</v>
      </c>
    </row>
    <row r="89" spans="1:20" x14ac:dyDescent="0.35">
      <c r="A89">
        <v>2017</v>
      </c>
      <c r="B89" s="1">
        <v>2443</v>
      </c>
      <c r="C89">
        <v>429</v>
      </c>
      <c r="D89" s="2">
        <f t="shared" si="8"/>
        <v>0.17560376586164553</v>
      </c>
      <c r="E89">
        <v>-95</v>
      </c>
      <c r="F89" s="2">
        <f t="shared" si="15"/>
        <v>-3.8886614817846908E-2</v>
      </c>
      <c r="G89">
        <v>831</v>
      </c>
      <c r="H89">
        <v>161</v>
      </c>
      <c r="I89" s="1">
        <f t="shared" si="9"/>
        <v>670</v>
      </c>
      <c r="J89" s="2">
        <f t="shared" si="10"/>
        <v>0.27425296766270979</v>
      </c>
      <c r="K89" s="2">
        <f>I89/I87</f>
        <v>18.611111111111111</v>
      </c>
      <c r="L89" s="1">
        <v>5322</v>
      </c>
      <c r="M89">
        <v>0</v>
      </c>
      <c r="N89">
        <v>583</v>
      </c>
      <c r="O89" s="3">
        <f t="shared" si="13"/>
        <v>9.1286449399656941</v>
      </c>
      <c r="P89" s="1">
        <v>2091</v>
      </c>
      <c r="Q89" s="1">
        <v>1239</v>
      </c>
      <c r="R89" s="1">
        <v>1782</v>
      </c>
      <c r="S89" s="3">
        <f t="shared" si="11"/>
        <v>0.3830579850988014</v>
      </c>
      <c r="T89" t="s">
        <v>94</v>
      </c>
    </row>
    <row r="90" spans="1:20" x14ac:dyDescent="0.35">
      <c r="A90">
        <v>2018</v>
      </c>
      <c r="B90" s="1">
        <v>3042</v>
      </c>
      <c r="C90">
        <v>875</v>
      </c>
      <c r="D90" s="2">
        <f t="shared" si="8"/>
        <v>0.2876397107166338</v>
      </c>
      <c r="E90">
        <v>424</v>
      </c>
      <c r="F90" s="2">
        <f t="shared" si="15"/>
        <v>0.1393819855358317</v>
      </c>
      <c r="G90" s="1">
        <v>1340</v>
      </c>
      <c r="H90">
        <v>484</v>
      </c>
      <c r="I90" s="1">
        <f t="shared" si="9"/>
        <v>856</v>
      </c>
      <c r="J90" s="2">
        <f t="shared" si="10"/>
        <v>0.28139381985535833</v>
      </c>
      <c r="K90" s="2">
        <f>I90/I87</f>
        <v>23.777777777777779</v>
      </c>
      <c r="L90" s="1">
        <v>7111</v>
      </c>
      <c r="M90">
        <v>0</v>
      </c>
      <c r="N90" s="1">
        <v>1516</v>
      </c>
      <c r="O90" s="3">
        <f t="shared" si="13"/>
        <v>4.6906332453825854</v>
      </c>
      <c r="P90" s="1">
        <v>3052</v>
      </c>
      <c r="Q90" s="1">
        <v>1272</v>
      </c>
      <c r="R90" s="1">
        <v>1841</v>
      </c>
      <c r="S90" s="3">
        <f t="shared" si="11"/>
        <v>0.37757282645371726</v>
      </c>
      <c r="T90" t="s">
        <v>94</v>
      </c>
    </row>
    <row r="91" spans="1:20" x14ac:dyDescent="0.35">
      <c r="A91">
        <v>2019</v>
      </c>
      <c r="B91" s="1">
        <v>3459</v>
      </c>
      <c r="C91">
        <v>832</v>
      </c>
      <c r="D91" s="2">
        <f t="shared" si="8"/>
        <v>0.24053194564903152</v>
      </c>
      <c r="E91">
        <v>390</v>
      </c>
      <c r="F91" s="2">
        <f t="shared" si="15"/>
        <v>0.11274934952298352</v>
      </c>
      <c r="G91" s="1">
        <v>1303</v>
      </c>
      <c r="H91">
        <v>541</v>
      </c>
      <c r="I91" s="1">
        <f t="shared" si="9"/>
        <v>762</v>
      </c>
      <c r="J91" s="2">
        <f t="shared" si="10"/>
        <v>0.22029488291413704</v>
      </c>
      <c r="K91" s="2">
        <f>I91/I87</f>
        <v>21.166666666666668</v>
      </c>
      <c r="L91" s="1">
        <v>7620</v>
      </c>
      <c r="M91">
        <v>0</v>
      </c>
      <c r="N91">
        <v>832</v>
      </c>
      <c r="O91" s="3">
        <f t="shared" si="13"/>
        <v>9.1586538461538467</v>
      </c>
      <c r="P91" s="1">
        <v>5083</v>
      </c>
      <c r="Q91" s="1">
        <v>1312</v>
      </c>
      <c r="R91" s="1">
        <v>3167</v>
      </c>
      <c r="S91" s="3">
        <f t="shared" si="11"/>
        <v>0.35106663155122464</v>
      </c>
      <c r="T91" t="s">
        <v>94</v>
      </c>
    </row>
    <row r="92" spans="1:20" x14ac:dyDescent="0.35">
      <c r="A92">
        <v>2015</v>
      </c>
      <c r="B92">
        <v>134</v>
      </c>
      <c r="C92">
        <v>12</v>
      </c>
      <c r="D92" s="2">
        <f t="shared" si="8"/>
        <v>8.9552238805970144E-2</v>
      </c>
      <c r="E92">
        <v>12</v>
      </c>
      <c r="F92" s="2">
        <f t="shared" si="15"/>
        <v>8.9552238805970144E-2</v>
      </c>
      <c r="G92">
        <v>57</v>
      </c>
      <c r="H92">
        <v>14</v>
      </c>
      <c r="I92" s="1">
        <f t="shared" si="9"/>
        <v>43</v>
      </c>
      <c r="J92" s="2">
        <f t="shared" si="10"/>
        <v>0.32089552238805968</v>
      </c>
      <c r="K92" s="2">
        <f>I92/I92</f>
        <v>1</v>
      </c>
      <c r="L92">
        <v>504</v>
      </c>
      <c r="M92">
        <v>0</v>
      </c>
      <c r="N92">
        <v>72</v>
      </c>
      <c r="O92" s="3">
        <f t="shared" si="13"/>
        <v>7</v>
      </c>
      <c r="P92">
        <v>38</v>
      </c>
      <c r="Q92">
        <v>0</v>
      </c>
      <c r="R92">
        <v>2</v>
      </c>
      <c r="S92" s="3">
        <f t="shared" si="11"/>
        <v>0.13653136531365315</v>
      </c>
      <c r="T92" t="s">
        <v>95</v>
      </c>
    </row>
    <row r="93" spans="1:20" x14ac:dyDescent="0.35">
      <c r="A93">
        <v>2016</v>
      </c>
      <c r="B93">
        <v>553</v>
      </c>
      <c r="C93">
        <v>152</v>
      </c>
      <c r="D93" s="2">
        <f t="shared" si="8"/>
        <v>0.27486437613019893</v>
      </c>
      <c r="E93">
        <v>142</v>
      </c>
      <c r="F93" s="2">
        <f t="shared" si="15"/>
        <v>0.25678119349005424</v>
      </c>
      <c r="G93">
        <v>218</v>
      </c>
      <c r="H93">
        <v>7</v>
      </c>
      <c r="I93" s="1">
        <f t="shared" si="9"/>
        <v>211</v>
      </c>
      <c r="J93" s="2">
        <f t="shared" si="10"/>
        <v>0.38155515370705245</v>
      </c>
      <c r="K93" s="2">
        <f>I93/I92</f>
        <v>4.9069767441860463</v>
      </c>
      <c r="L93">
        <v>720</v>
      </c>
      <c r="M93">
        <v>0</v>
      </c>
      <c r="N93">
        <v>134</v>
      </c>
      <c r="O93" s="3">
        <f t="shared" si="13"/>
        <v>5.3731343283582094</v>
      </c>
      <c r="P93">
        <v>50</v>
      </c>
      <c r="Q93">
        <v>0</v>
      </c>
      <c r="R93">
        <v>2</v>
      </c>
      <c r="S93" s="3">
        <f t="shared" si="11"/>
        <v>0.17662337662337663</v>
      </c>
      <c r="T93" t="s">
        <v>95</v>
      </c>
    </row>
    <row r="94" spans="1:20" x14ac:dyDescent="0.35">
      <c r="A94">
        <v>2017</v>
      </c>
      <c r="B94" s="1">
        <v>1318</v>
      </c>
      <c r="C94">
        <v>350</v>
      </c>
      <c r="D94" s="2">
        <f t="shared" si="8"/>
        <v>0.26555386949924126</v>
      </c>
      <c r="E94">
        <v>319</v>
      </c>
      <c r="F94" s="2">
        <f t="shared" si="15"/>
        <v>0.24203338391502277</v>
      </c>
      <c r="G94">
        <v>428</v>
      </c>
      <c r="H94">
        <v>32</v>
      </c>
      <c r="I94" s="1">
        <f t="shared" si="9"/>
        <v>396</v>
      </c>
      <c r="J94" s="2">
        <f t="shared" si="10"/>
        <v>0.30045523520485584</v>
      </c>
      <c r="K94" s="2">
        <f>I94/I92</f>
        <v>9.2093023255813957</v>
      </c>
      <c r="L94" s="1">
        <v>1189</v>
      </c>
      <c r="M94">
        <v>0</v>
      </c>
      <c r="N94">
        <v>260</v>
      </c>
      <c r="O94" s="3">
        <f t="shared" si="13"/>
        <v>4.5730769230769228</v>
      </c>
      <c r="P94">
        <v>113</v>
      </c>
      <c r="Q94">
        <v>11</v>
      </c>
      <c r="R94">
        <v>4</v>
      </c>
      <c r="S94" s="3">
        <f t="shared" si="11"/>
        <v>0.20449264136328427</v>
      </c>
      <c r="T94" t="s">
        <v>95</v>
      </c>
    </row>
    <row r="95" spans="1:20" x14ac:dyDescent="0.35">
      <c r="A95">
        <v>2018</v>
      </c>
      <c r="B95" s="1">
        <v>1950</v>
      </c>
      <c r="C95">
        <v>473</v>
      </c>
      <c r="D95" s="2">
        <f t="shared" si="8"/>
        <v>0.24256410256410257</v>
      </c>
      <c r="E95">
        <v>409</v>
      </c>
      <c r="F95" s="2">
        <f t="shared" si="15"/>
        <v>0.20974358974358975</v>
      </c>
      <c r="G95">
        <v>484</v>
      </c>
      <c r="H95">
        <v>35</v>
      </c>
      <c r="I95" s="1">
        <f t="shared" si="9"/>
        <v>449</v>
      </c>
      <c r="J95" s="2">
        <f t="shared" si="10"/>
        <v>0.23025641025641025</v>
      </c>
      <c r="K95" s="2">
        <f>I95/I92</f>
        <v>10.44186046511628</v>
      </c>
      <c r="L95" s="1">
        <v>1837</v>
      </c>
      <c r="M95">
        <v>0</v>
      </c>
      <c r="N95">
        <v>392</v>
      </c>
      <c r="O95" s="3">
        <f t="shared" si="13"/>
        <v>4.6862244897959187</v>
      </c>
      <c r="P95">
        <v>921</v>
      </c>
      <c r="Q95">
        <v>777</v>
      </c>
      <c r="R95">
        <v>763</v>
      </c>
      <c r="S95" s="3">
        <f t="shared" si="11"/>
        <v>0.58303886925795056</v>
      </c>
      <c r="T95" t="s">
        <v>95</v>
      </c>
    </row>
    <row r="96" spans="1:20" x14ac:dyDescent="0.35">
      <c r="A96">
        <v>2019</v>
      </c>
      <c r="B96" s="1">
        <v>2444</v>
      </c>
      <c r="C96">
        <v>512</v>
      </c>
      <c r="D96" s="2">
        <f t="shared" si="8"/>
        <v>0.20949263502454993</v>
      </c>
      <c r="E96">
        <v>427</v>
      </c>
      <c r="F96" s="2">
        <f t="shared" si="15"/>
        <v>0.17471358428805236</v>
      </c>
      <c r="G96">
        <v>783</v>
      </c>
      <c r="H96">
        <v>27</v>
      </c>
      <c r="I96" s="1">
        <f t="shared" si="9"/>
        <v>756</v>
      </c>
      <c r="J96" s="2">
        <f t="shared" si="10"/>
        <v>0.30932896890343697</v>
      </c>
      <c r="K96" s="2">
        <f>I96/I92</f>
        <v>17.581395348837209</v>
      </c>
      <c r="L96" s="1">
        <v>2268</v>
      </c>
      <c r="M96">
        <v>0</v>
      </c>
      <c r="N96">
        <v>374</v>
      </c>
      <c r="O96" s="3">
        <f t="shared" si="13"/>
        <v>6.0641711229946527</v>
      </c>
      <c r="P96">
        <v>961</v>
      </c>
      <c r="Q96">
        <v>754</v>
      </c>
      <c r="R96">
        <v>884</v>
      </c>
      <c r="S96" s="3">
        <f t="shared" si="11"/>
        <v>0.50828282828282834</v>
      </c>
      <c r="T96" t="s">
        <v>95</v>
      </c>
    </row>
    <row r="97" spans="1:20" x14ac:dyDescent="0.35">
      <c r="A97">
        <v>2015</v>
      </c>
      <c r="B97" s="1">
        <v>25281</v>
      </c>
      <c r="C97" s="1">
        <v>8428</v>
      </c>
      <c r="D97" s="2">
        <f t="shared" si="8"/>
        <v>0.33337288873066728</v>
      </c>
      <c r="E97" s="1">
        <v>5271</v>
      </c>
      <c r="F97" s="2">
        <f t="shared" si="15"/>
        <v>0.20849649934733594</v>
      </c>
      <c r="G97" s="1">
        <v>5506</v>
      </c>
      <c r="H97">
        <v>994</v>
      </c>
      <c r="I97" s="1">
        <f t="shared" si="9"/>
        <v>4512</v>
      </c>
      <c r="J97" s="2">
        <f t="shared" si="10"/>
        <v>0.17847395277085559</v>
      </c>
      <c r="K97" s="2">
        <f>I97/I97</f>
        <v>1</v>
      </c>
      <c r="L97" s="1">
        <v>22099</v>
      </c>
      <c r="M97" s="1">
        <v>1492</v>
      </c>
      <c r="N97" s="1">
        <v>6100</v>
      </c>
      <c r="O97" s="3">
        <f t="shared" si="13"/>
        <v>3.3781967213114754</v>
      </c>
      <c r="P97" s="1">
        <v>28697</v>
      </c>
      <c r="Q97" s="1">
        <v>9221</v>
      </c>
      <c r="R97" s="1">
        <v>13282</v>
      </c>
      <c r="S97" s="3">
        <f t="shared" si="11"/>
        <v>0.48354664072050496</v>
      </c>
      <c r="T97" t="s">
        <v>98</v>
      </c>
    </row>
    <row r="98" spans="1:20" x14ac:dyDescent="0.35">
      <c r="A98">
        <v>2016</v>
      </c>
      <c r="B98" s="1">
        <v>23554</v>
      </c>
      <c r="C98" s="1">
        <v>7697</v>
      </c>
      <c r="D98" s="2">
        <f t="shared" si="8"/>
        <v>0.32678101384053665</v>
      </c>
      <c r="E98" s="1">
        <v>5705</v>
      </c>
      <c r="F98" s="2">
        <f t="shared" si="15"/>
        <v>0.2422093911862104</v>
      </c>
      <c r="G98" s="1">
        <v>7400</v>
      </c>
      <c r="H98">
        <v>539</v>
      </c>
      <c r="I98" s="1">
        <f t="shared" si="9"/>
        <v>6861</v>
      </c>
      <c r="J98" s="2">
        <f t="shared" si="10"/>
        <v>0.29128810393139171</v>
      </c>
      <c r="K98" s="2">
        <f>I98/I97</f>
        <v>1.5206117021276595</v>
      </c>
      <c r="L98" s="1">
        <v>22981</v>
      </c>
      <c r="M98" s="1">
        <v>1556</v>
      </c>
      <c r="N98" s="1">
        <v>7311</v>
      </c>
      <c r="O98" s="3">
        <f t="shared" si="13"/>
        <v>2.930515661332239</v>
      </c>
      <c r="P98" s="1">
        <v>29378</v>
      </c>
      <c r="Q98" s="1">
        <v>9179</v>
      </c>
      <c r="R98" s="1">
        <v>13280</v>
      </c>
      <c r="S98" s="3">
        <f t="shared" si="11"/>
        <v>0.49469056313665194</v>
      </c>
      <c r="T98" t="s">
        <v>98</v>
      </c>
    </row>
    <row r="99" spans="1:20" x14ac:dyDescent="0.35">
      <c r="A99">
        <v>2017</v>
      </c>
      <c r="B99" s="1">
        <v>23231</v>
      </c>
      <c r="C99" s="1">
        <v>6787</v>
      </c>
      <c r="D99" s="2">
        <f t="shared" si="8"/>
        <v>0.29215272695966599</v>
      </c>
      <c r="E99" s="1">
        <v>2466</v>
      </c>
      <c r="F99" s="2">
        <f t="shared" si="15"/>
        <v>0.10615126339804572</v>
      </c>
      <c r="G99" s="1">
        <v>4693</v>
      </c>
      <c r="H99">
        <v>690</v>
      </c>
      <c r="I99" s="1">
        <f t="shared" si="9"/>
        <v>4003</v>
      </c>
      <c r="J99" s="2">
        <f t="shared" si="10"/>
        <v>0.17231285781929317</v>
      </c>
      <c r="K99" s="2">
        <f>I99/I97</f>
        <v>0.88718971631205679</v>
      </c>
      <c r="L99" s="1">
        <v>43593</v>
      </c>
      <c r="M99" s="1">
        <v>2035</v>
      </c>
      <c r="N99" s="1">
        <v>10907</v>
      </c>
      <c r="O99" s="3">
        <f t="shared" si="13"/>
        <v>3.8102136242779867</v>
      </c>
      <c r="P99" s="1">
        <v>21893</v>
      </c>
      <c r="Q99" s="1">
        <v>10360</v>
      </c>
      <c r="R99" s="1">
        <v>23833</v>
      </c>
      <c r="S99" s="3">
        <f t="shared" si="11"/>
        <v>0.65434819460925575</v>
      </c>
      <c r="T99" t="s">
        <v>98</v>
      </c>
    </row>
    <row r="100" spans="1:20" x14ac:dyDescent="0.35">
      <c r="A100">
        <v>2018</v>
      </c>
      <c r="B100" s="1">
        <v>22732</v>
      </c>
      <c r="C100" s="1">
        <v>5438</v>
      </c>
      <c r="D100" s="2">
        <f t="shared" si="8"/>
        <v>0.23922224177371107</v>
      </c>
      <c r="E100" s="1">
        <v>-4864</v>
      </c>
      <c r="F100" s="2">
        <f t="shared" si="15"/>
        <v>-0.21397149392926271</v>
      </c>
      <c r="G100" s="1">
        <v>3895</v>
      </c>
      <c r="H100">
        <v>784</v>
      </c>
      <c r="I100" s="1">
        <f t="shared" si="9"/>
        <v>3111</v>
      </c>
      <c r="J100" s="2">
        <f t="shared" si="10"/>
        <v>0.13685553404891782</v>
      </c>
      <c r="K100" s="2">
        <f>I100/I97</f>
        <v>0.6894946808510638</v>
      </c>
      <c r="L100" s="1">
        <v>17384</v>
      </c>
      <c r="M100" s="1">
        <v>1693</v>
      </c>
      <c r="N100" s="1">
        <v>11236</v>
      </c>
      <c r="O100" s="3">
        <f t="shared" si="13"/>
        <v>1.3964934140263439</v>
      </c>
      <c r="P100" s="1">
        <v>15302</v>
      </c>
      <c r="Q100" s="1">
        <v>9453</v>
      </c>
      <c r="R100" s="1">
        <v>20522</v>
      </c>
      <c r="S100" s="3">
        <f t="shared" si="11"/>
        <v>1.4743732590529248</v>
      </c>
      <c r="T100" t="s">
        <v>98</v>
      </c>
    </row>
    <row r="101" spans="1:20" x14ac:dyDescent="0.35">
      <c r="A101">
        <v>2019</v>
      </c>
      <c r="B101" s="1">
        <v>19550</v>
      </c>
      <c r="C101" s="1">
        <v>4759</v>
      </c>
      <c r="D101" s="2">
        <f t="shared" si="8"/>
        <v>0.24342710997442454</v>
      </c>
      <c r="E101" s="1">
        <v>4386</v>
      </c>
      <c r="F101" s="2">
        <f t="shared" si="15"/>
        <v>0.22434782608695653</v>
      </c>
      <c r="G101" s="1">
        <v>7286</v>
      </c>
      <c r="H101">
        <v>887</v>
      </c>
      <c r="I101" s="1">
        <f t="shared" si="9"/>
        <v>6399</v>
      </c>
      <c r="J101" s="2">
        <f t="shared" si="10"/>
        <v>0.3273145780051151</v>
      </c>
      <c r="K101" s="2">
        <f>I101/I97</f>
        <v>1.418218085106383</v>
      </c>
      <c r="L101" s="1">
        <v>16765</v>
      </c>
      <c r="M101" s="1">
        <v>1400</v>
      </c>
      <c r="N101" s="1">
        <v>8935</v>
      </c>
      <c r="O101" s="3">
        <f t="shared" si="13"/>
        <v>1.7196418578623391</v>
      </c>
      <c r="P101" s="1">
        <v>16192</v>
      </c>
      <c r="Q101" s="1">
        <v>8454</v>
      </c>
      <c r="R101" s="1">
        <v>19113</v>
      </c>
      <c r="S101" s="3">
        <f>(N101+R101)/(L101+P101-M101-Q101)</f>
        <v>1.2140414664762151</v>
      </c>
      <c r="T101" t="s">
        <v>98</v>
      </c>
    </row>
    <row r="102" spans="1:20" x14ac:dyDescent="0.35">
      <c r="A102">
        <v>2015</v>
      </c>
      <c r="B102" s="1">
        <v>3258</v>
      </c>
      <c r="C102" s="1">
        <v>1223</v>
      </c>
      <c r="D102" s="2">
        <f t="shared" si="8"/>
        <v>0.37538367096378145</v>
      </c>
      <c r="E102">
        <v>798</v>
      </c>
      <c r="F102" s="2">
        <f t="shared" si="15"/>
        <v>0.24493554327808473</v>
      </c>
      <c r="G102">
        <v>993</v>
      </c>
      <c r="H102">
        <v>430</v>
      </c>
      <c r="I102" s="1">
        <f t="shared" si="9"/>
        <v>563</v>
      </c>
      <c r="J102" s="2">
        <f t="shared" si="10"/>
        <v>0.17280540208717005</v>
      </c>
      <c r="K102" s="2">
        <f>I102/I102</f>
        <v>1</v>
      </c>
      <c r="L102" s="1">
        <v>1915</v>
      </c>
      <c r="M102">
        <v>268</v>
      </c>
      <c r="N102">
        <v>464</v>
      </c>
      <c r="O102" s="3">
        <f t="shared" si="13"/>
        <v>3.5495689655172415</v>
      </c>
      <c r="P102" s="1">
        <v>1805</v>
      </c>
      <c r="Q102">
        <v>902</v>
      </c>
      <c r="R102">
        <v>96</v>
      </c>
      <c r="S102" s="3">
        <f t="shared" ref="S102:S111" si="16">(N102+R102)/(L102+P102-M102-Q102)</f>
        <v>0.2196078431372549</v>
      </c>
      <c r="T102" t="s">
        <v>99</v>
      </c>
    </row>
    <row r="103" spans="1:20" x14ac:dyDescent="0.35">
      <c r="A103">
        <v>2016</v>
      </c>
      <c r="B103" s="1">
        <v>3289</v>
      </c>
      <c r="C103" s="1">
        <v>1379</v>
      </c>
      <c r="D103" s="2">
        <f t="shared" si="8"/>
        <v>0.41927637579811494</v>
      </c>
      <c r="E103">
        <v>995</v>
      </c>
      <c r="F103" s="2">
        <f t="shared" si="15"/>
        <v>0.30252356339312864</v>
      </c>
      <c r="G103" s="1">
        <v>1096</v>
      </c>
      <c r="H103">
        <v>189</v>
      </c>
      <c r="I103" s="1">
        <f t="shared" si="9"/>
        <v>907</v>
      </c>
      <c r="J103" s="2">
        <f t="shared" si="10"/>
        <v>0.27576771055031923</v>
      </c>
      <c r="K103" s="2">
        <f>I103/I102</f>
        <v>1.61101243339254</v>
      </c>
      <c r="L103" s="1">
        <v>2002</v>
      </c>
      <c r="M103">
        <v>424</v>
      </c>
      <c r="N103">
        <v>210</v>
      </c>
      <c r="O103" s="3">
        <f t="shared" si="13"/>
        <v>7.5142857142857142</v>
      </c>
      <c r="P103" s="1">
        <v>1853</v>
      </c>
      <c r="Q103">
        <v>940</v>
      </c>
      <c r="R103">
        <v>104</v>
      </c>
      <c r="S103" s="3">
        <f t="shared" si="16"/>
        <v>0.12605379365716579</v>
      </c>
      <c r="T103" t="s">
        <v>99</v>
      </c>
    </row>
    <row r="104" spans="1:20" x14ac:dyDescent="0.35">
      <c r="A104">
        <v>2017</v>
      </c>
      <c r="B104" s="1">
        <v>3651</v>
      </c>
      <c r="C104" s="1">
        <v>1513</v>
      </c>
      <c r="D104" s="2">
        <f t="shared" si="8"/>
        <v>0.4144070117775952</v>
      </c>
      <c r="E104" s="1">
        <v>1010</v>
      </c>
      <c r="F104" s="2">
        <f t="shared" si="15"/>
        <v>0.27663653793481235</v>
      </c>
      <c r="G104" s="1">
        <v>1471</v>
      </c>
      <c r="H104">
        <v>303</v>
      </c>
      <c r="I104" s="1">
        <f t="shared" si="9"/>
        <v>1168</v>
      </c>
      <c r="J104" s="2">
        <f t="shared" si="10"/>
        <v>0.31991235278006025</v>
      </c>
      <c r="K104" s="2">
        <f>I104/I102</f>
        <v>2.0746003552397867</v>
      </c>
      <c r="L104" s="1">
        <v>2634</v>
      </c>
      <c r="M104">
        <v>494</v>
      </c>
      <c r="N104">
        <v>388</v>
      </c>
      <c r="O104" s="3">
        <f t="shared" si="13"/>
        <v>5.5154639175257731</v>
      </c>
      <c r="P104" s="1">
        <v>1940</v>
      </c>
      <c r="Q104">
        <v>951</v>
      </c>
      <c r="R104">
        <v>120</v>
      </c>
      <c r="S104" s="3">
        <f t="shared" si="16"/>
        <v>0.16235218919782679</v>
      </c>
      <c r="T104" t="s">
        <v>99</v>
      </c>
    </row>
    <row r="105" spans="1:20" x14ac:dyDescent="0.35">
      <c r="A105">
        <v>2018</v>
      </c>
      <c r="B105" s="1">
        <v>3868</v>
      </c>
      <c r="C105" s="1">
        <v>1620</v>
      </c>
      <c r="D105" s="2">
        <f t="shared" si="8"/>
        <v>0.4188210961737332</v>
      </c>
      <c r="E105">
        <v>918</v>
      </c>
      <c r="F105" s="2">
        <f t="shared" si="15"/>
        <v>0.23733195449844882</v>
      </c>
      <c r="G105" s="1">
        <v>1261</v>
      </c>
      <c r="H105" s="1">
        <v>422</v>
      </c>
      <c r="I105" s="1">
        <f t="shared" si="9"/>
        <v>839</v>
      </c>
      <c r="J105" s="2">
        <f t="shared" si="10"/>
        <v>0.21690796277145813</v>
      </c>
      <c r="K105" s="2">
        <f>I105/I102</f>
        <v>1.4902309058614565</v>
      </c>
      <c r="L105" s="1">
        <v>2262</v>
      </c>
      <c r="M105">
        <v>490</v>
      </c>
      <c r="N105">
        <v>390</v>
      </c>
      <c r="O105" s="3">
        <f t="shared" si="13"/>
        <v>4.5435897435897434</v>
      </c>
      <c r="P105" s="1">
        <v>2567</v>
      </c>
      <c r="Q105" s="1">
        <v>1334</v>
      </c>
      <c r="R105">
        <v>342</v>
      </c>
      <c r="S105" s="3">
        <f t="shared" si="16"/>
        <v>0.24359400998336106</v>
      </c>
      <c r="T105" t="s">
        <v>99</v>
      </c>
    </row>
    <row r="106" spans="1:20" x14ac:dyDescent="0.35">
      <c r="A106">
        <v>2019</v>
      </c>
      <c r="B106" s="1">
        <v>3377</v>
      </c>
      <c r="C106" s="1">
        <v>1414</v>
      </c>
      <c r="D106" s="2">
        <f t="shared" ref="D106:D111" si="17">C106/B106</f>
        <v>0.41871483565294643</v>
      </c>
      <c r="E106">
        <v>854</v>
      </c>
      <c r="F106" s="2">
        <f t="shared" si="15"/>
        <v>0.25288717796861121</v>
      </c>
      <c r="G106" s="1">
        <v>1367</v>
      </c>
      <c r="H106">
        <v>398</v>
      </c>
      <c r="I106" s="1">
        <f t="shared" ref="I106:I111" si="18">G106-H106</f>
        <v>969</v>
      </c>
      <c r="J106" s="2">
        <f t="shared" ref="J106:J111" si="19">I106/B106</f>
        <v>0.28694107195735863</v>
      </c>
      <c r="K106" s="2">
        <f>I106/I102</f>
        <v>1.7211367673179396</v>
      </c>
      <c r="L106" s="1">
        <v>2235</v>
      </c>
      <c r="M106">
        <v>610</v>
      </c>
      <c r="N106">
        <v>374</v>
      </c>
      <c r="O106" s="3">
        <f t="shared" si="13"/>
        <v>4.3449197860962565</v>
      </c>
      <c r="P106" s="1">
        <v>2605</v>
      </c>
      <c r="Q106" s="1">
        <v>1298</v>
      </c>
      <c r="R106">
        <v>343</v>
      </c>
      <c r="S106" s="3">
        <f t="shared" si="16"/>
        <v>0.24454297407912687</v>
      </c>
      <c r="T106" t="s">
        <v>99</v>
      </c>
    </row>
    <row r="107" spans="1:20" x14ac:dyDescent="0.35">
      <c r="A107">
        <v>2015</v>
      </c>
      <c r="B107" s="1">
        <v>1711</v>
      </c>
      <c r="C107">
        <v>468</v>
      </c>
      <c r="D107" s="2">
        <f t="shared" si="17"/>
        <v>0.2735242548217417</v>
      </c>
      <c r="E107">
        <v>196</v>
      </c>
      <c r="F107" s="2">
        <f t="shared" si="15"/>
        <v>0.11455289304500292</v>
      </c>
      <c r="G107">
        <v>306</v>
      </c>
      <c r="H107">
        <v>170</v>
      </c>
      <c r="I107" s="1">
        <f t="shared" si="18"/>
        <v>136</v>
      </c>
      <c r="J107" s="2">
        <f t="shared" si="19"/>
        <v>7.9485680888369381E-2</v>
      </c>
      <c r="K107" s="2">
        <f>I107/I107</f>
        <v>1</v>
      </c>
      <c r="L107" s="1">
        <v>1500</v>
      </c>
      <c r="M107">
        <v>347</v>
      </c>
      <c r="N107">
        <v>325</v>
      </c>
      <c r="O107" s="3">
        <f t="shared" si="13"/>
        <v>3.5476923076923077</v>
      </c>
      <c r="P107" s="1">
        <v>5392</v>
      </c>
      <c r="Q107" s="1">
        <v>4448</v>
      </c>
      <c r="R107">
        <v>394</v>
      </c>
      <c r="S107" s="3">
        <f t="shared" si="16"/>
        <v>0.34287076776347164</v>
      </c>
      <c r="T107" t="s">
        <v>100</v>
      </c>
    </row>
    <row r="108" spans="1:20" x14ac:dyDescent="0.35">
      <c r="A108">
        <v>2016</v>
      </c>
      <c r="B108" s="1">
        <v>2611</v>
      </c>
      <c r="C108">
        <v>718</v>
      </c>
      <c r="D108" s="2">
        <f t="shared" si="17"/>
        <v>0.27499042512447336</v>
      </c>
      <c r="E108">
        <v>-29</v>
      </c>
      <c r="F108" s="2">
        <f t="shared" si="15"/>
        <v>-1.1106855610877058E-2</v>
      </c>
      <c r="G108">
        <v>688</v>
      </c>
      <c r="H108">
        <v>316</v>
      </c>
      <c r="I108" s="1">
        <f t="shared" si="18"/>
        <v>372</v>
      </c>
      <c r="J108" s="2">
        <f t="shared" si="19"/>
        <v>0.14247414783607812</v>
      </c>
      <c r="K108" s="2">
        <f>I108/I107</f>
        <v>2.7352941176470589</v>
      </c>
      <c r="L108" s="1">
        <v>1509</v>
      </c>
      <c r="M108">
        <v>428</v>
      </c>
      <c r="N108">
        <v>374</v>
      </c>
      <c r="O108" s="3">
        <f t="shared" si="13"/>
        <v>2.8903743315508019</v>
      </c>
      <c r="P108" s="1">
        <v>5088</v>
      </c>
      <c r="Q108" s="1">
        <v>3948</v>
      </c>
      <c r="R108" s="1">
        <v>1223</v>
      </c>
      <c r="S108" s="3">
        <f t="shared" si="16"/>
        <v>0.71904547501125615</v>
      </c>
      <c r="T108" t="s">
        <v>100</v>
      </c>
    </row>
    <row r="109" spans="1:20" x14ac:dyDescent="0.35">
      <c r="A109">
        <v>2017</v>
      </c>
      <c r="B109" s="1">
        <v>3033</v>
      </c>
      <c r="C109">
        <v>816</v>
      </c>
      <c r="D109" s="2">
        <f t="shared" si="17"/>
        <v>0.26904055390702275</v>
      </c>
      <c r="E109">
        <v>-17</v>
      </c>
      <c r="F109" s="2">
        <f t="shared" si="15"/>
        <v>-5.6050115397296403E-3</v>
      </c>
      <c r="G109">
        <v>777</v>
      </c>
      <c r="H109">
        <v>553</v>
      </c>
      <c r="I109" s="1">
        <f t="shared" si="18"/>
        <v>224</v>
      </c>
      <c r="J109" s="2">
        <f t="shared" si="19"/>
        <v>7.3854269699967029E-2</v>
      </c>
      <c r="K109" s="2">
        <f>I109/I107</f>
        <v>1.6470588235294117</v>
      </c>
      <c r="L109" s="1">
        <v>1462</v>
      </c>
      <c r="M109">
        <v>430</v>
      </c>
      <c r="N109">
        <v>419</v>
      </c>
      <c r="O109" s="3">
        <f t="shared" si="13"/>
        <v>2.4630071599045347</v>
      </c>
      <c r="P109" s="1">
        <v>5061</v>
      </c>
      <c r="Q109" s="1">
        <v>3574</v>
      </c>
      <c r="R109" s="1">
        <v>1207</v>
      </c>
      <c r="S109" s="3">
        <f t="shared" si="16"/>
        <v>0.64549424374751885</v>
      </c>
      <c r="T109" t="s">
        <v>100</v>
      </c>
    </row>
    <row r="110" spans="1:20" x14ac:dyDescent="0.35">
      <c r="A110">
        <v>2018</v>
      </c>
      <c r="B110" s="1">
        <v>2974</v>
      </c>
      <c r="C110">
        <v>816</v>
      </c>
      <c r="D110" s="2">
        <f t="shared" si="17"/>
        <v>0.27437794216543376</v>
      </c>
      <c r="E110">
        <v>-40</v>
      </c>
      <c r="F110" s="2">
        <f t="shared" si="15"/>
        <v>-1.3449899125756557E-2</v>
      </c>
      <c r="G110">
        <v>853</v>
      </c>
      <c r="H110">
        <v>270</v>
      </c>
      <c r="I110" s="1">
        <f t="shared" si="18"/>
        <v>583</v>
      </c>
      <c r="J110" s="2">
        <f t="shared" si="19"/>
        <v>0.19603227975790183</v>
      </c>
      <c r="K110" s="2">
        <f>I110/I107</f>
        <v>4.2867647058823533</v>
      </c>
      <c r="L110" s="1">
        <v>1844</v>
      </c>
      <c r="M110">
        <v>472</v>
      </c>
      <c r="N110">
        <v>441</v>
      </c>
      <c r="O110" s="3">
        <f t="shared" si="13"/>
        <v>3.1111111111111112</v>
      </c>
      <c r="P110" s="1">
        <v>4538</v>
      </c>
      <c r="Q110" s="1">
        <v>3034</v>
      </c>
      <c r="R110" s="1">
        <v>1165</v>
      </c>
      <c r="S110" s="3">
        <f t="shared" si="16"/>
        <v>0.55841446453407506</v>
      </c>
      <c r="T110" t="s">
        <v>100</v>
      </c>
    </row>
    <row r="111" spans="1:20" x14ac:dyDescent="0.35">
      <c r="A111">
        <v>2019</v>
      </c>
      <c r="B111" s="1">
        <v>3090</v>
      </c>
      <c r="C111">
        <v>917</v>
      </c>
      <c r="D111" s="2">
        <f t="shared" si="17"/>
        <v>0.29676375404530747</v>
      </c>
      <c r="E111">
        <v>133</v>
      </c>
      <c r="F111" s="2">
        <f t="shared" si="15"/>
        <v>4.3042071197411005E-2</v>
      </c>
      <c r="G111">
        <v>810</v>
      </c>
      <c r="H111">
        <v>221</v>
      </c>
      <c r="I111" s="1">
        <f t="shared" si="18"/>
        <v>589</v>
      </c>
      <c r="J111" s="2">
        <f t="shared" si="19"/>
        <v>0.1906148867313916</v>
      </c>
      <c r="K111" s="2">
        <f>I111/I107</f>
        <v>4.3308823529411766</v>
      </c>
      <c r="L111" s="1">
        <v>1685</v>
      </c>
      <c r="M111">
        <v>512</v>
      </c>
      <c r="N111">
        <v>436</v>
      </c>
      <c r="O111" s="3">
        <f t="shared" si="13"/>
        <v>2.6903669724770642</v>
      </c>
      <c r="P111" s="1">
        <v>4123</v>
      </c>
      <c r="Q111" s="1">
        <v>2582</v>
      </c>
      <c r="R111" s="1">
        <v>1013</v>
      </c>
      <c r="S111" s="3">
        <f t="shared" si="16"/>
        <v>0.53389830508474578</v>
      </c>
      <c r="T111" t="s">
        <v>100</v>
      </c>
    </row>
    <row r="112" spans="1:20" x14ac:dyDescent="0.35">
      <c r="C112" s="1"/>
      <c r="D112" s="1"/>
      <c r="E112" s="1"/>
      <c r="F112" s="1"/>
      <c r="G112" s="1"/>
    </row>
    <row r="115" spans="11:17" x14ac:dyDescent="0.35">
      <c r="K115" s="1"/>
      <c r="L115" s="1"/>
      <c r="M115" s="1"/>
      <c r="N115" s="1"/>
      <c r="O115" s="1"/>
      <c r="P115" s="1"/>
      <c r="Q115" s="1"/>
    </row>
    <row r="117" spans="11:17" x14ac:dyDescent="0.35">
      <c r="K117" s="1"/>
      <c r="L117" s="1"/>
      <c r="M117" s="1"/>
      <c r="N117" s="1"/>
      <c r="O117" s="1"/>
    </row>
    <row r="118" spans="11:17" x14ac:dyDescent="0.35">
      <c r="K118" s="1"/>
      <c r="L118" s="1"/>
      <c r="M118" s="1"/>
      <c r="N118" s="1"/>
      <c r="O1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6787-1568-4CA2-B92E-ED651BF9292A}">
  <dimension ref="A1"/>
  <sheetViews>
    <sheetView topLeftCell="A12" workbookViewId="0">
      <selection activeCell="R25" sqref="R25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CE52-36BF-430D-A6FE-1A6212664FD8}">
  <dimension ref="A1:T28"/>
  <sheetViews>
    <sheetView topLeftCell="H1" workbookViewId="0">
      <selection activeCell="A2" sqref="A2:S21"/>
    </sheetView>
  </sheetViews>
  <sheetFormatPr defaultRowHeight="14.5" x14ac:dyDescent="0.35"/>
  <cols>
    <col min="1" max="1" width="14.90625" customWidth="1"/>
    <col min="2" max="2" width="8.81640625" customWidth="1"/>
    <col min="3" max="4" width="15.36328125" customWidth="1"/>
    <col min="5" max="6" width="10.36328125" customWidth="1"/>
    <col min="7" max="7" width="16.90625" customWidth="1"/>
    <col min="8" max="8" width="11" customWidth="1"/>
    <col min="9" max="9" width="12.81640625" customWidth="1"/>
    <col min="10" max="10" width="14.1796875" customWidth="1"/>
    <col min="11" max="11" width="14.81640625" customWidth="1"/>
    <col min="12" max="12" width="11.36328125" customWidth="1"/>
    <col min="13" max="13" width="8.6328125" customWidth="1"/>
    <col min="14" max="14" width="15.36328125" customWidth="1"/>
    <col min="15" max="15" width="10.81640625" customWidth="1"/>
    <col min="16" max="16" width="16.6328125" customWidth="1"/>
    <col min="17" max="17" width="14.08984375" customWidth="1"/>
    <col min="18" max="19" width="10" customWidth="1"/>
  </cols>
  <sheetData>
    <row r="1" spans="1:20" x14ac:dyDescent="0.35">
      <c r="A1" t="s">
        <v>1</v>
      </c>
      <c r="B1" t="s">
        <v>2</v>
      </c>
      <c r="C1" t="s">
        <v>3</v>
      </c>
      <c r="D1" t="s">
        <v>11</v>
      </c>
      <c r="E1" t="s">
        <v>4</v>
      </c>
      <c r="F1" t="s">
        <v>73</v>
      </c>
      <c r="G1" t="s">
        <v>6</v>
      </c>
      <c r="H1" s="1" t="s">
        <v>14</v>
      </c>
      <c r="I1" t="s">
        <v>5</v>
      </c>
      <c r="J1" t="s">
        <v>12</v>
      </c>
      <c r="K1" t="s">
        <v>13</v>
      </c>
      <c r="L1" t="s">
        <v>25</v>
      </c>
      <c r="M1" t="s">
        <v>39</v>
      </c>
      <c r="N1" t="s">
        <v>22</v>
      </c>
      <c r="O1" t="s">
        <v>26</v>
      </c>
      <c r="P1" t="s">
        <v>47</v>
      </c>
      <c r="Q1" t="s">
        <v>40</v>
      </c>
      <c r="R1" t="s">
        <v>27</v>
      </c>
      <c r="S1" t="s">
        <v>45</v>
      </c>
      <c r="T1" t="s">
        <v>0</v>
      </c>
    </row>
    <row r="2" spans="1:20" x14ac:dyDescent="0.35">
      <c r="A2">
        <v>2015</v>
      </c>
      <c r="B2" s="1">
        <v>57119</v>
      </c>
      <c r="C2" s="1">
        <v>7769</v>
      </c>
      <c r="D2" s="2">
        <f t="shared" ref="D2:D21" si="0">C2/B2</f>
        <v>0.13601428596439014</v>
      </c>
      <c r="E2" s="1">
        <v>5642</v>
      </c>
      <c r="F2" s="2">
        <f>E2/B2</f>
        <v>9.8776239079815822E-2</v>
      </c>
      <c r="G2" s="1">
        <v>13895</v>
      </c>
      <c r="H2" s="1">
        <v>0</v>
      </c>
      <c r="I2" s="1">
        <v>13895</v>
      </c>
      <c r="J2" s="2">
        <f t="shared" ref="J2:J21" si="1">I2/B2</f>
        <v>0.24326406274619652</v>
      </c>
      <c r="K2" s="2">
        <f>I2/I2</f>
        <v>1</v>
      </c>
      <c r="L2" s="1">
        <v>70033</v>
      </c>
      <c r="M2" s="1">
        <v>0</v>
      </c>
      <c r="N2" s="1">
        <v>24695</v>
      </c>
      <c r="O2" s="3">
        <f t="shared" ref="O2:O21" si="2">L2/N2</f>
        <v>2.8359182020651952</v>
      </c>
      <c r="P2" s="1">
        <v>757388</v>
      </c>
      <c r="Q2" s="1">
        <v>3955</v>
      </c>
      <c r="R2" s="1">
        <v>690770</v>
      </c>
      <c r="S2" s="3">
        <f>(N2+R2)/(L2+P2-M2-Q2)</f>
        <v>0.86884582970031554</v>
      </c>
      <c r="T2" t="s">
        <v>18</v>
      </c>
    </row>
    <row r="3" spans="1:20" x14ac:dyDescent="0.35">
      <c r="A3">
        <v>2016</v>
      </c>
      <c r="B3" s="1">
        <v>58779</v>
      </c>
      <c r="C3" s="1">
        <v>5705</v>
      </c>
      <c r="D3" s="2">
        <f t="shared" si="0"/>
        <v>9.705847326426105E-2</v>
      </c>
      <c r="E3" s="1">
        <v>4368</v>
      </c>
      <c r="F3" s="2">
        <f t="shared" ref="F3:F21" si="3">E3/B3</f>
        <v>7.4312254376563053E-2</v>
      </c>
      <c r="G3" s="1">
        <v>14778</v>
      </c>
      <c r="H3" s="1">
        <v>0</v>
      </c>
      <c r="I3" s="1">
        <f t="shared" ref="I3:I21" si="4">G3-H3</f>
        <v>14778</v>
      </c>
      <c r="J3" s="2">
        <f t="shared" si="1"/>
        <v>0.25141632215587201</v>
      </c>
      <c r="K3" s="2">
        <f>I3/I2</f>
        <v>1.0635480388629004</v>
      </c>
      <c r="L3" s="1">
        <v>59131</v>
      </c>
      <c r="M3" s="1">
        <v>0</v>
      </c>
      <c r="N3" s="1">
        <v>26067</v>
      </c>
      <c r="O3" s="3">
        <f t="shared" si="2"/>
        <v>2.26842367744658</v>
      </c>
      <c r="P3" s="1">
        <v>783962</v>
      </c>
      <c r="Q3" s="1">
        <v>3457</v>
      </c>
      <c r="R3" s="1">
        <v>711807</v>
      </c>
      <c r="S3" s="3">
        <f t="shared" ref="S3:S21" si="5">(N3+R3)/(L3+P3-M3-Q3)</f>
        <v>0.87880224287667508</v>
      </c>
      <c r="T3" t="s">
        <v>18</v>
      </c>
    </row>
    <row r="4" spans="1:20" x14ac:dyDescent="0.35">
      <c r="A4">
        <v>2017</v>
      </c>
      <c r="B4" s="1">
        <v>59689</v>
      </c>
      <c r="C4" s="1">
        <v>6487</v>
      </c>
      <c r="D4" s="2">
        <f t="shared" si="0"/>
        <v>0.10867999128817706</v>
      </c>
      <c r="E4" s="1">
        <v>7863</v>
      </c>
      <c r="F4" s="2">
        <f t="shared" si="3"/>
        <v>0.1317328150915579</v>
      </c>
      <c r="G4" s="1">
        <v>13460</v>
      </c>
      <c r="H4" s="1">
        <v>0</v>
      </c>
      <c r="I4" s="1">
        <f t="shared" si="4"/>
        <v>13460</v>
      </c>
      <c r="J4" s="2">
        <f t="shared" si="1"/>
        <v>0.22550218633249008</v>
      </c>
      <c r="K4" s="2">
        <f>I4/I2</f>
        <v>0.96869377473911478</v>
      </c>
      <c r="L4" s="1">
        <v>57870</v>
      </c>
      <c r="M4" s="1">
        <v>0</v>
      </c>
      <c r="N4" s="1">
        <v>27092</v>
      </c>
      <c r="O4" s="3">
        <f t="shared" si="2"/>
        <v>2.1360549239627935</v>
      </c>
      <c r="P4" s="1">
        <v>831921</v>
      </c>
      <c r="Q4" s="1">
        <v>2776</v>
      </c>
      <c r="R4" s="1">
        <v>750485</v>
      </c>
      <c r="S4" s="3">
        <f t="shared" si="5"/>
        <v>0.87662215407856692</v>
      </c>
      <c r="T4" t="s">
        <v>18</v>
      </c>
    </row>
    <row r="5" spans="1:20" x14ac:dyDescent="0.35">
      <c r="A5">
        <v>2018</v>
      </c>
      <c r="B5" s="1">
        <v>62992</v>
      </c>
      <c r="C5" s="1">
        <v>4834</v>
      </c>
      <c r="D5" s="2">
        <f t="shared" si="0"/>
        <v>7.6739903479806956E-2</v>
      </c>
      <c r="E5" s="1">
        <v>4074</v>
      </c>
      <c r="F5" s="2">
        <f t="shared" si="3"/>
        <v>6.4674879349758699E-2</v>
      </c>
      <c r="G5" s="1">
        <v>21664</v>
      </c>
      <c r="H5" s="1">
        <v>0</v>
      </c>
      <c r="I5" s="1">
        <f t="shared" si="4"/>
        <v>21664</v>
      </c>
      <c r="J5" s="2">
        <f t="shared" si="1"/>
        <v>0.34391668783337564</v>
      </c>
      <c r="K5" s="2">
        <f>I5/I2</f>
        <v>1.5591219863260166</v>
      </c>
      <c r="L5" s="1">
        <v>55823</v>
      </c>
      <c r="M5" s="1">
        <v>0</v>
      </c>
      <c r="N5" s="1">
        <v>25706</v>
      </c>
      <c r="O5" s="3">
        <f t="shared" si="2"/>
        <v>2.1715941803470007</v>
      </c>
      <c r="P5" s="1">
        <v>815078</v>
      </c>
      <c r="Q5" s="1">
        <v>3061</v>
      </c>
      <c r="R5" s="1">
        <v>740341</v>
      </c>
      <c r="S5" s="3">
        <f t="shared" si="5"/>
        <v>0.88270533738938051</v>
      </c>
      <c r="T5" t="s">
        <v>18</v>
      </c>
    </row>
    <row r="6" spans="1:20" x14ac:dyDescent="0.35">
      <c r="A6">
        <v>2019</v>
      </c>
      <c r="B6" s="1">
        <v>64807</v>
      </c>
      <c r="C6" s="1">
        <v>5085</v>
      </c>
      <c r="D6" s="2">
        <f t="shared" si="0"/>
        <v>7.8463746200256146E-2</v>
      </c>
      <c r="E6" s="1">
        <v>4186</v>
      </c>
      <c r="F6" s="2">
        <f t="shared" si="3"/>
        <v>6.4591787924143995E-2</v>
      </c>
      <c r="G6" s="1">
        <v>19625</v>
      </c>
      <c r="H6" s="1">
        <v>0</v>
      </c>
      <c r="I6" s="1">
        <f t="shared" si="4"/>
        <v>19625</v>
      </c>
      <c r="J6" s="2">
        <f t="shared" si="1"/>
        <v>0.30282222599410558</v>
      </c>
      <c r="K6" s="2">
        <f>I6/I2</f>
        <v>1.4123785534364879</v>
      </c>
      <c r="L6" s="1">
        <v>60267</v>
      </c>
      <c r="M6" s="1">
        <v>0</v>
      </c>
      <c r="N6" s="1">
        <v>31270</v>
      </c>
      <c r="O6" s="3">
        <f t="shared" si="2"/>
        <v>1.9273105212663895</v>
      </c>
      <c r="P6" s="1">
        <v>896552</v>
      </c>
      <c r="Q6" s="1">
        <v>4723</v>
      </c>
      <c r="R6" s="1">
        <v>801563</v>
      </c>
      <c r="S6" s="3">
        <f t="shared" si="5"/>
        <v>0.87473637112223979</v>
      </c>
      <c r="T6" t="s">
        <v>18</v>
      </c>
    </row>
    <row r="7" spans="1:20" x14ac:dyDescent="0.35">
      <c r="A7">
        <v>2015</v>
      </c>
      <c r="B7" s="1">
        <v>69905</v>
      </c>
      <c r="C7" s="1">
        <v>9803</v>
      </c>
      <c r="D7" s="2">
        <f t="shared" si="0"/>
        <v>0.14023317359273299</v>
      </c>
      <c r="E7" s="1">
        <v>5152</v>
      </c>
      <c r="F7" s="2">
        <f t="shared" si="3"/>
        <v>7.3700021457692583E-2</v>
      </c>
      <c r="G7" s="1">
        <v>14129</v>
      </c>
      <c r="H7" s="1">
        <v>0</v>
      </c>
      <c r="I7" s="1">
        <f t="shared" si="4"/>
        <v>14129</v>
      </c>
      <c r="J7" s="2">
        <f t="shared" si="1"/>
        <v>0.20211715900150204</v>
      </c>
      <c r="K7" s="2">
        <f>I7/I7</f>
        <v>1</v>
      </c>
      <c r="L7" s="1">
        <v>140796</v>
      </c>
      <c r="M7" s="1">
        <v>0</v>
      </c>
      <c r="N7" s="1">
        <v>32317</v>
      </c>
      <c r="O7" s="3">
        <f t="shared" si="2"/>
        <v>4.356716279357614</v>
      </c>
      <c r="P7" s="1">
        <v>877933</v>
      </c>
      <c r="Q7" s="1">
        <v>15561</v>
      </c>
      <c r="R7" s="1">
        <v>777120</v>
      </c>
      <c r="S7" s="3">
        <f t="shared" si="5"/>
        <v>0.80688080162046638</v>
      </c>
      <c r="T7" t="s">
        <v>19</v>
      </c>
    </row>
    <row r="8" spans="1:20" x14ac:dyDescent="0.35">
      <c r="A8">
        <v>2016</v>
      </c>
      <c r="B8" s="1">
        <v>63110</v>
      </c>
      <c r="C8" s="1">
        <v>2055</v>
      </c>
      <c r="D8" s="2">
        <f t="shared" si="0"/>
        <v>3.2562192996355571E-2</v>
      </c>
      <c r="E8">
        <v>697</v>
      </c>
      <c r="F8" s="2">
        <f t="shared" si="3"/>
        <v>1.1044208524797972E-2</v>
      </c>
      <c r="G8" s="1">
        <v>14827</v>
      </c>
      <c r="H8" s="1">
        <v>0</v>
      </c>
      <c r="I8" s="1">
        <f t="shared" si="4"/>
        <v>14827</v>
      </c>
      <c r="J8" s="2">
        <f t="shared" si="1"/>
        <v>0.23493899540484867</v>
      </c>
      <c r="K8" s="2">
        <f>I8/I7</f>
        <v>1.0494019392738339</v>
      </c>
      <c r="L8" s="1">
        <v>156866</v>
      </c>
      <c r="M8" s="1">
        <v>0</v>
      </c>
      <c r="N8" s="1">
        <v>28705</v>
      </c>
      <c r="O8" s="3">
        <f t="shared" si="2"/>
        <v>5.4647622365441562</v>
      </c>
      <c r="P8" s="1">
        <v>898764</v>
      </c>
      <c r="Q8" s="1">
        <v>15080</v>
      </c>
      <c r="R8" s="1">
        <v>802579</v>
      </c>
      <c r="S8" s="3">
        <f t="shared" si="5"/>
        <v>0.79888904906059299</v>
      </c>
      <c r="T8" t="s">
        <v>19</v>
      </c>
    </row>
    <row r="9" spans="1:20" x14ac:dyDescent="0.35">
      <c r="A9">
        <v>2017</v>
      </c>
      <c r="B9" s="1">
        <v>62412</v>
      </c>
      <c r="C9" s="1">
        <v>5804</v>
      </c>
      <c r="D9" s="2">
        <f t="shared" si="0"/>
        <v>9.2994936871114528E-2</v>
      </c>
      <c r="E9" s="1">
        <v>3907</v>
      </c>
      <c r="F9" s="2">
        <f t="shared" si="3"/>
        <v>6.2600140998525927E-2</v>
      </c>
      <c r="G9" s="1">
        <v>12283</v>
      </c>
      <c r="H9" s="1">
        <v>0</v>
      </c>
      <c r="I9" s="1">
        <f t="shared" si="4"/>
        <v>12283</v>
      </c>
      <c r="J9" s="2">
        <f t="shared" si="1"/>
        <v>0.19680510158302891</v>
      </c>
      <c r="K9" s="2">
        <f>I9/I7</f>
        <v>0.8693467336683417</v>
      </c>
      <c r="L9" s="1">
        <v>129355</v>
      </c>
      <c r="M9" s="1">
        <v>0</v>
      </c>
      <c r="N9" s="1">
        <v>21987</v>
      </c>
      <c r="O9" s="3">
        <f t="shared" si="2"/>
        <v>5.8832491927047803</v>
      </c>
      <c r="P9" s="1">
        <v>719892</v>
      </c>
      <c r="Q9" s="1">
        <v>14479</v>
      </c>
      <c r="R9" s="1">
        <v>639035</v>
      </c>
      <c r="S9" s="3">
        <f t="shared" si="5"/>
        <v>0.79186312843808104</v>
      </c>
      <c r="T9" t="s">
        <v>19</v>
      </c>
    </row>
    <row r="10" spans="1:20" x14ac:dyDescent="0.35">
      <c r="A10">
        <v>2018</v>
      </c>
      <c r="B10" s="1">
        <v>67957</v>
      </c>
      <c r="C10" s="1">
        <v>8366</v>
      </c>
      <c r="D10" s="2">
        <f t="shared" si="0"/>
        <v>0.12310725900201598</v>
      </c>
      <c r="E10" s="1">
        <v>4982</v>
      </c>
      <c r="F10" s="2">
        <f t="shared" si="3"/>
        <v>7.3311064349515134E-2</v>
      </c>
      <c r="G10" s="1">
        <v>11738</v>
      </c>
      <c r="H10" s="1">
        <v>0</v>
      </c>
      <c r="I10" s="1">
        <f t="shared" si="4"/>
        <v>11738</v>
      </c>
      <c r="J10" s="2">
        <f t="shared" si="1"/>
        <v>0.17272687140397605</v>
      </c>
      <c r="K10" s="2">
        <f>I10/I7</f>
        <v>0.83077358624106445</v>
      </c>
      <c r="L10" s="1">
        <v>141169</v>
      </c>
      <c r="M10" s="1">
        <v>0</v>
      </c>
      <c r="N10" s="1">
        <v>19393</v>
      </c>
      <c r="O10" s="3">
        <f t="shared" si="2"/>
        <v>7.2793791574279378</v>
      </c>
      <c r="P10" s="1">
        <v>687538</v>
      </c>
      <c r="Q10" s="1">
        <v>14031</v>
      </c>
      <c r="R10" s="1">
        <v>615187</v>
      </c>
      <c r="S10" s="3">
        <f t="shared" si="5"/>
        <v>0.77893542954499706</v>
      </c>
      <c r="T10" t="s">
        <v>19</v>
      </c>
    </row>
    <row r="11" spans="1:20" x14ac:dyDescent="0.35">
      <c r="A11">
        <v>2019</v>
      </c>
      <c r="B11" s="1">
        <v>69744</v>
      </c>
      <c r="C11" s="1">
        <v>8900</v>
      </c>
      <c r="D11" s="2">
        <f t="shared" si="0"/>
        <v>0.12760954347327369</v>
      </c>
      <c r="E11" s="1">
        <v>5721</v>
      </c>
      <c r="F11" s="2">
        <f t="shared" si="3"/>
        <v>8.2028561596696484E-2</v>
      </c>
      <c r="G11" s="1">
        <v>13786</v>
      </c>
      <c r="H11" s="1">
        <v>0</v>
      </c>
      <c r="I11" s="1">
        <f t="shared" si="4"/>
        <v>13786</v>
      </c>
      <c r="J11" s="2">
        <f t="shared" si="1"/>
        <v>0.19766574902500572</v>
      </c>
      <c r="K11" s="2">
        <f>I11/I7</f>
        <v>0.97572368886686955</v>
      </c>
      <c r="L11" s="1">
        <v>152583</v>
      </c>
      <c r="M11" s="1">
        <v>0</v>
      </c>
      <c r="N11" s="1">
        <v>18681</v>
      </c>
      <c r="O11" s="3">
        <f t="shared" si="2"/>
        <v>8.1678175686526409</v>
      </c>
      <c r="P11" s="1">
        <v>740463</v>
      </c>
      <c r="Q11" s="1">
        <v>13586</v>
      </c>
      <c r="R11" s="1">
        <v>655400</v>
      </c>
      <c r="S11" s="3">
        <f t="shared" si="5"/>
        <v>0.76647147113001157</v>
      </c>
      <c r="T11" t="s">
        <v>19</v>
      </c>
    </row>
    <row r="12" spans="1:20" x14ac:dyDescent="0.35">
      <c r="A12">
        <v>2015</v>
      </c>
      <c r="B12" s="1">
        <v>100492</v>
      </c>
      <c r="C12" s="1">
        <v>55684</v>
      </c>
      <c r="D12" s="2">
        <f t="shared" si="0"/>
        <v>0.55411376029932735</v>
      </c>
      <c r="E12" s="1">
        <v>22406</v>
      </c>
      <c r="F12" s="2">
        <f t="shared" si="3"/>
        <v>0.22296302193209411</v>
      </c>
      <c r="G12" s="1">
        <v>73466</v>
      </c>
      <c r="H12" s="1">
        <v>0</v>
      </c>
      <c r="I12" s="1">
        <f t="shared" si="4"/>
        <v>73466</v>
      </c>
      <c r="J12" s="2">
        <f t="shared" si="1"/>
        <v>0.73106316920749914</v>
      </c>
      <c r="K12" s="2">
        <f>I12/I12</f>
        <v>1</v>
      </c>
      <c r="L12" s="1">
        <v>1397225</v>
      </c>
      <c r="M12" s="1">
        <v>2047</v>
      </c>
      <c r="N12" s="1">
        <v>1498578</v>
      </c>
      <c r="O12" s="3">
        <f t="shared" si="2"/>
        <v>0.93236721745548112</v>
      </c>
      <c r="P12" s="1">
        <v>2351698</v>
      </c>
      <c r="Q12" s="1">
        <v>54948</v>
      </c>
      <c r="R12" s="1">
        <v>605547</v>
      </c>
      <c r="S12" s="3">
        <f t="shared" si="5"/>
        <v>0.569925794869239</v>
      </c>
      <c r="T12" t="s">
        <v>48</v>
      </c>
    </row>
    <row r="13" spans="1:20" x14ac:dyDescent="0.35">
      <c r="A13">
        <v>2016</v>
      </c>
      <c r="B13" s="1">
        <v>105486</v>
      </c>
      <c r="C13" s="1">
        <v>56690</v>
      </c>
      <c r="D13" s="2">
        <f t="shared" si="0"/>
        <v>0.53741728760214624</v>
      </c>
      <c r="E13" s="1">
        <v>22583</v>
      </c>
      <c r="F13" s="2">
        <f t="shared" si="3"/>
        <v>0.21408528145915098</v>
      </c>
      <c r="G13" s="1">
        <v>20196</v>
      </c>
      <c r="H13" s="1">
        <v>0</v>
      </c>
      <c r="I13" s="1">
        <f t="shared" si="4"/>
        <v>20196</v>
      </c>
      <c r="J13" s="2">
        <f t="shared" si="1"/>
        <v>0.19145668619532449</v>
      </c>
      <c r="K13" s="2">
        <f>I13/I12</f>
        <v>0.27490267606784091</v>
      </c>
      <c r="L13" s="1">
        <v>1501020</v>
      </c>
      <c r="M13" s="1">
        <v>3057</v>
      </c>
      <c r="N13" s="1">
        <v>1599288</v>
      </c>
      <c r="O13" s="3">
        <f t="shared" si="2"/>
        <v>0.93855515704488501</v>
      </c>
      <c r="P13" s="1">
        <v>2490972</v>
      </c>
      <c r="Q13" s="1">
        <v>54246</v>
      </c>
      <c r="R13" s="1">
        <v>637494</v>
      </c>
      <c r="S13" s="3">
        <f t="shared" si="5"/>
        <v>0.56847745781178638</v>
      </c>
      <c r="T13" t="s">
        <v>48</v>
      </c>
    </row>
    <row r="14" spans="1:20" x14ac:dyDescent="0.35">
      <c r="A14">
        <v>2017</v>
      </c>
      <c r="B14" s="1">
        <v>113254</v>
      </c>
      <c r="C14" s="1">
        <v>58957</v>
      </c>
      <c r="D14" s="2">
        <f t="shared" si="0"/>
        <v>0.52057322478676249</v>
      </c>
      <c r="E14" s="1">
        <v>22567</v>
      </c>
      <c r="F14" s="2">
        <f t="shared" si="3"/>
        <v>0.19926007028449327</v>
      </c>
      <c r="G14" s="1">
        <v>-2501</v>
      </c>
      <c r="H14" s="1">
        <v>0</v>
      </c>
      <c r="I14" s="1">
        <f t="shared" si="4"/>
        <v>-2501</v>
      </c>
      <c r="J14" s="2">
        <f t="shared" si="1"/>
        <v>-2.2083105232486269E-2</v>
      </c>
      <c r="K14" s="2">
        <f>I14/I12</f>
        <v>-3.404295864753764E-2</v>
      </c>
      <c r="L14" s="1">
        <v>1545989</v>
      </c>
      <c r="M14" s="1">
        <v>3704</v>
      </c>
      <c r="N14" s="1">
        <v>1670258</v>
      </c>
      <c r="O14" s="3">
        <f t="shared" si="2"/>
        <v>0.92559891944837269</v>
      </c>
      <c r="P14" s="1">
        <v>2533600</v>
      </c>
      <c r="Q14" s="1">
        <v>54392</v>
      </c>
      <c r="R14" s="1">
        <v>607649</v>
      </c>
      <c r="S14" s="3">
        <f t="shared" si="5"/>
        <v>0.5664331630068733</v>
      </c>
      <c r="T14" t="s">
        <v>48</v>
      </c>
    </row>
    <row r="15" spans="1:20" x14ac:dyDescent="0.35">
      <c r="A15">
        <v>2018</v>
      </c>
      <c r="B15" s="1">
        <v>131412</v>
      </c>
      <c r="C15" s="1">
        <v>67089</v>
      </c>
      <c r="D15" s="2">
        <f t="shared" si="0"/>
        <v>0.51052415304538401</v>
      </c>
      <c r="E15" s="1">
        <v>30709</v>
      </c>
      <c r="F15" s="2">
        <f t="shared" si="3"/>
        <v>0.23368489940035916</v>
      </c>
      <c r="G15" s="1">
        <v>14187</v>
      </c>
      <c r="H15" s="1">
        <v>0</v>
      </c>
      <c r="I15" s="1">
        <f t="shared" si="4"/>
        <v>14187</v>
      </c>
      <c r="J15" s="2">
        <f t="shared" si="1"/>
        <v>0.10795817733540317</v>
      </c>
      <c r="K15" s="2">
        <f>I15/I12</f>
        <v>0.19310973783791141</v>
      </c>
      <c r="L15" s="1">
        <v>1571789</v>
      </c>
      <c r="M15" s="1">
        <v>12287</v>
      </c>
      <c r="N15" s="1">
        <v>1754656</v>
      </c>
      <c r="O15" s="3">
        <f t="shared" si="2"/>
        <v>0.89578185125745446</v>
      </c>
      <c r="P15" s="1">
        <v>2622532</v>
      </c>
      <c r="Q15" s="1">
        <v>54349</v>
      </c>
      <c r="R15" s="1">
        <v>611361</v>
      </c>
      <c r="S15" s="3">
        <f t="shared" si="5"/>
        <v>0.57320677328817482</v>
      </c>
      <c r="T15" t="s">
        <v>48</v>
      </c>
    </row>
    <row r="16" spans="1:20" x14ac:dyDescent="0.35">
      <c r="A16">
        <v>2019</v>
      </c>
      <c r="B16" s="1">
        <v>142422</v>
      </c>
      <c r="C16" s="1">
        <v>71565</v>
      </c>
      <c r="D16" s="2">
        <f t="shared" si="0"/>
        <v>0.50248557104941649</v>
      </c>
      <c r="E16" s="1">
        <v>34642</v>
      </c>
      <c r="F16" s="2">
        <f t="shared" si="3"/>
        <v>0.24323489348555702</v>
      </c>
      <c r="G16" s="1">
        <v>6046</v>
      </c>
      <c r="H16" s="1">
        <v>0</v>
      </c>
      <c r="I16" s="1">
        <f t="shared" si="4"/>
        <v>6046</v>
      </c>
      <c r="J16" s="2">
        <f t="shared" si="1"/>
        <v>4.2451306680147731E-2</v>
      </c>
      <c r="K16" s="2">
        <f>I16/I12</f>
        <v>8.2296572564179354E-2</v>
      </c>
      <c r="L16" s="1">
        <v>1459821</v>
      </c>
      <c r="M16" s="1">
        <v>7451</v>
      </c>
      <c r="N16" s="1">
        <v>1825309</v>
      </c>
      <c r="O16" s="3">
        <f t="shared" si="2"/>
        <v>0.79976650528759785</v>
      </c>
      <c r="P16" s="1">
        <v>2687379</v>
      </c>
      <c r="Q16" s="1">
        <v>53341</v>
      </c>
      <c r="R16" s="1">
        <v>600740</v>
      </c>
      <c r="S16" s="3">
        <f t="shared" si="5"/>
        <v>0.59368741447256368</v>
      </c>
      <c r="T16" t="s">
        <v>48</v>
      </c>
    </row>
    <row r="17" spans="1:20" x14ac:dyDescent="0.35">
      <c r="A17">
        <v>2015</v>
      </c>
      <c r="B17" s="1">
        <v>90033</v>
      </c>
      <c r="C17" s="1">
        <v>47985</v>
      </c>
      <c r="D17" s="2">
        <f t="shared" si="0"/>
        <v>0.53297124387724504</v>
      </c>
      <c r="E17" s="1">
        <v>21470</v>
      </c>
      <c r="F17" s="2">
        <f t="shared" si="3"/>
        <v>0.23846811724589873</v>
      </c>
      <c r="G17" s="1">
        <v>14772</v>
      </c>
      <c r="H17" s="1">
        <v>0</v>
      </c>
      <c r="I17" s="1">
        <f t="shared" si="4"/>
        <v>14772</v>
      </c>
      <c r="J17" s="2">
        <f t="shared" si="1"/>
        <v>0.16407317316983772</v>
      </c>
      <c r="K17" s="2">
        <f>I17/I16</f>
        <v>2.443268276546477</v>
      </c>
      <c r="L17" s="1">
        <v>1211669</v>
      </c>
      <c r="M17" s="1">
        <v>21307</v>
      </c>
      <c r="N17" s="1">
        <v>1352744</v>
      </c>
      <c r="O17" s="3">
        <f t="shared" si="2"/>
        <v>0.89571197506697497</v>
      </c>
      <c r="P17" s="1">
        <v>1787632</v>
      </c>
      <c r="Q17" s="1">
        <v>42405</v>
      </c>
      <c r="R17" s="1">
        <v>240863</v>
      </c>
      <c r="S17" s="3">
        <f t="shared" si="5"/>
        <v>0.54285766842701755</v>
      </c>
      <c r="T17" t="s">
        <v>49</v>
      </c>
    </row>
    <row r="18" spans="1:20" x14ac:dyDescent="0.35">
      <c r="A18">
        <v>2016</v>
      </c>
      <c r="B18" s="1">
        <v>93512</v>
      </c>
      <c r="C18" s="1">
        <v>46931</v>
      </c>
      <c r="D18" s="2">
        <f t="shared" si="0"/>
        <v>0.50187141757207632</v>
      </c>
      <c r="E18" s="1">
        <v>20373</v>
      </c>
      <c r="F18" s="2">
        <f t="shared" si="3"/>
        <v>0.21786508683377534</v>
      </c>
      <c r="G18" s="1">
        <v>169</v>
      </c>
      <c r="H18" s="1">
        <v>0</v>
      </c>
      <c r="I18" s="1">
        <f t="shared" si="4"/>
        <v>169</v>
      </c>
      <c r="J18" s="2">
        <f t="shared" si="1"/>
        <v>1.8072546838908375E-3</v>
      </c>
      <c r="K18" s="2">
        <f>I18/I16</f>
        <v>2.795236520013232E-2</v>
      </c>
      <c r="L18" s="1">
        <v>1263167</v>
      </c>
      <c r="M18" s="1">
        <v>27367</v>
      </c>
      <c r="N18" s="1">
        <v>1432405</v>
      </c>
      <c r="O18" s="3">
        <f t="shared" si="2"/>
        <v>0.88185045430587017</v>
      </c>
      <c r="P18" s="1">
        <v>1930115</v>
      </c>
      <c r="Q18" s="1">
        <v>43767</v>
      </c>
      <c r="R18" s="1">
        <v>297213</v>
      </c>
      <c r="S18" s="3">
        <f t="shared" si="5"/>
        <v>0.55398334736213661</v>
      </c>
      <c r="T18" t="s">
        <v>49</v>
      </c>
    </row>
    <row r="19" spans="1:20" x14ac:dyDescent="0.35">
      <c r="A19">
        <v>2017</v>
      </c>
      <c r="B19" s="1">
        <v>96776</v>
      </c>
      <c r="C19" s="1">
        <v>46439</v>
      </c>
      <c r="D19" s="2">
        <f t="shared" si="0"/>
        <v>0.47986070926676033</v>
      </c>
      <c r="E19" s="1">
        <v>20554</v>
      </c>
      <c r="F19" s="2">
        <f t="shared" si="3"/>
        <v>0.21238736876911632</v>
      </c>
      <c r="G19" s="1">
        <v>18722</v>
      </c>
      <c r="H19" s="1">
        <v>0</v>
      </c>
      <c r="I19" s="1">
        <f t="shared" si="4"/>
        <v>18722</v>
      </c>
      <c r="J19" s="2">
        <f t="shared" si="1"/>
        <v>0.19345705546829792</v>
      </c>
      <c r="K19" s="2">
        <f>I19/I16</f>
        <v>3.0965927886205757</v>
      </c>
      <c r="L19" s="1">
        <v>1261532</v>
      </c>
      <c r="M19" s="1">
        <v>20820</v>
      </c>
      <c r="N19" s="1">
        <v>1479073</v>
      </c>
      <c r="O19" s="3">
        <f t="shared" si="2"/>
        <v>0.85292071452862706</v>
      </c>
      <c r="P19" s="1">
        <v>1951757</v>
      </c>
      <c r="Q19" s="1">
        <v>43246</v>
      </c>
      <c r="R19" s="1">
        <v>264605</v>
      </c>
      <c r="S19" s="3">
        <f t="shared" si="5"/>
        <v>0.55368514709818895</v>
      </c>
      <c r="T19" t="s">
        <v>49</v>
      </c>
    </row>
    <row r="20" spans="1:20" x14ac:dyDescent="0.35">
      <c r="A20">
        <v>2018</v>
      </c>
      <c r="B20" s="1">
        <v>100858</v>
      </c>
      <c r="C20" s="1">
        <v>46106</v>
      </c>
      <c r="D20" s="2">
        <f t="shared" si="0"/>
        <v>0.45713775803605067</v>
      </c>
      <c r="E20" s="1">
        <v>20689</v>
      </c>
      <c r="F20" s="2">
        <f t="shared" si="3"/>
        <v>0.20512998473100796</v>
      </c>
      <c r="G20" s="1">
        <v>36073</v>
      </c>
      <c r="H20" s="1">
        <v>0</v>
      </c>
      <c r="I20" s="1">
        <f t="shared" si="4"/>
        <v>36073</v>
      </c>
      <c r="J20" s="2">
        <f t="shared" si="1"/>
        <v>0.35766126633484702</v>
      </c>
      <c r="K20" s="2">
        <f>I20/I16</f>
        <v>5.9664240820377108</v>
      </c>
      <c r="L20" s="1">
        <v>1214447</v>
      </c>
      <c r="M20" s="1">
        <v>17618</v>
      </c>
      <c r="N20" s="1">
        <v>1438504</v>
      </c>
      <c r="O20" s="3">
        <f t="shared" si="2"/>
        <v>0.84424304694321328</v>
      </c>
      <c r="P20" s="1">
        <v>1895883</v>
      </c>
      <c r="Q20" s="1">
        <v>43055</v>
      </c>
      <c r="R20" s="1">
        <v>260313</v>
      </c>
      <c r="S20" s="3">
        <f t="shared" si="5"/>
        <v>0.55705182582828172</v>
      </c>
      <c r="T20" t="s">
        <v>49</v>
      </c>
    </row>
    <row r="21" spans="1:20" x14ac:dyDescent="0.35">
      <c r="A21">
        <v>2019</v>
      </c>
      <c r="B21" s="1">
        <v>102453</v>
      </c>
      <c r="C21" s="1">
        <v>40122</v>
      </c>
      <c r="D21" s="2">
        <f t="shared" si="0"/>
        <v>0.39161371555737751</v>
      </c>
      <c r="E21" s="1">
        <v>17938</v>
      </c>
      <c r="F21" s="2">
        <f t="shared" si="3"/>
        <v>0.17508516100065397</v>
      </c>
      <c r="G21" s="1">
        <v>6730</v>
      </c>
      <c r="H21" s="1">
        <v>0</v>
      </c>
      <c r="I21" s="1">
        <f t="shared" si="4"/>
        <v>6730</v>
      </c>
      <c r="J21" s="2">
        <f t="shared" si="1"/>
        <v>6.5688657237953016E-2</v>
      </c>
      <c r="K21" s="2">
        <f t="shared" ref="K21" si="6">I21/I16</f>
        <v>1.1131326496857425</v>
      </c>
      <c r="L21" s="1">
        <v>1220726</v>
      </c>
      <c r="M21" s="1">
        <v>24622</v>
      </c>
      <c r="N21" s="1">
        <v>1466784</v>
      </c>
      <c r="O21" s="3">
        <f t="shared" si="2"/>
        <v>0.83224660209001466</v>
      </c>
      <c r="P21" s="1">
        <v>1927555</v>
      </c>
      <c r="Q21" s="1">
        <v>39760</v>
      </c>
      <c r="R21" s="1">
        <v>272787</v>
      </c>
      <c r="S21" s="3">
        <f t="shared" si="5"/>
        <v>0.56408170306485395</v>
      </c>
      <c r="T21" t="s">
        <v>49</v>
      </c>
    </row>
    <row r="22" spans="1:20" x14ac:dyDescent="0.35">
      <c r="C22" s="1"/>
      <c r="D22" s="1"/>
      <c r="E22" s="1"/>
      <c r="F22" s="1"/>
      <c r="G22" s="1"/>
      <c r="H22" s="1"/>
      <c r="I22" s="1"/>
      <c r="J22" s="1"/>
      <c r="O22" s="1"/>
      <c r="P22" s="1"/>
    </row>
    <row r="23" spans="1:20" x14ac:dyDescent="0.35">
      <c r="B23" s="6"/>
      <c r="C23" s="1"/>
      <c r="D23" s="1"/>
      <c r="E23" s="1"/>
      <c r="F23" s="1"/>
      <c r="G23" s="1"/>
      <c r="H23" s="1"/>
      <c r="I23" s="1"/>
      <c r="J23" s="1"/>
    </row>
    <row r="24" spans="1:20" x14ac:dyDescent="0.35">
      <c r="C24" s="1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1:20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20" x14ac:dyDescent="0.3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20" x14ac:dyDescent="0.35">
      <c r="C27" s="1"/>
      <c r="D27" s="6"/>
      <c r="E27" s="6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0" x14ac:dyDescent="0.35">
      <c r="G28" s="1"/>
      <c r="H28" s="1"/>
      <c r="I28" s="1"/>
      <c r="J28" s="1"/>
      <c r="K2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0D5A-0A21-4BF5-8115-9726053D8864}">
  <dimension ref="A1:S15"/>
  <sheetViews>
    <sheetView topLeftCell="D1" workbookViewId="0">
      <selection activeCell="S7" sqref="S7"/>
    </sheetView>
  </sheetViews>
  <sheetFormatPr defaultRowHeight="14.5" x14ac:dyDescent="0.35"/>
  <cols>
    <col min="10" max="10" width="14.6328125" customWidth="1"/>
    <col min="11" max="11" width="11.81640625" customWidth="1"/>
    <col min="15" max="15" width="12.36328125" customWidth="1"/>
    <col min="16" max="16" width="14.6328125" customWidth="1"/>
  </cols>
  <sheetData>
    <row r="1" spans="1:19" x14ac:dyDescent="0.35">
      <c r="A1" t="s">
        <v>1</v>
      </c>
      <c r="B1" t="s">
        <v>2</v>
      </c>
      <c r="C1" t="s">
        <v>3</v>
      </c>
      <c r="D1" t="s">
        <v>11</v>
      </c>
      <c r="E1" t="s">
        <v>4</v>
      </c>
      <c r="F1" t="s">
        <v>6</v>
      </c>
      <c r="G1" s="1" t="s">
        <v>14</v>
      </c>
      <c r="H1" t="s">
        <v>5</v>
      </c>
      <c r="I1" t="s">
        <v>12</v>
      </c>
      <c r="J1" t="s">
        <v>13</v>
      </c>
      <c r="K1" t="s">
        <v>25</v>
      </c>
      <c r="L1" t="s">
        <v>39</v>
      </c>
      <c r="M1" t="s">
        <v>22</v>
      </c>
      <c r="N1" t="s">
        <v>26</v>
      </c>
      <c r="O1" t="s">
        <v>37</v>
      </c>
      <c r="P1" t="s">
        <v>40</v>
      </c>
      <c r="Q1" t="s">
        <v>27</v>
      </c>
      <c r="R1" t="s">
        <v>45</v>
      </c>
      <c r="S1" t="s">
        <v>0</v>
      </c>
    </row>
    <row r="2" spans="1:19" x14ac:dyDescent="0.35">
      <c r="A2">
        <v>2015</v>
      </c>
      <c r="B2" s="1">
        <v>32639</v>
      </c>
      <c r="C2" s="1">
        <v>23254</v>
      </c>
      <c r="D2" s="2">
        <f>C2/B2</f>
        <v>0.71246055332577596</v>
      </c>
      <c r="E2" s="1">
        <v>18108</v>
      </c>
      <c r="F2" s="1">
        <v>20329</v>
      </c>
      <c r="G2">
        <v>747</v>
      </c>
      <c r="H2" s="1">
        <f>F2-G2</f>
        <v>19582</v>
      </c>
      <c r="I2" s="2">
        <f>H2/B2</f>
        <v>0.59995710652899903</v>
      </c>
      <c r="J2" s="2">
        <f>H2/H2</f>
        <v>1</v>
      </c>
      <c r="K2" s="1">
        <v>24763</v>
      </c>
      <c r="L2" s="1">
        <v>1955</v>
      </c>
      <c r="M2" s="1">
        <v>9891</v>
      </c>
      <c r="N2" s="3">
        <f>(K2-L2)/M2</f>
        <v>2.3059346881002933</v>
      </c>
      <c r="O2">
        <v>27076</v>
      </c>
      <c r="P2">
        <v>11419</v>
      </c>
      <c r="Q2" s="1">
        <v>22833</v>
      </c>
      <c r="R2" s="3">
        <f>(M2+Q2)/(K2+O2-L2-P2)</f>
        <v>0.85074743273105424</v>
      </c>
      <c r="S2" t="s">
        <v>23</v>
      </c>
    </row>
    <row r="3" spans="1:19" x14ac:dyDescent="0.35">
      <c r="A3">
        <v>2016</v>
      </c>
      <c r="B3" s="1">
        <v>30390</v>
      </c>
      <c r="C3" s="1">
        <v>19486</v>
      </c>
      <c r="D3" s="2">
        <f>C3/B3</f>
        <v>0.64119776242184934</v>
      </c>
      <c r="E3" s="1">
        <v>13501</v>
      </c>
      <c r="F3" s="1">
        <v>16669</v>
      </c>
      <c r="G3">
        <v>748</v>
      </c>
      <c r="H3" s="1">
        <f>F3-G3</f>
        <v>15921</v>
      </c>
      <c r="I3" s="2">
        <f>H3/B3</f>
        <v>0.52388943731490623</v>
      </c>
      <c r="J3" s="2">
        <f>H3/H2</f>
        <v>0.81304259013379632</v>
      </c>
      <c r="K3" s="1">
        <v>20445</v>
      </c>
      <c r="L3" s="1">
        <v>1587</v>
      </c>
      <c r="M3" s="1">
        <v>9219</v>
      </c>
      <c r="N3" s="3">
        <f t="shared" ref="N3:N11" si="0">(K3-L3)/M3</f>
        <v>2.0455580865603644</v>
      </c>
      <c r="O3">
        <v>36532</v>
      </c>
      <c r="P3">
        <v>10143</v>
      </c>
      <c r="Q3" s="1">
        <v>28395</v>
      </c>
      <c r="R3" s="3">
        <f t="shared" ref="R3:R11" si="1">(M3+Q3)/(K3+O3-L3-P3)</f>
        <v>0.83130373284416648</v>
      </c>
      <c r="S3" t="s">
        <v>23</v>
      </c>
    </row>
    <row r="4" spans="1:19" x14ac:dyDescent="0.35">
      <c r="A4">
        <v>2017</v>
      </c>
      <c r="B4" s="1">
        <v>26107</v>
      </c>
      <c r="C4" s="1">
        <v>15593</v>
      </c>
      <c r="D4" s="2">
        <f>C4/B4</f>
        <v>0.59727276209445745</v>
      </c>
      <c r="E4" s="1">
        <v>4628</v>
      </c>
      <c r="F4" s="1">
        <v>11898</v>
      </c>
      <c r="G4">
        <v>590</v>
      </c>
      <c r="H4" s="1">
        <f>F4-G4</f>
        <v>11308</v>
      </c>
      <c r="I4" s="2">
        <f>H4/B4</f>
        <v>0.43314053702072242</v>
      </c>
      <c r="J4" s="2">
        <f>H4/H2</f>
        <v>0.57746910427944032</v>
      </c>
      <c r="K4" s="1">
        <v>31823</v>
      </c>
      <c r="L4">
        <v>801</v>
      </c>
      <c r="M4" s="1">
        <v>11635</v>
      </c>
      <c r="N4" s="3">
        <f t="shared" si="0"/>
        <v>2.6662655779974216</v>
      </c>
      <c r="O4">
        <v>38460</v>
      </c>
      <c r="P4">
        <v>21259</v>
      </c>
      <c r="Q4" s="1">
        <v>38147</v>
      </c>
      <c r="R4" s="3">
        <f t="shared" si="1"/>
        <v>1.032328971652531</v>
      </c>
      <c r="S4" t="s">
        <v>23</v>
      </c>
    </row>
    <row r="5" spans="1:19" x14ac:dyDescent="0.35">
      <c r="A5">
        <v>2018</v>
      </c>
      <c r="B5" s="1">
        <v>22127</v>
      </c>
      <c r="C5" s="1">
        <v>10494</v>
      </c>
      <c r="D5" s="2">
        <f>C5/B5</f>
        <v>0.47426221358521264</v>
      </c>
      <c r="E5" s="1">
        <v>5455</v>
      </c>
      <c r="F5" s="1">
        <v>8400</v>
      </c>
      <c r="G5">
        <v>924</v>
      </c>
      <c r="H5" s="1">
        <f>F5-G5</f>
        <v>7476</v>
      </c>
      <c r="I5" s="2">
        <f>H5/B5</f>
        <v>0.33786776336602342</v>
      </c>
      <c r="J5" s="2">
        <f>H5/H2</f>
        <v>0.38177918496578489</v>
      </c>
      <c r="K5" s="1">
        <v>35836</v>
      </c>
      <c r="L5">
        <v>814</v>
      </c>
      <c r="M5" s="1">
        <v>10605</v>
      </c>
      <c r="N5" s="3">
        <f t="shared" si="0"/>
        <v>3.3024045261669026</v>
      </c>
      <c r="O5">
        <v>27839</v>
      </c>
      <c r="P5">
        <v>19855</v>
      </c>
      <c r="Q5" s="1">
        <v>31536</v>
      </c>
      <c r="R5" s="3">
        <f t="shared" si="1"/>
        <v>0.97988652746128446</v>
      </c>
      <c r="S5" t="s">
        <v>23</v>
      </c>
    </row>
    <row r="6" spans="1:19" x14ac:dyDescent="0.35">
      <c r="A6">
        <v>2019</v>
      </c>
      <c r="B6" s="1">
        <v>22449</v>
      </c>
      <c r="C6" s="1">
        <v>6491</v>
      </c>
      <c r="D6" s="2">
        <f>C6/B6</f>
        <v>0.28914428259610675</v>
      </c>
      <c r="E6" s="1">
        <v>5386</v>
      </c>
      <c r="F6" s="1">
        <v>9144</v>
      </c>
      <c r="G6">
        <v>825</v>
      </c>
      <c r="H6" s="1">
        <f>F6-G6</f>
        <v>8319</v>
      </c>
      <c r="I6" s="2">
        <f>H6/B6</f>
        <v>0.37057329947881867</v>
      </c>
      <c r="J6" s="2">
        <f>H6/H2</f>
        <v>0.42482892452252069</v>
      </c>
      <c r="K6" s="1">
        <v>30296</v>
      </c>
      <c r="L6">
        <v>922</v>
      </c>
      <c r="M6" s="1">
        <v>9759</v>
      </c>
      <c r="N6" s="3">
        <f t="shared" si="0"/>
        <v>3.0099395429859617</v>
      </c>
      <c r="O6">
        <v>31331</v>
      </c>
      <c r="P6">
        <v>17903</v>
      </c>
      <c r="Q6" s="1">
        <v>29218</v>
      </c>
      <c r="R6" s="3">
        <f t="shared" si="1"/>
        <v>0.91063501705527783</v>
      </c>
      <c r="S6" t="s">
        <v>23</v>
      </c>
    </row>
    <row r="7" spans="1:19" x14ac:dyDescent="0.35">
      <c r="A7">
        <v>2014</v>
      </c>
      <c r="B7">
        <v>25</v>
      </c>
      <c r="C7">
        <v>-215</v>
      </c>
      <c r="D7" s="2">
        <f t="shared" ref="D7:D11" si="2">C7/B7</f>
        <v>-8.6</v>
      </c>
      <c r="E7">
        <v>-269</v>
      </c>
      <c r="F7">
        <v>-235</v>
      </c>
      <c r="G7">
        <v>0</v>
      </c>
      <c r="H7" s="1">
        <f t="shared" ref="H7:H11" si="3">F7-G7</f>
        <v>-235</v>
      </c>
      <c r="I7" s="2">
        <f t="shared" ref="I7:I11" si="4">H7/B7</f>
        <v>-9.4</v>
      </c>
      <c r="J7" s="2">
        <f>H7/ABS(H7)</f>
        <v>-1</v>
      </c>
      <c r="K7">
        <v>167</v>
      </c>
      <c r="L7" s="5">
        <v>2</v>
      </c>
      <c r="M7">
        <v>172</v>
      </c>
      <c r="N7" s="3">
        <f t="shared" si="0"/>
        <v>0.95930232558139539</v>
      </c>
      <c r="O7">
        <v>161</v>
      </c>
      <c r="P7">
        <v>64</v>
      </c>
      <c r="Q7">
        <v>443</v>
      </c>
      <c r="R7" s="3">
        <f t="shared" si="1"/>
        <v>2.3473282442748094</v>
      </c>
      <c r="S7" t="s">
        <v>31</v>
      </c>
    </row>
    <row r="8" spans="1:19" x14ac:dyDescent="0.35">
      <c r="A8">
        <v>2015</v>
      </c>
      <c r="B8">
        <v>37</v>
      </c>
      <c r="C8">
        <v>-119</v>
      </c>
      <c r="D8" s="2">
        <f t="shared" si="2"/>
        <v>-3.2162162162162162</v>
      </c>
      <c r="E8">
        <v>-170</v>
      </c>
      <c r="F8">
        <v>-142</v>
      </c>
      <c r="G8">
        <v>0</v>
      </c>
      <c r="H8" s="1">
        <f t="shared" si="3"/>
        <v>-142</v>
      </c>
      <c r="I8" s="2">
        <f t="shared" si="4"/>
        <v>-3.8378378378378377</v>
      </c>
      <c r="J8" s="2">
        <f>H8/ABS(H7)</f>
        <v>-0.60425531914893615</v>
      </c>
      <c r="K8">
        <v>179</v>
      </c>
      <c r="L8" s="5">
        <v>3</v>
      </c>
      <c r="M8">
        <v>52</v>
      </c>
      <c r="N8" s="3">
        <f t="shared" si="0"/>
        <v>3.3846153846153846</v>
      </c>
      <c r="O8">
        <v>154</v>
      </c>
      <c r="P8">
        <v>64</v>
      </c>
      <c r="Q8">
        <v>437</v>
      </c>
      <c r="R8" s="3">
        <f t="shared" si="1"/>
        <v>1.8383458646616542</v>
      </c>
      <c r="S8" t="s">
        <v>31</v>
      </c>
    </row>
    <row r="9" spans="1:19" x14ac:dyDescent="0.35">
      <c r="A9">
        <v>2016</v>
      </c>
      <c r="B9">
        <v>191</v>
      </c>
      <c r="C9">
        <v>-26</v>
      </c>
      <c r="D9" s="2">
        <f t="shared" si="2"/>
        <v>-0.13612565445026178</v>
      </c>
      <c r="E9">
        <v>-70</v>
      </c>
      <c r="F9">
        <v>206</v>
      </c>
      <c r="G9">
        <v>2</v>
      </c>
      <c r="H9" s="1">
        <f t="shared" si="3"/>
        <v>204</v>
      </c>
      <c r="I9" s="2">
        <f t="shared" si="4"/>
        <v>1.0680628272251309</v>
      </c>
      <c r="J9" s="2">
        <f>H9/ABS(H7)</f>
        <v>0.86808510638297876</v>
      </c>
      <c r="K9">
        <v>471</v>
      </c>
      <c r="L9" s="5">
        <v>3</v>
      </c>
      <c r="M9">
        <v>271</v>
      </c>
      <c r="N9" s="3">
        <f t="shared" si="0"/>
        <v>1.7269372693726937</v>
      </c>
      <c r="O9">
        <v>127</v>
      </c>
      <c r="P9">
        <v>64</v>
      </c>
      <c r="Q9">
        <v>508</v>
      </c>
      <c r="R9" s="3">
        <f t="shared" si="1"/>
        <v>1.4670433145009416</v>
      </c>
      <c r="S9" t="s">
        <v>31</v>
      </c>
    </row>
    <row r="10" spans="1:19" x14ac:dyDescent="0.35">
      <c r="A10">
        <v>2017</v>
      </c>
      <c r="B10">
        <v>452</v>
      </c>
      <c r="C10">
        <v>167</v>
      </c>
      <c r="D10" s="2">
        <f t="shared" si="2"/>
        <v>0.36946902654867259</v>
      </c>
      <c r="E10">
        <v>154</v>
      </c>
      <c r="F10">
        <v>166</v>
      </c>
      <c r="G10">
        <v>21</v>
      </c>
      <c r="H10" s="1">
        <f t="shared" si="3"/>
        <v>145</v>
      </c>
      <c r="I10" s="2">
        <f t="shared" si="4"/>
        <v>0.32079646017699115</v>
      </c>
      <c r="J10" s="2">
        <f>H10/ABS(H7)</f>
        <v>0.61702127659574468</v>
      </c>
      <c r="K10">
        <v>485</v>
      </c>
      <c r="L10" s="5">
        <v>7</v>
      </c>
      <c r="M10">
        <v>115</v>
      </c>
      <c r="N10" s="3">
        <f t="shared" si="0"/>
        <v>4.1565217391304348</v>
      </c>
      <c r="O10">
        <v>170</v>
      </c>
      <c r="P10">
        <v>64</v>
      </c>
      <c r="Q10">
        <v>370</v>
      </c>
      <c r="R10" s="3">
        <f t="shared" si="1"/>
        <v>0.83047945205479456</v>
      </c>
      <c r="S10" t="s">
        <v>31</v>
      </c>
    </row>
    <row r="11" spans="1:19" x14ac:dyDescent="0.35">
      <c r="A11">
        <v>2018</v>
      </c>
      <c r="B11">
        <v>854</v>
      </c>
      <c r="C11">
        <v>447</v>
      </c>
      <c r="D11" s="2">
        <f t="shared" si="2"/>
        <v>0.52341920374707263</v>
      </c>
      <c r="E11">
        <v>690</v>
      </c>
      <c r="F11">
        <v>416</v>
      </c>
      <c r="G11">
        <v>33</v>
      </c>
      <c r="H11" s="1">
        <f t="shared" si="3"/>
        <v>383</v>
      </c>
      <c r="I11" s="2">
        <f t="shared" si="4"/>
        <v>0.44847775175644028</v>
      </c>
      <c r="J11" s="2">
        <f>H11/ABS(H7)</f>
        <v>1.6297872340425532</v>
      </c>
      <c r="K11">
        <v>897</v>
      </c>
      <c r="L11" s="5">
        <v>10</v>
      </c>
      <c r="M11">
        <v>105</v>
      </c>
      <c r="N11" s="3">
        <f t="shared" si="0"/>
        <v>8.4476190476190478</v>
      </c>
      <c r="O11">
        <v>525</v>
      </c>
      <c r="P11">
        <v>64</v>
      </c>
      <c r="Q11">
        <v>135</v>
      </c>
      <c r="R11" s="3">
        <f t="shared" si="1"/>
        <v>0.17804154302670624</v>
      </c>
      <c r="S11" t="s">
        <v>31</v>
      </c>
    </row>
    <row r="15" spans="1:19" x14ac:dyDescent="0.35">
      <c r="J15" s="5"/>
      <c r="K15" s="5"/>
      <c r="L15" s="5"/>
      <c r="M15" s="5"/>
      <c r="N1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E199-5686-44E2-AACA-BE4E21CE211B}">
  <dimension ref="A1:T57"/>
  <sheetViews>
    <sheetView topLeftCell="G34" workbookViewId="0">
      <selection activeCell="T2" sqref="T2:T51"/>
    </sheetView>
  </sheetViews>
  <sheetFormatPr defaultRowHeight="14.5" x14ac:dyDescent="0.35"/>
  <cols>
    <col min="2" max="2" width="12.08984375" customWidth="1"/>
    <col min="5" max="5" width="7.08984375" customWidth="1"/>
    <col min="6" max="6" width="11.54296875" customWidth="1"/>
    <col min="10" max="10" width="18.1796875" customWidth="1"/>
    <col min="11" max="11" width="10" customWidth="1"/>
    <col min="12" max="12" width="11.36328125" customWidth="1"/>
    <col min="13" max="13" width="8.26953125" customWidth="1"/>
    <col min="16" max="16" width="10.6328125" customWidth="1"/>
  </cols>
  <sheetData>
    <row r="1" spans="1:20" x14ac:dyDescent="0.35">
      <c r="A1" t="s">
        <v>1</v>
      </c>
      <c r="B1" t="s">
        <v>2</v>
      </c>
      <c r="C1" t="s">
        <v>3</v>
      </c>
      <c r="D1" t="s">
        <v>11</v>
      </c>
      <c r="E1" t="s">
        <v>4</v>
      </c>
      <c r="F1" t="s">
        <v>73</v>
      </c>
      <c r="G1" t="s">
        <v>6</v>
      </c>
      <c r="H1" s="1" t="s">
        <v>14</v>
      </c>
      <c r="I1" t="s">
        <v>5</v>
      </c>
      <c r="J1" t="s">
        <v>12</v>
      </c>
      <c r="K1" t="s">
        <v>13</v>
      </c>
      <c r="L1" t="s">
        <v>25</v>
      </c>
      <c r="M1" t="s">
        <v>39</v>
      </c>
      <c r="N1" t="s">
        <v>22</v>
      </c>
      <c r="O1" t="s">
        <v>26</v>
      </c>
      <c r="P1" t="s">
        <v>47</v>
      </c>
      <c r="Q1" t="s">
        <v>40</v>
      </c>
      <c r="R1" t="s">
        <v>27</v>
      </c>
      <c r="S1" t="s">
        <v>45</v>
      </c>
      <c r="T1" t="s">
        <v>0</v>
      </c>
    </row>
    <row r="2" spans="1:20" x14ac:dyDescent="0.35">
      <c r="A2">
        <v>2015</v>
      </c>
      <c r="B2" s="1">
        <v>406.66399999999999</v>
      </c>
      <c r="C2" s="1">
        <v>84.01</v>
      </c>
      <c r="D2" s="2">
        <f t="shared" ref="D2:D6" si="0">C2/B2</f>
        <v>0.20658332185784828</v>
      </c>
      <c r="E2" s="1">
        <v>43.433999999999997</v>
      </c>
      <c r="F2" s="2">
        <f>E2/B2</f>
        <v>0.10680561839749769</v>
      </c>
      <c r="G2" s="1">
        <v>180.928</v>
      </c>
      <c r="H2" s="1">
        <v>-15.471</v>
      </c>
      <c r="I2" s="1">
        <f>G2+H2</f>
        <v>165.45699999999999</v>
      </c>
      <c r="J2" s="2">
        <f t="shared" ref="J2:J6" si="1">I2/B2</f>
        <v>0.40686414337143195</v>
      </c>
      <c r="K2" s="2">
        <f>I2/I2</f>
        <v>1</v>
      </c>
      <c r="L2">
        <v>86</v>
      </c>
      <c r="M2">
        <v>10</v>
      </c>
      <c r="N2">
        <v>24</v>
      </c>
      <c r="O2" s="3">
        <f>(L2-M2)/N2</f>
        <v>3.1666666666666665</v>
      </c>
      <c r="P2" s="1">
        <v>260</v>
      </c>
      <c r="Q2" s="1">
        <v>0</v>
      </c>
      <c r="R2">
        <v>124</v>
      </c>
      <c r="S2" s="3">
        <f>(N2+R2)/(L2+P2-M2-Q2)</f>
        <v>0.44047619047619047</v>
      </c>
      <c r="T2" t="s">
        <v>20</v>
      </c>
    </row>
    <row r="3" spans="1:20" x14ac:dyDescent="0.35">
      <c r="A3">
        <v>2016</v>
      </c>
      <c r="B3" s="1">
        <v>403.34</v>
      </c>
      <c r="C3" s="1">
        <v>90.341999999999999</v>
      </c>
      <c r="D3" s="2">
        <f t="shared" si="0"/>
        <v>0.22398472752516488</v>
      </c>
      <c r="E3" s="1">
        <v>42.106999999999999</v>
      </c>
      <c r="F3" s="2">
        <f t="shared" ref="F3:F51" si="2">E3/B3</f>
        <v>0.10439579511082461</v>
      </c>
      <c r="G3" s="1">
        <v>186.98099999999999</v>
      </c>
      <c r="H3" s="1">
        <v>-21.728999999999999</v>
      </c>
      <c r="I3" s="1">
        <f>G3+H3</f>
        <v>165.25200000000001</v>
      </c>
      <c r="J3" s="2">
        <f t="shared" si="1"/>
        <v>0.40970893043090201</v>
      </c>
      <c r="K3" s="2">
        <f>I3/I2</f>
        <v>0.99876100739164864</v>
      </c>
      <c r="L3">
        <v>389</v>
      </c>
      <c r="M3">
        <v>55</v>
      </c>
      <c r="N3">
        <v>265</v>
      </c>
      <c r="O3" s="3">
        <f>(L3-M3)/N3</f>
        <v>1.260377358490566</v>
      </c>
      <c r="P3" s="1">
        <v>1310</v>
      </c>
      <c r="Q3" s="1">
        <v>0</v>
      </c>
      <c r="R3">
        <v>527</v>
      </c>
      <c r="S3" s="3">
        <f>(N3+R3)/(L3+P3-M3-Q3)</f>
        <v>0.48175182481751827</v>
      </c>
      <c r="T3" t="s">
        <v>20</v>
      </c>
    </row>
    <row r="4" spans="1:20" x14ac:dyDescent="0.35">
      <c r="A4">
        <v>2017</v>
      </c>
      <c r="B4">
        <v>546</v>
      </c>
      <c r="C4" s="1">
        <v>202.798</v>
      </c>
      <c r="D4" s="2">
        <f t="shared" si="0"/>
        <v>0.37142490842490844</v>
      </c>
      <c r="E4" s="7">
        <v>132.42599999999999</v>
      </c>
      <c r="F4" s="2">
        <f t="shared" si="2"/>
        <v>0.24253846153846151</v>
      </c>
      <c r="G4" s="1">
        <v>309.81200000000001</v>
      </c>
      <c r="H4" s="1">
        <v>-59.186999999999998</v>
      </c>
      <c r="I4" s="1">
        <f t="shared" ref="I4:I6" si="3">G4+H4</f>
        <v>250.625</v>
      </c>
      <c r="J4" s="2">
        <f t="shared" si="1"/>
        <v>0.4590201465201465</v>
      </c>
      <c r="K4" s="2">
        <f>I4/I2</f>
        <v>1.5147440120393818</v>
      </c>
      <c r="L4">
        <v>300</v>
      </c>
      <c r="M4">
        <v>41</v>
      </c>
      <c r="N4">
        <v>130</v>
      </c>
      <c r="O4" s="3">
        <f>(L4-M4)/N4</f>
        <v>1.9923076923076923</v>
      </c>
      <c r="P4" s="1">
        <v>1049</v>
      </c>
      <c r="Q4" s="1">
        <v>0</v>
      </c>
      <c r="R4">
        <v>328</v>
      </c>
      <c r="S4" s="3">
        <f>(N4+R4)/(L4+P4-M4-Q4)</f>
        <v>0.35015290519877673</v>
      </c>
      <c r="T4" t="s">
        <v>20</v>
      </c>
    </row>
    <row r="5" spans="1:20" x14ac:dyDescent="0.35">
      <c r="A5">
        <v>2018</v>
      </c>
      <c r="B5" s="1">
        <v>915.91099999999994</v>
      </c>
      <c r="C5" s="1">
        <v>387.08300000000003</v>
      </c>
      <c r="D5" s="2">
        <f t="shared" si="0"/>
        <v>0.42262075682025879</v>
      </c>
      <c r="E5" s="7">
        <v>273.94299999999998</v>
      </c>
      <c r="F5" s="2">
        <f t="shared" si="2"/>
        <v>0.29909347087216992</v>
      </c>
      <c r="G5" s="1">
        <v>553.01900000000001</v>
      </c>
      <c r="H5" s="1">
        <v>-275.20400000000001</v>
      </c>
      <c r="I5" s="1">
        <f t="shared" si="3"/>
        <v>277.815</v>
      </c>
      <c r="J5" s="2">
        <f t="shared" si="1"/>
        <v>0.30332095585706476</v>
      </c>
      <c r="K5" s="2">
        <f>I5/I2</f>
        <v>1.6790767389714549</v>
      </c>
      <c r="L5">
        <v>398</v>
      </c>
      <c r="M5">
        <v>40</v>
      </c>
      <c r="N5">
        <v>193</v>
      </c>
      <c r="O5" s="3">
        <f>(L5-M5)/N5</f>
        <v>1.854922279792746</v>
      </c>
      <c r="P5" s="1">
        <v>1117</v>
      </c>
      <c r="Q5" s="1">
        <v>0</v>
      </c>
      <c r="R5">
        <v>447</v>
      </c>
      <c r="S5" s="3">
        <f>(N5+R5)/(L5+P5-M5-Q5)</f>
        <v>0.43389830508474575</v>
      </c>
      <c r="T5" t="s">
        <v>20</v>
      </c>
    </row>
    <row r="6" spans="1:20" x14ac:dyDescent="0.35">
      <c r="A6">
        <v>2019</v>
      </c>
      <c r="B6" s="1">
        <v>1379.9880000000001</v>
      </c>
      <c r="C6" s="1">
        <v>812.34</v>
      </c>
      <c r="D6" s="2">
        <f t="shared" si="0"/>
        <v>0.5886572926721102</v>
      </c>
      <c r="E6" s="1">
        <v>560.08000000000004</v>
      </c>
      <c r="F6" s="2">
        <f t="shared" si="2"/>
        <v>0.40585860166900001</v>
      </c>
      <c r="G6" s="1">
        <v>967.94500000000005</v>
      </c>
      <c r="H6" s="1">
        <v>-456.423</v>
      </c>
      <c r="I6" s="1">
        <f t="shared" si="3"/>
        <v>511.52200000000005</v>
      </c>
      <c r="J6" s="2">
        <f t="shared" si="1"/>
        <v>0.37067133917106526</v>
      </c>
      <c r="K6" s="2">
        <f>I6/I2</f>
        <v>3.0915706195567432</v>
      </c>
      <c r="L6" s="1">
        <v>707.20600000000002</v>
      </c>
      <c r="M6" s="1">
        <v>47.686</v>
      </c>
      <c r="N6" s="1">
        <v>416.94499999999999</v>
      </c>
      <c r="O6" s="3">
        <f>(L6-M6)/N6</f>
        <v>1.5817913633692693</v>
      </c>
      <c r="P6" s="1">
        <v>1496.9259999999999</v>
      </c>
      <c r="Q6" s="1">
        <v>0</v>
      </c>
      <c r="R6" s="1">
        <v>740.86300000000006</v>
      </c>
      <c r="S6" s="3">
        <f>(N6+R6)/(L6+P6-M6-Q6)</f>
        <v>0.53690563083888954</v>
      </c>
      <c r="T6" t="s">
        <v>20</v>
      </c>
    </row>
    <row r="7" spans="1:20" x14ac:dyDescent="0.35">
      <c r="A7">
        <v>2015</v>
      </c>
      <c r="B7" s="1">
        <v>7729</v>
      </c>
      <c r="C7" s="1">
        <v>2796</v>
      </c>
      <c r="D7" s="2">
        <f t="shared" ref="D7:D16" si="4">C7/B7</f>
        <v>0.36175443136240132</v>
      </c>
      <c r="E7" s="1">
        <v>220</v>
      </c>
      <c r="F7" s="2">
        <f t="shared" si="2"/>
        <v>2.8464225643679647E-2</v>
      </c>
      <c r="G7" s="1">
        <v>2145</v>
      </c>
      <c r="H7" s="1">
        <v>1401</v>
      </c>
      <c r="I7" s="1">
        <f t="shared" ref="I7:I16" si="5">G7-H7</f>
        <v>744</v>
      </c>
      <c r="J7" s="2">
        <f t="shared" ref="J7:J16" si="6">I7/B7</f>
        <v>9.6260835813171172E-2</v>
      </c>
      <c r="K7" s="2">
        <f>I7/I7</f>
        <v>1</v>
      </c>
      <c r="L7" s="1">
        <v>4983</v>
      </c>
      <c r="M7" s="1">
        <v>1606</v>
      </c>
      <c r="N7" s="1">
        <v>1416</v>
      </c>
      <c r="O7" s="3">
        <f t="shared" ref="O7:O11" si="7">(L7-M7)/N7</f>
        <v>2.3848870056497176</v>
      </c>
      <c r="P7" s="1">
        <v>20199</v>
      </c>
      <c r="Q7" s="1">
        <v>152</v>
      </c>
      <c r="R7" s="1">
        <v>9474</v>
      </c>
      <c r="S7" s="3">
        <f t="shared" ref="S7:S11" si="8">(N7+R7)/(L7+P7-M7-Q7)</f>
        <v>0.46490778688524592</v>
      </c>
      <c r="T7" t="s">
        <v>54</v>
      </c>
    </row>
    <row r="8" spans="1:20" x14ac:dyDescent="0.35">
      <c r="A8">
        <v>2016</v>
      </c>
      <c r="B8" s="1">
        <v>6711</v>
      </c>
      <c r="C8" s="1">
        <v>1442</v>
      </c>
      <c r="D8" s="2">
        <f t="shared" si="4"/>
        <v>0.21487110713753538</v>
      </c>
      <c r="E8" s="1">
        <v>-627</v>
      </c>
      <c r="F8" s="2">
        <f t="shared" si="2"/>
        <v>-9.3428699150648192E-2</v>
      </c>
      <c r="G8" s="1">
        <v>2786</v>
      </c>
      <c r="H8" s="1">
        <v>1133</v>
      </c>
      <c r="I8" s="1">
        <f t="shared" si="5"/>
        <v>1653</v>
      </c>
      <c r="J8" s="2">
        <f t="shared" si="6"/>
        <v>0.24631202503352703</v>
      </c>
      <c r="K8" s="2">
        <f>I8/I7</f>
        <v>2.221774193548387</v>
      </c>
      <c r="L8" s="1">
        <v>4677</v>
      </c>
      <c r="M8" s="1">
        <v>1380</v>
      </c>
      <c r="N8" s="1">
        <v>1750</v>
      </c>
      <c r="O8" s="3">
        <f t="shared" si="7"/>
        <v>1.8839999999999999</v>
      </c>
      <c r="P8" s="1">
        <v>16354</v>
      </c>
      <c r="Q8" s="1">
        <v>0</v>
      </c>
      <c r="R8" s="1">
        <v>7407</v>
      </c>
      <c r="S8" s="3">
        <f t="shared" si="8"/>
        <v>0.46598137499363901</v>
      </c>
      <c r="T8" t="s">
        <v>54</v>
      </c>
    </row>
    <row r="9" spans="1:20" x14ac:dyDescent="0.35">
      <c r="A9">
        <v>2017</v>
      </c>
      <c r="B9" s="1">
        <v>7348</v>
      </c>
      <c r="C9" s="1">
        <v>2735</v>
      </c>
      <c r="D9" s="2">
        <f t="shared" si="4"/>
        <v>0.37221012520413715</v>
      </c>
      <c r="E9" s="1">
        <v>-98</v>
      </c>
      <c r="F9" s="2">
        <f t="shared" si="2"/>
        <v>-1.3336962438758846E-2</v>
      </c>
      <c r="G9" s="1">
        <v>2335</v>
      </c>
      <c r="H9" s="1">
        <v>866</v>
      </c>
      <c r="I9" s="1">
        <f t="shared" si="5"/>
        <v>1469</v>
      </c>
      <c r="J9" s="2">
        <f t="shared" si="6"/>
        <v>0.19991834512792597</v>
      </c>
      <c r="K9" s="2">
        <f>I9/I7</f>
        <v>1.9744623655913978</v>
      </c>
      <c r="L9" s="1">
        <v>5066</v>
      </c>
      <c r="M9" s="1">
        <v>1355</v>
      </c>
      <c r="N9" s="1">
        <v>1395</v>
      </c>
      <c r="O9" s="3">
        <f t="shared" si="7"/>
        <v>2.6602150537634408</v>
      </c>
      <c r="P9" s="1">
        <v>15497</v>
      </c>
      <c r="Q9" s="1">
        <v>0</v>
      </c>
      <c r="R9" s="1">
        <v>7538</v>
      </c>
      <c r="S9" s="3">
        <f t="shared" si="8"/>
        <v>0.46506663890045813</v>
      </c>
      <c r="T9" t="s">
        <v>54</v>
      </c>
    </row>
    <row r="10" spans="1:20" x14ac:dyDescent="0.35">
      <c r="A10">
        <v>2018</v>
      </c>
      <c r="B10" s="1">
        <v>7253</v>
      </c>
      <c r="C10" s="1">
        <v>2226</v>
      </c>
      <c r="D10" s="2">
        <f t="shared" si="4"/>
        <v>0.30690748655728661</v>
      </c>
      <c r="E10">
        <v>341</v>
      </c>
      <c r="F10" s="2">
        <f t="shared" si="2"/>
        <v>4.701502826416655E-2</v>
      </c>
      <c r="G10" s="1">
        <v>1827</v>
      </c>
      <c r="H10" s="1">
        <v>1032</v>
      </c>
      <c r="I10" s="1">
        <f t="shared" si="5"/>
        <v>795</v>
      </c>
      <c r="J10" s="2">
        <f t="shared" si="6"/>
        <v>0.10960981662760237</v>
      </c>
      <c r="K10" s="2">
        <f>I10/I7</f>
        <v>1.0685483870967742</v>
      </c>
      <c r="L10" s="1">
        <v>5277</v>
      </c>
      <c r="M10" s="1">
        <v>1327</v>
      </c>
      <c r="N10" s="1">
        <v>1787</v>
      </c>
      <c r="O10" s="3">
        <f t="shared" si="7"/>
        <v>2.2104085058757694</v>
      </c>
      <c r="P10" s="1">
        <v>15438</v>
      </c>
      <c r="Q10" s="1">
        <v>0</v>
      </c>
      <c r="R10" s="1">
        <v>7416</v>
      </c>
      <c r="S10" s="3">
        <f t="shared" si="8"/>
        <v>0.47467505673612542</v>
      </c>
      <c r="T10" t="s">
        <v>54</v>
      </c>
    </row>
    <row r="11" spans="1:20" x14ac:dyDescent="0.35">
      <c r="A11">
        <v>2019</v>
      </c>
      <c r="B11" s="1">
        <v>9740</v>
      </c>
      <c r="C11" s="1">
        <v>3781</v>
      </c>
      <c r="D11" s="2">
        <f t="shared" si="4"/>
        <v>0.38819301848049281</v>
      </c>
      <c r="E11" s="1">
        <v>2805</v>
      </c>
      <c r="F11" s="2">
        <f t="shared" si="2"/>
        <v>0.28798767967145789</v>
      </c>
      <c r="G11" s="1">
        <v>2866</v>
      </c>
      <c r="H11" s="1">
        <v>1463</v>
      </c>
      <c r="I11" s="1">
        <f t="shared" si="5"/>
        <v>1403</v>
      </c>
      <c r="J11" s="2">
        <f t="shared" si="6"/>
        <v>0.14404517453798768</v>
      </c>
      <c r="K11" s="2">
        <f>I11/I7</f>
        <v>1.885752688172043</v>
      </c>
      <c r="L11" s="1">
        <v>6272</v>
      </c>
      <c r="M11" s="1">
        <v>1826</v>
      </c>
      <c r="N11" s="1">
        <v>2385</v>
      </c>
      <c r="O11" s="3">
        <f t="shared" si="7"/>
        <v>1.8641509433962264</v>
      </c>
      <c r="P11" s="1">
        <v>33702</v>
      </c>
      <c r="Q11" s="1">
        <v>2674</v>
      </c>
      <c r="R11" s="1">
        <v>15172</v>
      </c>
      <c r="S11" s="3">
        <f t="shared" si="8"/>
        <v>0.49492586119411403</v>
      </c>
      <c r="T11" t="s">
        <v>54</v>
      </c>
    </row>
    <row r="12" spans="1:20" x14ac:dyDescent="0.35">
      <c r="A12">
        <v>2015</v>
      </c>
      <c r="B12" s="1">
        <v>10248</v>
      </c>
      <c r="C12" s="1">
        <v>1700</v>
      </c>
      <c r="D12" s="2">
        <f t="shared" si="4"/>
        <v>0.16588602654176424</v>
      </c>
      <c r="E12" s="1">
        <v>-2907</v>
      </c>
      <c r="F12" s="2">
        <f t="shared" si="2"/>
        <v>-0.28366510538641687</v>
      </c>
      <c r="G12" s="1">
        <v>2296</v>
      </c>
      <c r="H12" s="1">
        <v>2432</v>
      </c>
      <c r="I12" s="1">
        <f t="shared" si="5"/>
        <v>-136</v>
      </c>
      <c r="J12" s="2">
        <f t="shared" si="6"/>
        <v>-1.3270882123341141E-2</v>
      </c>
      <c r="K12" s="2">
        <f>I12/ABS(I12)</f>
        <v>-1</v>
      </c>
      <c r="L12" s="1">
        <v>6150</v>
      </c>
      <c r="M12" s="1">
        <v>2722</v>
      </c>
      <c r="N12" s="1">
        <v>2560</v>
      </c>
      <c r="O12" s="3">
        <f t="shared" ref="O12:O16" si="9">(L12-M12)/N12</f>
        <v>1.3390625</v>
      </c>
      <c r="P12" s="1">
        <v>27729</v>
      </c>
      <c r="Q12" s="1">
        <v>4734</v>
      </c>
      <c r="R12" s="1">
        <v>21017</v>
      </c>
      <c r="S12" s="3">
        <f t="shared" ref="S12:S16" si="10">(N12+R12)/(L12+P12-M12-Q12)</f>
        <v>0.89229080725125842</v>
      </c>
      <c r="T12" t="s">
        <v>55</v>
      </c>
    </row>
    <row r="13" spans="1:20" x14ac:dyDescent="0.35">
      <c r="A13">
        <v>2016</v>
      </c>
      <c r="B13" s="1">
        <v>9035</v>
      </c>
      <c r="C13" s="1">
        <v>2635</v>
      </c>
      <c r="D13" s="2">
        <f t="shared" si="4"/>
        <v>0.29164360819037077</v>
      </c>
      <c r="E13" s="1">
        <v>-2838</v>
      </c>
      <c r="F13" s="2">
        <f t="shared" si="2"/>
        <v>-0.31411178749308244</v>
      </c>
      <c r="G13" s="1">
        <v>2794</v>
      </c>
      <c r="H13" s="1">
        <v>1713</v>
      </c>
      <c r="I13" s="1">
        <f t="shared" si="5"/>
        <v>1081</v>
      </c>
      <c r="J13" s="2">
        <f t="shared" si="6"/>
        <v>0.11964582180409518</v>
      </c>
      <c r="K13" s="2">
        <f>I13/ABS(I9)</f>
        <v>0.73587474472430225</v>
      </c>
      <c r="L13" s="1">
        <v>5468</v>
      </c>
      <c r="M13" s="1">
        <v>1717</v>
      </c>
      <c r="N13" s="1">
        <v>1847</v>
      </c>
      <c r="O13" s="3">
        <f t="shared" si="9"/>
        <v>2.0308608554412562</v>
      </c>
      <c r="P13" s="1">
        <v>20840</v>
      </c>
      <c r="Q13" s="1">
        <v>1399</v>
      </c>
      <c r="R13" s="1">
        <v>16853</v>
      </c>
      <c r="S13" s="3">
        <f t="shared" si="10"/>
        <v>0.80631252155915834</v>
      </c>
      <c r="T13" t="s">
        <v>55</v>
      </c>
    </row>
    <row r="14" spans="1:20" x14ac:dyDescent="0.35">
      <c r="A14">
        <v>2017</v>
      </c>
      <c r="B14" s="1">
        <v>8558</v>
      </c>
      <c r="C14" s="1">
        <v>4510</v>
      </c>
      <c r="D14" s="2">
        <f t="shared" si="4"/>
        <v>0.52699228791773778</v>
      </c>
      <c r="E14" s="1">
        <v>655</v>
      </c>
      <c r="F14" s="2">
        <f t="shared" si="2"/>
        <v>7.6536573965879873E-2</v>
      </c>
      <c r="G14" s="1">
        <v>2640</v>
      </c>
      <c r="H14" s="1">
        <v>1126</v>
      </c>
      <c r="I14" s="1">
        <f t="shared" si="5"/>
        <v>1514</v>
      </c>
      <c r="J14" s="2">
        <f t="shared" si="6"/>
        <v>0.17691049310586585</v>
      </c>
      <c r="K14" s="2">
        <f>I14/ABS(I10)</f>
        <v>1.9044025157232705</v>
      </c>
      <c r="L14" s="1">
        <v>4874</v>
      </c>
      <c r="M14" s="1">
        <v>1930</v>
      </c>
      <c r="N14" s="1">
        <v>1819</v>
      </c>
      <c r="O14" s="3">
        <f t="shared" si="9"/>
        <v>1.6184716877405168</v>
      </c>
      <c r="P14" s="1">
        <v>20390</v>
      </c>
      <c r="Q14" s="1">
        <v>1396</v>
      </c>
      <c r="R14" s="1">
        <v>14951</v>
      </c>
      <c r="S14" s="3">
        <f t="shared" si="10"/>
        <v>0.76442702160634513</v>
      </c>
      <c r="T14" t="s">
        <v>55</v>
      </c>
    </row>
    <row r="15" spans="1:20" x14ac:dyDescent="0.35">
      <c r="A15">
        <v>2018</v>
      </c>
      <c r="B15" s="1">
        <v>8374</v>
      </c>
      <c r="C15" s="1">
        <v>4310</v>
      </c>
      <c r="D15" s="2">
        <f t="shared" si="4"/>
        <v>0.51468832099355144</v>
      </c>
      <c r="E15" s="1">
        <v>1438</v>
      </c>
      <c r="F15" s="2">
        <f t="shared" si="2"/>
        <v>0.17172199665631718</v>
      </c>
      <c r="G15" s="1">
        <v>2065</v>
      </c>
      <c r="H15" s="1">
        <v>1396</v>
      </c>
      <c r="I15" s="1">
        <f t="shared" si="5"/>
        <v>669</v>
      </c>
      <c r="J15" s="2">
        <f t="shared" si="6"/>
        <v>7.9890136135657985E-2</v>
      </c>
      <c r="K15" s="2">
        <f>I15/ABS(I9)</f>
        <v>0.45541184479237579</v>
      </c>
      <c r="L15" s="1">
        <v>4684</v>
      </c>
      <c r="M15" s="1">
        <v>1890</v>
      </c>
      <c r="N15" s="1">
        <v>1747</v>
      </c>
      <c r="O15" s="3">
        <f t="shared" si="9"/>
        <v>1.5993131081854608</v>
      </c>
      <c r="P15" s="1">
        <v>20624</v>
      </c>
      <c r="Q15" s="1">
        <v>1350</v>
      </c>
      <c r="R15" s="1">
        <v>14241</v>
      </c>
      <c r="S15" s="3">
        <f t="shared" si="10"/>
        <v>0.72448794634765268</v>
      </c>
      <c r="T15" t="s">
        <v>55</v>
      </c>
    </row>
    <row r="16" spans="1:20" x14ac:dyDescent="0.35">
      <c r="A16">
        <v>2019</v>
      </c>
      <c r="B16" s="1">
        <v>7243</v>
      </c>
      <c r="C16" s="1">
        <v>2199</v>
      </c>
      <c r="D16" s="2">
        <f t="shared" si="4"/>
        <v>0.30360347922131714</v>
      </c>
      <c r="E16" s="1">
        <v>-1545</v>
      </c>
      <c r="F16" s="2">
        <f t="shared" si="2"/>
        <v>-0.21330940218141653</v>
      </c>
      <c r="G16" s="1">
        <v>1765</v>
      </c>
      <c r="H16" s="1">
        <v>1400</v>
      </c>
      <c r="I16" s="1">
        <f t="shared" si="5"/>
        <v>365</v>
      </c>
      <c r="J16" s="2">
        <f t="shared" si="6"/>
        <v>5.0393483363247275E-2</v>
      </c>
      <c r="K16" s="2">
        <f>I16/ABS(I9)</f>
        <v>0.24846834581347857</v>
      </c>
      <c r="L16" s="1">
        <v>3978</v>
      </c>
      <c r="M16" s="1">
        <v>1852</v>
      </c>
      <c r="N16" s="1">
        <v>1668</v>
      </c>
      <c r="O16" s="3">
        <f t="shared" si="9"/>
        <v>1.2745803357314149</v>
      </c>
      <c r="P16" s="1">
        <v>18653</v>
      </c>
      <c r="Q16" s="1">
        <v>1192</v>
      </c>
      <c r="R16" s="1">
        <v>13246</v>
      </c>
      <c r="S16" s="3">
        <f t="shared" si="10"/>
        <v>0.76142339306683005</v>
      </c>
      <c r="T16" t="s">
        <v>55</v>
      </c>
    </row>
    <row r="17" spans="1:20" x14ac:dyDescent="0.35">
      <c r="A17">
        <v>2015</v>
      </c>
      <c r="B17" s="1">
        <v>35475</v>
      </c>
      <c r="C17" s="1">
        <v>9373</v>
      </c>
      <c r="D17" s="2">
        <f t="shared" ref="D17:D51" si="11">C17/B17</f>
        <v>0.2642142353770261</v>
      </c>
      <c r="E17" s="1">
        <v>2072</v>
      </c>
      <c r="F17" s="2">
        <f t="shared" si="2"/>
        <v>5.8407329105003521E-2</v>
      </c>
      <c r="G17" s="1">
        <v>8572</v>
      </c>
      <c r="H17" s="1">
        <v>2896</v>
      </c>
      <c r="I17" s="1">
        <f t="shared" ref="I17:I51" si="12">G17-H17</f>
        <v>5676</v>
      </c>
      <c r="J17" s="2">
        <f t="shared" ref="J17:J51" si="13">I17/B17</f>
        <v>0.16</v>
      </c>
      <c r="K17" s="2">
        <f>I17/I17</f>
        <v>1</v>
      </c>
      <c r="L17" s="1">
        <v>26912</v>
      </c>
      <c r="M17" s="1">
        <v>3756</v>
      </c>
      <c r="N17" s="1">
        <v>14121</v>
      </c>
      <c r="O17">
        <f t="shared" ref="O17:O51" si="14">(L17-M17)/N17</f>
        <v>1.6398272077048368</v>
      </c>
      <c r="P17" s="1">
        <v>41093</v>
      </c>
      <c r="Q17" s="1">
        <v>20174</v>
      </c>
      <c r="R17" s="1">
        <v>17979</v>
      </c>
      <c r="S17" s="3">
        <f t="shared" ref="S17:S51" si="15">(N17+R17)/(L17+P17-M17-Q17)</f>
        <v>0.72830402722631882</v>
      </c>
      <c r="T17" t="s">
        <v>68</v>
      </c>
    </row>
    <row r="18" spans="1:20" x14ac:dyDescent="0.35">
      <c r="A18">
        <v>2016</v>
      </c>
      <c r="B18" s="1">
        <v>27810</v>
      </c>
      <c r="C18" s="1">
        <v>5937</v>
      </c>
      <c r="D18" s="2">
        <f t="shared" si="11"/>
        <v>0.21348435814455233</v>
      </c>
      <c r="E18" s="1">
        <v>-1687</v>
      </c>
      <c r="F18" s="2">
        <f t="shared" si="2"/>
        <v>-6.0661632506292702E-2</v>
      </c>
      <c r="G18" s="1">
        <v>6261</v>
      </c>
      <c r="H18" s="1">
        <v>2685</v>
      </c>
      <c r="I18" s="1">
        <f t="shared" si="12"/>
        <v>3576</v>
      </c>
      <c r="J18" s="2">
        <f t="shared" si="13"/>
        <v>0.12858683926645093</v>
      </c>
      <c r="K18" s="2">
        <f>I18/I17</f>
        <v>0.63002114164904865</v>
      </c>
      <c r="L18" s="1">
        <v>23927</v>
      </c>
      <c r="M18" s="1">
        <v>4225</v>
      </c>
      <c r="N18" s="1">
        <v>15059</v>
      </c>
      <c r="O18">
        <f t="shared" si="14"/>
        <v>1.3083206056179029</v>
      </c>
      <c r="P18" s="1">
        <v>54029</v>
      </c>
      <c r="Q18" s="1">
        <v>34845</v>
      </c>
      <c r="R18" s="1">
        <v>21368</v>
      </c>
      <c r="S18" s="3">
        <f t="shared" si="15"/>
        <v>0.93676387388777449</v>
      </c>
      <c r="T18" t="s">
        <v>68</v>
      </c>
    </row>
    <row r="19" spans="1:20" x14ac:dyDescent="0.35">
      <c r="A19">
        <v>2017</v>
      </c>
      <c r="B19" s="1">
        <v>30440</v>
      </c>
      <c r="C19" s="1">
        <v>6263</v>
      </c>
      <c r="D19" s="2">
        <f t="shared" si="11"/>
        <v>0.20574901445466492</v>
      </c>
      <c r="E19" s="1">
        <v>-1505</v>
      </c>
      <c r="F19" s="2">
        <f t="shared" si="2"/>
        <v>-4.9441524310118265E-2</v>
      </c>
      <c r="G19" s="1">
        <v>5663</v>
      </c>
      <c r="H19" s="1">
        <v>2383</v>
      </c>
      <c r="I19" s="1">
        <f t="shared" si="12"/>
        <v>3280</v>
      </c>
      <c r="J19" s="2">
        <f t="shared" si="13"/>
        <v>0.10775295663600526</v>
      </c>
      <c r="K19" s="2">
        <f>I19/I17</f>
        <v>0.57787174066243829</v>
      </c>
      <c r="L19" s="1">
        <v>18497</v>
      </c>
      <c r="M19" s="1">
        <v>4046</v>
      </c>
      <c r="N19" s="1">
        <v>15282</v>
      </c>
      <c r="O19">
        <f t="shared" si="14"/>
        <v>0.94562230074597564</v>
      </c>
      <c r="P19" s="1">
        <v>53490</v>
      </c>
      <c r="Q19" s="1">
        <v>34472</v>
      </c>
      <c r="R19" s="1">
        <v>19444</v>
      </c>
      <c r="S19" s="3">
        <f t="shared" si="15"/>
        <v>1.0375571424303087</v>
      </c>
      <c r="T19" t="s">
        <v>68</v>
      </c>
    </row>
    <row r="20" spans="1:20" x14ac:dyDescent="0.35">
      <c r="A20">
        <v>2018</v>
      </c>
      <c r="B20" s="1">
        <v>32815</v>
      </c>
      <c r="C20" s="1">
        <v>6190</v>
      </c>
      <c r="D20" s="2">
        <f t="shared" si="11"/>
        <v>0.18863324699070547</v>
      </c>
      <c r="E20" s="1">
        <v>2138</v>
      </c>
      <c r="F20" s="2">
        <f t="shared" si="2"/>
        <v>6.5153131190004571E-2</v>
      </c>
      <c r="G20" s="1">
        <v>5713</v>
      </c>
      <c r="H20" s="1">
        <v>2260</v>
      </c>
      <c r="I20" s="1">
        <f t="shared" si="12"/>
        <v>3453</v>
      </c>
      <c r="J20" s="2">
        <f t="shared" si="13"/>
        <v>0.10522626847478288</v>
      </c>
      <c r="K20" s="2">
        <f>I20/I17</f>
        <v>0.60835095137420714</v>
      </c>
      <c r="L20" s="1">
        <v>15731</v>
      </c>
      <c r="M20" s="1">
        <v>4010</v>
      </c>
      <c r="N20" s="1">
        <v>13486</v>
      </c>
      <c r="O20">
        <f t="shared" si="14"/>
        <v>0.86912353551831534</v>
      </c>
      <c r="P20" s="1">
        <v>54776</v>
      </c>
      <c r="Q20" s="1">
        <v>33658</v>
      </c>
      <c r="R20" s="1">
        <v>20435</v>
      </c>
      <c r="S20" s="3">
        <f t="shared" si="15"/>
        <v>1.0329486281555467</v>
      </c>
      <c r="T20" t="s">
        <v>68</v>
      </c>
    </row>
    <row r="21" spans="1:20" x14ac:dyDescent="0.35">
      <c r="A21">
        <v>2019</v>
      </c>
      <c r="B21" s="1">
        <v>32917</v>
      </c>
      <c r="C21" s="1">
        <v>5888</v>
      </c>
      <c r="D21" s="2">
        <f t="shared" si="11"/>
        <v>0.17887413798341284</v>
      </c>
      <c r="E21" s="1">
        <v>-10137</v>
      </c>
      <c r="F21" s="2">
        <f t="shared" si="2"/>
        <v>-0.30795637512531521</v>
      </c>
      <c r="G21" s="1">
        <v>5431</v>
      </c>
      <c r="H21" s="1">
        <v>1955</v>
      </c>
      <c r="I21" s="1">
        <f t="shared" si="12"/>
        <v>3476</v>
      </c>
      <c r="J21" s="2">
        <f t="shared" si="13"/>
        <v>0.10559893064374032</v>
      </c>
      <c r="K21" s="2">
        <f>I21/I17</f>
        <v>0.61240310077519378</v>
      </c>
      <c r="L21" s="1">
        <v>15530</v>
      </c>
      <c r="M21" s="1">
        <v>4130</v>
      </c>
      <c r="N21" s="1">
        <v>13098</v>
      </c>
      <c r="O21">
        <f t="shared" si="14"/>
        <v>0.87036188731103981</v>
      </c>
      <c r="P21" s="1">
        <v>40782</v>
      </c>
      <c r="Q21" s="1">
        <v>23131</v>
      </c>
      <c r="R21" s="1">
        <v>19038</v>
      </c>
      <c r="S21" s="3">
        <f t="shared" si="15"/>
        <v>1.1061925579153902</v>
      </c>
      <c r="T21" t="s">
        <v>68</v>
      </c>
    </row>
    <row r="22" spans="1:20" x14ac:dyDescent="0.35">
      <c r="A22">
        <v>2015</v>
      </c>
      <c r="B22" s="1">
        <v>236810</v>
      </c>
      <c r="C22" s="1">
        <v>30931</v>
      </c>
      <c r="D22" s="2">
        <f t="shared" si="11"/>
        <v>0.13061526117984881</v>
      </c>
      <c r="E22" s="1">
        <v>16150</v>
      </c>
      <c r="F22" s="2">
        <f t="shared" si="2"/>
        <v>6.8198133524766696E-2</v>
      </c>
      <c r="G22" s="1">
        <v>30344</v>
      </c>
      <c r="H22" s="1">
        <v>26490</v>
      </c>
      <c r="I22" s="1">
        <f t="shared" si="12"/>
        <v>3854</v>
      </c>
      <c r="J22" s="2">
        <f t="shared" si="13"/>
        <v>1.6274650563743085E-2</v>
      </c>
      <c r="K22" s="2">
        <f>I22/I22</f>
        <v>1</v>
      </c>
      <c r="L22" s="1">
        <v>42623</v>
      </c>
      <c r="M22" s="1">
        <v>16245</v>
      </c>
      <c r="N22" s="1">
        <v>53976</v>
      </c>
      <c r="O22">
        <f t="shared" si="14"/>
        <v>0.48869868089521268</v>
      </c>
      <c r="P22" s="1">
        <v>294135</v>
      </c>
      <c r="Q22" s="1">
        <v>0</v>
      </c>
      <c r="R22" s="1">
        <v>159948</v>
      </c>
      <c r="S22" s="3">
        <f t="shared" si="15"/>
        <v>0.66744250623219648</v>
      </c>
      <c r="T22" t="s">
        <v>69</v>
      </c>
    </row>
    <row r="23" spans="1:20" x14ac:dyDescent="0.35">
      <c r="A23">
        <v>2016</v>
      </c>
      <c r="B23" s="1">
        <v>197518</v>
      </c>
      <c r="C23" s="1">
        <v>23244</v>
      </c>
      <c r="D23" s="2">
        <f t="shared" si="11"/>
        <v>0.11768041393695765</v>
      </c>
      <c r="E23" s="1">
        <v>7840</v>
      </c>
      <c r="F23" s="2">
        <f t="shared" si="2"/>
        <v>3.9692584979596796E-2</v>
      </c>
      <c r="G23" s="1">
        <v>22082</v>
      </c>
      <c r="H23" s="1">
        <v>16163</v>
      </c>
      <c r="I23" s="1">
        <f t="shared" si="12"/>
        <v>5919</v>
      </c>
      <c r="J23" s="2">
        <f t="shared" si="13"/>
        <v>2.9966889093652225E-2</v>
      </c>
      <c r="K23" s="2">
        <f>I23/I22</f>
        <v>1.5358069538142189</v>
      </c>
      <c r="L23" s="1">
        <v>41416</v>
      </c>
      <c r="M23" s="1">
        <v>15080</v>
      </c>
      <c r="N23" s="1">
        <v>47638</v>
      </c>
      <c r="O23">
        <f t="shared" si="14"/>
        <v>0.55283597128342921</v>
      </c>
      <c r="P23" s="1">
        <v>288898</v>
      </c>
      <c r="Q23" s="1">
        <v>0</v>
      </c>
      <c r="R23" s="1">
        <v>156484</v>
      </c>
      <c r="S23" s="3">
        <f t="shared" si="15"/>
        <v>0.64752533038948845</v>
      </c>
      <c r="T23" t="s">
        <v>69</v>
      </c>
    </row>
    <row r="24" spans="1:20" x14ac:dyDescent="0.35">
      <c r="A24">
        <v>2017</v>
      </c>
      <c r="B24" s="1">
        <v>237162</v>
      </c>
      <c r="C24" s="1">
        <v>31967</v>
      </c>
      <c r="D24" s="2">
        <f t="shared" si="11"/>
        <v>0.13478972179354196</v>
      </c>
      <c r="E24" s="1">
        <v>19710</v>
      </c>
      <c r="F24" s="2">
        <f t="shared" si="2"/>
        <v>8.3107749133503675E-2</v>
      </c>
      <c r="G24" s="1">
        <v>30066</v>
      </c>
      <c r="H24" s="1">
        <v>15402</v>
      </c>
      <c r="I24" s="1">
        <f t="shared" si="12"/>
        <v>14664</v>
      </c>
      <c r="J24" s="2">
        <f t="shared" si="13"/>
        <v>6.1831153388822828E-2</v>
      </c>
      <c r="K24" s="2">
        <f>I24/I22</f>
        <v>3.8048780487804876</v>
      </c>
      <c r="L24" s="1">
        <v>47134</v>
      </c>
      <c r="M24" s="1">
        <v>16992</v>
      </c>
      <c r="N24" s="1">
        <v>57771</v>
      </c>
      <c r="O24">
        <f t="shared" si="14"/>
        <v>0.52174966678783474</v>
      </c>
      <c r="P24" s="1">
        <v>301557</v>
      </c>
      <c r="Q24" s="1">
        <v>0</v>
      </c>
      <c r="R24" s="1">
        <v>154191</v>
      </c>
      <c r="S24" s="3">
        <f t="shared" si="15"/>
        <v>0.63901911069976092</v>
      </c>
      <c r="T24" t="s">
        <v>69</v>
      </c>
    </row>
    <row r="25" spans="1:20" x14ac:dyDescent="0.35">
      <c r="A25">
        <v>2018</v>
      </c>
      <c r="B25" s="1">
        <v>279332</v>
      </c>
      <c r="C25" s="1">
        <v>40869</v>
      </c>
      <c r="D25" s="2">
        <f t="shared" si="11"/>
        <v>0.14630976758838946</v>
      </c>
      <c r="E25" s="1">
        <v>20840</v>
      </c>
      <c r="F25" s="2">
        <f t="shared" si="2"/>
        <v>7.4606561367834695E-2</v>
      </c>
      <c r="G25" s="1">
        <v>36014</v>
      </c>
      <c r="H25" s="1">
        <v>19574</v>
      </c>
      <c r="I25" s="1">
        <f t="shared" si="12"/>
        <v>16440</v>
      </c>
      <c r="J25" s="2">
        <f t="shared" si="13"/>
        <v>5.8854696203800495E-2</v>
      </c>
      <c r="K25" s="2">
        <f>I25/I22</f>
        <v>4.2656979761286973</v>
      </c>
      <c r="L25" s="1">
        <v>47973</v>
      </c>
      <c r="M25" s="1">
        <v>18958</v>
      </c>
      <c r="N25" s="1">
        <v>57138</v>
      </c>
      <c r="O25">
        <f t="shared" si="14"/>
        <v>0.50780566348139589</v>
      </c>
      <c r="P25" s="1">
        <v>298223</v>
      </c>
      <c r="Q25" s="1">
        <v>0</v>
      </c>
      <c r="R25" s="1">
        <v>147668</v>
      </c>
      <c r="S25" s="3">
        <f t="shared" si="15"/>
        <v>0.62586252207873172</v>
      </c>
      <c r="T25" t="s">
        <v>69</v>
      </c>
    </row>
    <row r="26" spans="1:20" x14ac:dyDescent="0.35">
      <c r="A26">
        <v>2019</v>
      </c>
      <c r="B26" s="1">
        <v>255583</v>
      </c>
      <c r="C26" s="1">
        <v>31764</v>
      </c>
      <c r="D26" s="2">
        <f t="shared" si="11"/>
        <v>0.12428056639134841</v>
      </c>
      <c r="E26" s="1">
        <v>14340</v>
      </c>
      <c r="F26" s="2">
        <f t="shared" si="2"/>
        <v>5.6107018072407006E-2</v>
      </c>
      <c r="G26" s="1">
        <v>29716</v>
      </c>
      <c r="H26" s="1">
        <v>24361</v>
      </c>
      <c r="I26" s="1">
        <f t="shared" si="12"/>
        <v>5355</v>
      </c>
      <c r="J26" s="2">
        <f t="shared" si="13"/>
        <v>2.0952097752980441E-2</v>
      </c>
      <c r="K26" s="2">
        <f>I26/I22</f>
        <v>1.3894654903995849</v>
      </c>
      <c r="L26" s="1">
        <v>50052</v>
      </c>
      <c r="M26" s="1">
        <v>18528</v>
      </c>
      <c r="N26" s="1">
        <v>63989</v>
      </c>
      <c r="O26">
        <f t="shared" si="14"/>
        <v>0.49264717373298533</v>
      </c>
      <c r="P26" s="1">
        <v>312545</v>
      </c>
      <c r="Q26" s="1">
        <v>0</v>
      </c>
      <c r="R26" s="1">
        <v>163659</v>
      </c>
      <c r="S26" s="3">
        <f t="shared" si="15"/>
        <v>0.66163473024306174</v>
      </c>
      <c r="T26" t="s">
        <v>69</v>
      </c>
    </row>
    <row r="27" spans="1:20" x14ac:dyDescent="0.35">
      <c r="A27">
        <v>2015</v>
      </c>
      <c r="B27" s="1">
        <v>12480</v>
      </c>
      <c r="C27" s="1">
        <v>-4171</v>
      </c>
      <c r="D27" s="2">
        <f t="shared" si="11"/>
        <v>-0.33421474358974357</v>
      </c>
      <c r="E27" s="1">
        <v>-7829</v>
      </c>
      <c r="F27" s="2">
        <f t="shared" si="2"/>
        <v>-0.627323717948718</v>
      </c>
      <c r="G27" s="1">
        <v>3351</v>
      </c>
      <c r="H27" s="1">
        <v>5272</v>
      </c>
      <c r="I27" s="1">
        <f t="shared" si="12"/>
        <v>-1921</v>
      </c>
      <c r="J27" s="2">
        <f t="shared" si="13"/>
        <v>-0.15392628205128206</v>
      </c>
      <c r="K27" s="2">
        <f>I27/ABS(I27)</f>
        <v>-1</v>
      </c>
      <c r="L27" s="1">
        <v>9402</v>
      </c>
      <c r="M27" s="1">
        <v>986</v>
      </c>
      <c r="N27" s="1">
        <v>6842</v>
      </c>
      <c r="O27">
        <f t="shared" si="14"/>
        <v>1.2300496930722011</v>
      </c>
      <c r="P27" s="1">
        <v>34035</v>
      </c>
      <c r="Q27" s="1">
        <v>0</v>
      </c>
      <c r="R27" s="1">
        <v>19087</v>
      </c>
      <c r="S27" s="3">
        <f t="shared" si="15"/>
        <v>0.61079833219476576</v>
      </c>
      <c r="T27" t="s">
        <v>70</v>
      </c>
    </row>
    <row r="28" spans="1:20" x14ac:dyDescent="0.35">
      <c r="A28">
        <v>2016</v>
      </c>
      <c r="B28" s="1">
        <v>10090</v>
      </c>
      <c r="C28" s="1">
        <v>2757</v>
      </c>
      <c r="D28" s="2">
        <f t="shared" si="11"/>
        <v>0.27324083250743308</v>
      </c>
      <c r="E28" s="1">
        <v>-574</v>
      </c>
      <c r="F28" s="2">
        <f t="shared" si="2"/>
        <v>-5.6888007928642223E-2</v>
      </c>
      <c r="G28" s="1">
        <v>3383</v>
      </c>
      <c r="H28" s="1">
        <v>2717</v>
      </c>
      <c r="I28" s="1">
        <f t="shared" si="12"/>
        <v>666</v>
      </c>
      <c r="J28" s="2">
        <f t="shared" si="13"/>
        <v>6.6005946481665009E-2</v>
      </c>
      <c r="K28" s="2">
        <f>I28/ABS(I27)</f>
        <v>0.34669442998438316</v>
      </c>
      <c r="L28" s="1">
        <v>8428</v>
      </c>
      <c r="M28" s="1">
        <v>866</v>
      </c>
      <c r="N28" s="1">
        <v>6362</v>
      </c>
      <c r="O28">
        <f t="shared" si="14"/>
        <v>1.1886199308393588</v>
      </c>
      <c r="P28" s="1">
        <v>34681</v>
      </c>
      <c r="Q28" s="1">
        <v>0</v>
      </c>
      <c r="R28" s="1">
        <v>21612</v>
      </c>
      <c r="S28" s="3">
        <f t="shared" si="15"/>
        <v>0.66221622517340151</v>
      </c>
      <c r="T28" t="s">
        <v>70</v>
      </c>
    </row>
    <row r="29" spans="1:20" x14ac:dyDescent="0.35">
      <c r="A29">
        <v>2017</v>
      </c>
      <c r="B29" s="1">
        <v>12508</v>
      </c>
      <c r="C29" s="1">
        <v>4700</v>
      </c>
      <c r="D29" s="2">
        <f t="shared" si="11"/>
        <v>0.37575951391109691</v>
      </c>
      <c r="E29" s="1">
        <v>1305</v>
      </c>
      <c r="F29" s="2">
        <f t="shared" si="2"/>
        <v>0.10433322673488966</v>
      </c>
      <c r="G29" s="1">
        <v>4996</v>
      </c>
      <c r="H29" s="1">
        <v>3599</v>
      </c>
      <c r="I29" s="1">
        <f t="shared" si="12"/>
        <v>1397</v>
      </c>
      <c r="J29" s="2">
        <f t="shared" si="13"/>
        <v>0.11168851934761752</v>
      </c>
      <c r="K29" s="2">
        <f>I29/ABS(I27)</f>
        <v>0.72722540343571052</v>
      </c>
      <c r="L29" s="1">
        <v>8270</v>
      </c>
      <c r="M29" s="1">
        <v>1246</v>
      </c>
      <c r="N29" s="1">
        <v>7400</v>
      </c>
      <c r="O29">
        <f t="shared" si="14"/>
        <v>0.94918918918918915</v>
      </c>
      <c r="P29" s="1">
        <v>33756</v>
      </c>
      <c r="Q29" s="1">
        <v>0</v>
      </c>
      <c r="R29" s="1">
        <v>21454</v>
      </c>
      <c r="S29" s="3">
        <f t="shared" si="15"/>
        <v>0.70755272192251106</v>
      </c>
      <c r="T29" t="s">
        <v>70</v>
      </c>
    </row>
    <row r="30" spans="1:20" x14ac:dyDescent="0.35">
      <c r="A30">
        <v>2018</v>
      </c>
      <c r="B30" s="1">
        <v>17824</v>
      </c>
      <c r="C30" s="1">
        <v>8636</v>
      </c>
      <c r="D30" s="2">
        <f t="shared" si="11"/>
        <v>0.48451526032315978</v>
      </c>
      <c r="E30" s="1">
        <v>4114</v>
      </c>
      <c r="F30" s="2">
        <f t="shared" si="2"/>
        <v>0.23081238779174149</v>
      </c>
      <c r="G30" s="1">
        <v>7669</v>
      </c>
      <c r="H30" s="1">
        <v>4975</v>
      </c>
      <c r="I30" s="1">
        <f t="shared" si="12"/>
        <v>2694</v>
      </c>
      <c r="J30" s="2">
        <f t="shared" si="13"/>
        <v>0.15114452423698385</v>
      </c>
      <c r="K30" s="2">
        <f>I30/ABS(I27)</f>
        <v>1.4023945861530454</v>
      </c>
      <c r="L30" s="1">
        <v>9932</v>
      </c>
      <c r="M30" s="1">
        <v>1260</v>
      </c>
      <c r="N30" s="1">
        <v>7412</v>
      </c>
      <c r="O30">
        <f t="shared" si="14"/>
        <v>1.1699946033459254</v>
      </c>
      <c r="P30" s="1">
        <v>33922</v>
      </c>
      <c r="Q30" s="1">
        <v>0</v>
      </c>
      <c r="R30" s="1">
        <v>22524</v>
      </c>
      <c r="S30" s="3">
        <f t="shared" si="15"/>
        <v>0.702821993708034</v>
      </c>
      <c r="T30" t="s">
        <v>70</v>
      </c>
    </row>
    <row r="31" spans="1:20" x14ac:dyDescent="0.35">
      <c r="A31">
        <v>2019</v>
      </c>
      <c r="B31" s="1">
        <v>20393</v>
      </c>
      <c r="C31" s="1">
        <v>9894</v>
      </c>
      <c r="D31" s="2">
        <f t="shared" si="11"/>
        <v>0.48516647869366941</v>
      </c>
      <c r="E31" s="1">
        <v>-985</v>
      </c>
      <c r="F31" s="2">
        <f t="shared" si="2"/>
        <v>-4.8300887559456676E-2</v>
      </c>
      <c r="G31" s="1">
        <v>7375</v>
      </c>
      <c r="H31" s="1">
        <v>6355</v>
      </c>
      <c r="I31" s="1">
        <f t="shared" si="12"/>
        <v>1020</v>
      </c>
      <c r="J31" s="2">
        <f t="shared" si="13"/>
        <v>5.0017162751924679E-2</v>
      </c>
      <c r="K31" s="2">
        <f>I31/ABS(I27)</f>
        <v>0.53097345132743368</v>
      </c>
      <c r="L31" s="1">
        <v>18681</v>
      </c>
      <c r="M31" s="1">
        <v>1447</v>
      </c>
      <c r="N31" s="1">
        <v>14949</v>
      </c>
      <c r="O31">
        <f t="shared" si="14"/>
        <v>1.1528530336477356</v>
      </c>
      <c r="P31" s="1">
        <v>90649</v>
      </c>
      <c r="Q31" s="1">
        <v>0</v>
      </c>
      <c r="R31" s="1">
        <v>75098</v>
      </c>
      <c r="S31" s="3">
        <f t="shared" si="15"/>
        <v>0.83467274732812402</v>
      </c>
      <c r="T31" t="s">
        <v>70</v>
      </c>
    </row>
    <row r="32" spans="1:20" x14ac:dyDescent="0.35">
      <c r="A32">
        <v>2015</v>
      </c>
      <c r="B32" s="1">
        <v>85195</v>
      </c>
      <c r="C32" s="1">
        <v>5535</v>
      </c>
      <c r="D32" s="2">
        <f t="shared" si="11"/>
        <v>6.4968601443746693E-2</v>
      </c>
      <c r="E32" s="1">
        <v>4221</v>
      </c>
      <c r="F32" s="2">
        <f t="shared" si="2"/>
        <v>4.9545161101003578E-2</v>
      </c>
      <c r="G32" s="1">
        <v>5713</v>
      </c>
      <c r="H32" s="1">
        <v>5764</v>
      </c>
      <c r="I32" s="1">
        <f t="shared" si="12"/>
        <v>-51</v>
      </c>
      <c r="J32" s="2">
        <f t="shared" si="13"/>
        <v>-5.9862667996948176E-4</v>
      </c>
      <c r="K32" s="2">
        <f>I32/ABS(I32)</f>
        <v>-1</v>
      </c>
      <c r="L32" s="1">
        <v>12256</v>
      </c>
      <c r="M32" s="1">
        <v>3477</v>
      </c>
      <c r="N32" s="1">
        <v>4181</v>
      </c>
      <c r="O32">
        <f t="shared" si="14"/>
        <v>2.0997369050466395</v>
      </c>
      <c r="P32" s="1">
        <v>36324</v>
      </c>
      <c r="Q32" s="1">
        <v>4181</v>
      </c>
      <c r="R32" s="1">
        <v>17111</v>
      </c>
      <c r="S32" s="3">
        <f t="shared" si="15"/>
        <v>0.5203069253702165</v>
      </c>
      <c r="T32" t="s">
        <v>71</v>
      </c>
    </row>
    <row r="33" spans="1:20" x14ac:dyDescent="0.35">
      <c r="A33">
        <v>2016</v>
      </c>
      <c r="B33" s="1">
        <v>70898</v>
      </c>
      <c r="C33" s="1">
        <v>2210</v>
      </c>
      <c r="D33" s="2">
        <f t="shared" si="11"/>
        <v>3.1171542215577309E-2</v>
      </c>
      <c r="E33" s="1">
        <v>1549</v>
      </c>
      <c r="F33" s="2">
        <f t="shared" si="2"/>
        <v>2.1848289091370703E-2</v>
      </c>
      <c r="G33" s="1">
        <v>2963</v>
      </c>
      <c r="H33" s="1">
        <v>2844</v>
      </c>
      <c r="I33" s="1">
        <f t="shared" si="12"/>
        <v>119</v>
      </c>
      <c r="J33" s="2">
        <f t="shared" si="13"/>
        <v>1.6784676577618551E-3</v>
      </c>
      <c r="K33" s="2">
        <f>I33/ABS(I32)</f>
        <v>2.3333333333333335</v>
      </c>
      <c r="L33" s="1">
        <v>12680</v>
      </c>
      <c r="M33" s="1">
        <v>3150</v>
      </c>
      <c r="N33" s="1">
        <v>4158</v>
      </c>
      <c r="O33">
        <f t="shared" si="14"/>
        <v>2.2919672919672918</v>
      </c>
      <c r="P33" s="1">
        <v>38973</v>
      </c>
      <c r="Q33" s="1">
        <v>4158</v>
      </c>
      <c r="R33" s="1">
        <v>18465</v>
      </c>
      <c r="S33" s="3">
        <f t="shared" si="15"/>
        <v>0.51015898071935961</v>
      </c>
      <c r="T33" t="s">
        <v>71</v>
      </c>
    </row>
    <row r="34" spans="1:20" x14ac:dyDescent="0.35">
      <c r="A34">
        <v>2017</v>
      </c>
      <c r="B34" s="1">
        <v>89300</v>
      </c>
      <c r="C34" s="1">
        <v>3382</v>
      </c>
      <c r="D34" s="2">
        <f t="shared" si="11"/>
        <v>3.7872340425531913E-2</v>
      </c>
      <c r="E34" s="1">
        <v>5100</v>
      </c>
      <c r="F34" s="2">
        <f t="shared" si="2"/>
        <v>5.7110862262038077E-2</v>
      </c>
      <c r="G34" s="1">
        <v>3648</v>
      </c>
      <c r="H34" s="1">
        <v>1832</v>
      </c>
      <c r="I34" s="1">
        <f t="shared" si="12"/>
        <v>1816</v>
      </c>
      <c r="J34" s="2">
        <f t="shared" si="13"/>
        <v>2.0335946248600224E-2</v>
      </c>
      <c r="K34" s="2">
        <f>I34/ABS(I32)</f>
        <v>35.607843137254903</v>
      </c>
      <c r="L34" s="1">
        <v>14390</v>
      </c>
      <c r="M34" s="1">
        <v>3395</v>
      </c>
      <c r="N34" s="1">
        <v>4146</v>
      </c>
      <c r="O34">
        <f t="shared" si="14"/>
        <v>2.6519536903039076</v>
      </c>
      <c r="P34" s="1">
        <v>39981</v>
      </c>
      <c r="Q34" s="1">
        <v>4146</v>
      </c>
      <c r="R34" s="1">
        <v>16836</v>
      </c>
      <c r="S34" s="3">
        <f t="shared" si="15"/>
        <v>0.44804612427930812</v>
      </c>
      <c r="T34" t="s">
        <v>71</v>
      </c>
    </row>
    <row r="35" spans="1:20" x14ac:dyDescent="0.35">
      <c r="A35">
        <v>2018</v>
      </c>
      <c r="B35" s="1">
        <v>111461</v>
      </c>
      <c r="C35" s="1">
        <v>6549</v>
      </c>
      <c r="D35" s="2">
        <f t="shared" si="11"/>
        <v>5.8755977427082121E-2</v>
      </c>
      <c r="E35" s="1">
        <v>5589</v>
      </c>
      <c r="F35" s="2">
        <f t="shared" si="2"/>
        <v>5.0143099380052215E-2</v>
      </c>
      <c r="G35" s="1">
        <v>7573</v>
      </c>
      <c r="H35" s="1">
        <v>2639</v>
      </c>
      <c r="I35" s="1">
        <f t="shared" si="12"/>
        <v>4934</v>
      </c>
      <c r="J35" s="2">
        <f t="shared" si="13"/>
        <v>4.4266604462547439E-2</v>
      </c>
      <c r="K35" s="2">
        <f>I35/ABS(I32)</f>
        <v>96.745098039215691</v>
      </c>
      <c r="L35" s="1">
        <v>13209</v>
      </c>
      <c r="M35" s="1">
        <v>3543</v>
      </c>
      <c r="N35" s="1">
        <v>4139</v>
      </c>
      <c r="O35">
        <f t="shared" si="14"/>
        <v>2.3353467021019569</v>
      </c>
      <c r="P35" s="1">
        <v>41093</v>
      </c>
      <c r="Q35" s="1">
        <v>4139</v>
      </c>
      <c r="R35" s="1">
        <v>18214</v>
      </c>
      <c r="S35" s="3">
        <f t="shared" si="15"/>
        <v>0.47947232947232948</v>
      </c>
      <c r="T35" t="s">
        <v>71</v>
      </c>
    </row>
    <row r="36" spans="1:20" x14ac:dyDescent="0.35">
      <c r="A36">
        <v>2019</v>
      </c>
      <c r="B36" s="1">
        <v>107293</v>
      </c>
      <c r="C36" s="1">
        <v>4600</v>
      </c>
      <c r="D36" s="2">
        <f t="shared" si="11"/>
        <v>4.2873253613935673E-2</v>
      </c>
      <c r="E36" s="1">
        <v>3070</v>
      </c>
      <c r="F36" s="2">
        <f t="shared" si="2"/>
        <v>2.8613236651039677E-2</v>
      </c>
      <c r="G36" s="1">
        <v>4808</v>
      </c>
      <c r="H36" s="1">
        <v>3873</v>
      </c>
      <c r="I36" s="1">
        <f t="shared" si="12"/>
        <v>935</v>
      </c>
      <c r="J36" s="2">
        <f t="shared" si="13"/>
        <v>8.7144548106586634E-3</v>
      </c>
      <c r="K36" s="2">
        <f>I36/ABS(I32)</f>
        <v>18.333333333333332</v>
      </c>
      <c r="L36" s="1">
        <v>14395</v>
      </c>
      <c r="M36" s="1">
        <v>3776</v>
      </c>
      <c r="N36" s="1">
        <v>4139</v>
      </c>
      <c r="O36">
        <f t="shared" si="14"/>
        <v>2.5655955544817588</v>
      </c>
      <c r="P36" s="1">
        <v>44325</v>
      </c>
      <c r="Q36" s="1">
        <v>4139</v>
      </c>
      <c r="R36" s="1">
        <v>19905</v>
      </c>
      <c r="S36" s="3">
        <f t="shared" si="15"/>
        <v>0.47326050585572288</v>
      </c>
      <c r="T36" t="s">
        <v>71</v>
      </c>
    </row>
    <row r="37" spans="1:20" x14ac:dyDescent="0.35">
      <c r="A37">
        <v>2015</v>
      </c>
      <c r="B37" s="1">
        <v>10233</v>
      </c>
      <c r="C37">
        <v>866</v>
      </c>
      <c r="D37" s="2">
        <f t="shared" si="11"/>
        <v>8.4628163783836613E-2</v>
      </c>
      <c r="E37" s="1">
        <v>618</v>
      </c>
      <c r="F37" s="2">
        <f t="shared" si="2"/>
        <v>6.0392846672530053E-2</v>
      </c>
      <c r="G37" s="1">
        <v>1155</v>
      </c>
      <c r="H37" s="1">
        <v>1343</v>
      </c>
      <c r="I37" s="1">
        <f t="shared" si="12"/>
        <v>-188</v>
      </c>
      <c r="J37" s="2">
        <f t="shared" si="13"/>
        <v>-1.837193393921626E-2</v>
      </c>
      <c r="K37" s="2">
        <f>I37/ABS(I37)</f>
        <v>-1</v>
      </c>
      <c r="L37" s="1">
        <v>4659</v>
      </c>
      <c r="M37" s="1">
        <v>583</v>
      </c>
      <c r="N37" s="1">
        <v>1337</v>
      </c>
      <c r="O37">
        <f t="shared" si="14"/>
        <v>3.0486163051608077</v>
      </c>
      <c r="P37" s="1">
        <v>13906</v>
      </c>
      <c r="Q37" s="1">
        <v>174</v>
      </c>
      <c r="R37" s="1">
        <v>8308</v>
      </c>
      <c r="S37" s="3">
        <f t="shared" si="15"/>
        <v>0.54161051212938005</v>
      </c>
      <c r="T37" t="s">
        <v>72</v>
      </c>
    </row>
    <row r="38" spans="1:20" x14ac:dyDescent="0.35">
      <c r="A38">
        <v>2016</v>
      </c>
      <c r="B38" s="1">
        <v>9163</v>
      </c>
      <c r="C38">
        <v>869</v>
      </c>
      <c r="D38" s="2">
        <f t="shared" si="11"/>
        <v>9.4837935174069632E-2</v>
      </c>
      <c r="E38" s="1">
        <v>-545</v>
      </c>
      <c r="F38" s="2">
        <f t="shared" si="2"/>
        <v>-5.9478336789261156E-2</v>
      </c>
      <c r="G38">
        <v>650</v>
      </c>
      <c r="H38">
        <v>781</v>
      </c>
      <c r="I38" s="1">
        <f t="shared" si="12"/>
        <v>-131</v>
      </c>
      <c r="J38" s="2">
        <f t="shared" si="13"/>
        <v>-1.4296627742005893E-2</v>
      </c>
      <c r="K38" s="2">
        <f>I38/ABS(I37)</f>
        <v>-0.69680851063829785</v>
      </c>
      <c r="L38" s="1">
        <v>5087</v>
      </c>
      <c r="M38" s="1">
        <v>922</v>
      </c>
      <c r="N38" s="1">
        <v>1992</v>
      </c>
      <c r="O38">
        <f t="shared" si="14"/>
        <v>2.0908634538152611</v>
      </c>
      <c r="P38" s="1">
        <v>13746</v>
      </c>
      <c r="Q38" s="1">
        <v>180</v>
      </c>
      <c r="R38" s="1">
        <v>8200</v>
      </c>
      <c r="S38" s="3">
        <f t="shared" si="15"/>
        <v>0.57481247532570079</v>
      </c>
      <c r="T38" t="s">
        <v>72</v>
      </c>
    </row>
    <row r="39" spans="1:20" x14ac:dyDescent="0.35">
      <c r="A39">
        <v>2017</v>
      </c>
      <c r="B39" s="1">
        <v>13135</v>
      </c>
      <c r="C39" s="1">
        <v>1560</v>
      </c>
      <c r="D39" s="2">
        <f t="shared" si="11"/>
        <v>0.11876665397792158</v>
      </c>
      <c r="E39" s="1">
        <v>3366</v>
      </c>
      <c r="F39" s="2">
        <f t="shared" si="2"/>
        <v>0.25626189569851543</v>
      </c>
      <c r="G39" s="1">
        <v>2358</v>
      </c>
      <c r="H39" s="1">
        <v>1287</v>
      </c>
      <c r="I39" s="1">
        <f t="shared" si="12"/>
        <v>1071</v>
      </c>
      <c r="J39" s="2">
        <f t="shared" si="13"/>
        <v>8.153787590407309E-2</v>
      </c>
      <c r="K39" s="2">
        <f>I39/ABS(I37)</f>
        <v>5.6968085106382977</v>
      </c>
      <c r="L39" s="1">
        <v>3997</v>
      </c>
      <c r="M39" s="1">
        <v>1109</v>
      </c>
      <c r="N39" s="1">
        <v>3540</v>
      </c>
      <c r="O39">
        <f t="shared" si="14"/>
        <v>0.81581920903954808</v>
      </c>
      <c r="P39" s="1">
        <v>28671</v>
      </c>
      <c r="Q39" s="1">
        <v>1813</v>
      </c>
      <c r="R39" s="1">
        <v>13181</v>
      </c>
      <c r="S39" s="3">
        <f t="shared" si="15"/>
        <v>0.56212600013447189</v>
      </c>
      <c r="T39" t="s">
        <v>72</v>
      </c>
    </row>
    <row r="40" spans="1:20" x14ac:dyDescent="0.35">
      <c r="A40">
        <v>2018</v>
      </c>
      <c r="B40" s="1">
        <v>16078</v>
      </c>
      <c r="C40" s="1">
        <v>1029</v>
      </c>
      <c r="D40" s="2">
        <f t="shared" si="11"/>
        <v>6.400049757432516E-2</v>
      </c>
      <c r="E40" s="1">
        <v>-2669</v>
      </c>
      <c r="F40" s="2">
        <f t="shared" si="2"/>
        <v>-0.16600323423311358</v>
      </c>
      <c r="G40" s="1">
        <v>1662</v>
      </c>
      <c r="H40" s="1">
        <v>1062</v>
      </c>
      <c r="I40" s="1">
        <f t="shared" si="12"/>
        <v>600</v>
      </c>
      <c r="J40" s="2">
        <f t="shared" si="13"/>
        <v>3.7318074387361615E-2</v>
      </c>
      <c r="K40" s="2">
        <f>I40/ABS(I37)</f>
        <v>3.1914893617021276</v>
      </c>
      <c r="L40" s="1">
        <v>2341</v>
      </c>
      <c r="M40">
        <v>742</v>
      </c>
      <c r="N40" s="1">
        <v>1905</v>
      </c>
      <c r="O40">
        <f t="shared" si="14"/>
        <v>0.83937007874015745</v>
      </c>
      <c r="P40" s="1">
        <v>23436</v>
      </c>
      <c r="Q40" s="1">
        <v>1665</v>
      </c>
      <c r="R40" s="1">
        <v>11070</v>
      </c>
      <c r="S40" s="3">
        <f t="shared" si="15"/>
        <v>0.55519897304236199</v>
      </c>
      <c r="T40" t="s">
        <v>72</v>
      </c>
    </row>
    <row r="41" spans="1:20" x14ac:dyDescent="0.35">
      <c r="A41">
        <v>2019</v>
      </c>
      <c r="B41" s="1">
        <v>15211</v>
      </c>
      <c r="C41" s="1">
        <v>3032</v>
      </c>
      <c r="D41" s="2">
        <f t="shared" si="11"/>
        <v>0.1993294326474262</v>
      </c>
      <c r="E41" s="1">
        <v>2194</v>
      </c>
      <c r="F41" s="2">
        <f t="shared" si="2"/>
        <v>0.14423772270067714</v>
      </c>
      <c r="G41" s="1">
        <v>2476</v>
      </c>
      <c r="H41">
        <v>892</v>
      </c>
      <c r="I41" s="1">
        <f t="shared" si="12"/>
        <v>1584</v>
      </c>
      <c r="J41" s="2">
        <f t="shared" si="13"/>
        <v>0.10413516534087174</v>
      </c>
      <c r="K41" s="2">
        <f>I41/ABS(I37)</f>
        <v>8.4255319148936163</v>
      </c>
      <c r="L41" s="1">
        <v>2532</v>
      </c>
      <c r="M41" s="1">
        <v>1181</v>
      </c>
      <c r="N41" s="1">
        <v>1944</v>
      </c>
      <c r="O41">
        <f t="shared" si="14"/>
        <v>0.69495884773662553</v>
      </c>
      <c r="P41" s="1">
        <v>25002</v>
      </c>
      <c r="Q41" s="1">
        <v>1830</v>
      </c>
      <c r="R41" s="1">
        <v>10787</v>
      </c>
      <c r="S41" s="3">
        <f t="shared" si="15"/>
        <v>0.51914529217469318</v>
      </c>
      <c r="T41" t="s">
        <v>72</v>
      </c>
    </row>
    <row r="42" spans="1:20" x14ac:dyDescent="0.35">
      <c r="A42">
        <v>2015</v>
      </c>
      <c r="B42" s="1">
        <v>122566</v>
      </c>
      <c r="C42" s="1">
        <v>17680</v>
      </c>
      <c r="D42" s="2">
        <f t="shared" si="11"/>
        <v>0.14424881288448674</v>
      </c>
      <c r="E42" s="1">
        <v>4587</v>
      </c>
      <c r="F42" s="2">
        <f t="shared" si="2"/>
        <v>3.7424734428797547E-2</v>
      </c>
      <c r="G42" s="1">
        <v>19456</v>
      </c>
      <c r="H42" s="1">
        <v>29504</v>
      </c>
      <c r="I42" s="1">
        <f t="shared" si="12"/>
        <v>-10048</v>
      </c>
      <c r="J42" s="2">
        <f t="shared" si="13"/>
        <v>-8.198032080674901E-2</v>
      </c>
      <c r="K42" s="2">
        <f>I42/ABS(I42)</f>
        <v>-1</v>
      </c>
      <c r="L42" s="1">
        <v>35347</v>
      </c>
      <c r="M42" s="1">
        <v>6334</v>
      </c>
      <c r="N42" s="1">
        <v>26464</v>
      </c>
      <c r="O42">
        <f t="shared" si="14"/>
        <v>1.0963195284159613</v>
      </c>
      <c r="P42" s="1">
        <v>230756</v>
      </c>
      <c r="Q42" s="1">
        <v>4588</v>
      </c>
      <c r="R42" s="1">
        <v>85753</v>
      </c>
      <c r="S42" s="3">
        <f t="shared" si="15"/>
        <v>0.43975452717874763</v>
      </c>
      <c r="T42" t="s">
        <v>90</v>
      </c>
    </row>
    <row r="43" spans="1:20" x14ac:dyDescent="0.35">
      <c r="A43">
        <v>2016</v>
      </c>
      <c r="B43" s="1">
        <v>103310</v>
      </c>
      <c r="C43" s="1">
        <v>13324</v>
      </c>
      <c r="D43" s="2">
        <f t="shared" si="11"/>
        <v>0.12897105798083439</v>
      </c>
      <c r="E43">
        <v>-497</v>
      </c>
      <c r="F43" s="2">
        <f t="shared" si="2"/>
        <v>-4.8107637208401896E-3</v>
      </c>
      <c r="G43" s="1">
        <v>12846</v>
      </c>
      <c r="H43" s="1">
        <v>18109</v>
      </c>
      <c r="I43" s="1">
        <f t="shared" si="12"/>
        <v>-5263</v>
      </c>
      <c r="J43" s="2">
        <f t="shared" si="13"/>
        <v>-5.0943761494531024E-2</v>
      </c>
      <c r="K43" s="2">
        <f>I43/ABS(I42)</f>
        <v>-0.52378582802547768</v>
      </c>
      <c r="L43" s="1">
        <v>29619</v>
      </c>
      <c r="M43" s="1">
        <v>5419</v>
      </c>
      <c r="N43" s="1">
        <v>31785</v>
      </c>
      <c r="O43">
        <f t="shared" si="14"/>
        <v>0.76136542394211104</v>
      </c>
      <c r="P43" s="1">
        <v>230459</v>
      </c>
      <c r="Q43" s="1">
        <v>4581</v>
      </c>
      <c r="R43" s="1">
        <v>81571</v>
      </c>
      <c r="S43" s="3">
        <f t="shared" si="15"/>
        <v>0.45328257583633907</v>
      </c>
      <c r="T43" t="s">
        <v>90</v>
      </c>
    </row>
    <row r="44" spans="1:20" x14ac:dyDescent="0.35">
      <c r="A44">
        <v>2017</v>
      </c>
      <c r="B44" s="1">
        <v>127485</v>
      </c>
      <c r="C44" s="1">
        <v>21829</v>
      </c>
      <c r="D44" s="2">
        <f t="shared" si="11"/>
        <v>0.17122798760638505</v>
      </c>
      <c r="E44" s="1">
        <v>9195</v>
      </c>
      <c r="F44" s="2">
        <f t="shared" si="2"/>
        <v>7.2126132486174846E-2</v>
      </c>
      <c r="G44" s="1">
        <v>20515</v>
      </c>
      <c r="H44" s="1">
        <v>13404</v>
      </c>
      <c r="I44" s="1">
        <f t="shared" si="12"/>
        <v>7111</v>
      </c>
      <c r="J44" s="2">
        <f t="shared" si="13"/>
        <v>5.5779111267992315E-2</v>
      </c>
      <c r="K44" s="2">
        <f>I44/ABS(I42)</f>
        <v>0.70770302547770703</v>
      </c>
      <c r="L44" s="1">
        <v>28560</v>
      </c>
      <c r="M44" s="1">
        <v>5585</v>
      </c>
      <c r="N44" s="1">
        <v>27737</v>
      </c>
      <c r="O44">
        <f t="shared" si="14"/>
        <v>0.82831596784079031</v>
      </c>
      <c r="P44" s="1">
        <v>225246</v>
      </c>
      <c r="Q44" s="1">
        <v>4531</v>
      </c>
      <c r="R44" s="1">
        <v>76750</v>
      </c>
      <c r="S44" s="3">
        <f t="shared" si="15"/>
        <v>0.42877015880832203</v>
      </c>
      <c r="T44" t="s">
        <v>90</v>
      </c>
    </row>
    <row r="45" spans="1:20" x14ac:dyDescent="0.35">
      <c r="A45">
        <v>2018</v>
      </c>
      <c r="B45" s="1">
        <v>158902</v>
      </c>
      <c r="C45" s="1">
        <v>33865</v>
      </c>
      <c r="D45" s="2">
        <f t="shared" si="11"/>
        <v>0.21311877761135795</v>
      </c>
      <c r="E45" s="1">
        <v>14824</v>
      </c>
      <c r="F45" s="2">
        <f t="shared" si="2"/>
        <v>9.3290204025122406E-2</v>
      </c>
      <c r="G45" s="1">
        <v>30618</v>
      </c>
      <c r="H45" s="1">
        <v>13792</v>
      </c>
      <c r="I45" s="1">
        <f t="shared" si="12"/>
        <v>16826</v>
      </c>
      <c r="J45" s="2">
        <f t="shared" si="13"/>
        <v>0.1058891643906307</v>
      </c>
      <c r="K45" s="2">
        <f>I45/ABS(I42)</f>
        <v>1.6745621019108281</v>
      </c>
      <c r="L45" s="1">
        <v>34021</v>
      </c>
      <c r="M45" s="1">
        <v>5704</v>
      </c>
      <c r="N45" s="1">
        <v>27171</v>
      </c>
      <c r="O45">
        <f t="shared" si="14"/>
        <v>1.042177321408855</v>
      </c>
      <c r="P45" s="1">
        <v>219842</v>
      </c>
      <c r="Q45" s="1">
        <v>4518</v>
      </c>
      <c r="R45" s="1">
        <v>71050</v>
      </c>
      <c r="S45" s="3">
        <f t="shared" si="15"/>
        <v>0.40313822386215786</v>
      </c>
      <c r="T45" t="s">
        <v>90</v>
      </c>
    </row>
    <row r="46" spans="1:20" x14ac:dyDescent="0.35">
      <c r="A46">
        <v>2019</v>
      </c>
      <c r="B46" s="1">
        <v>139865</v>
      </c>
      <c r="C46" s="1">
        <v>29318</v>
      </c>
      <c r="D46" s="2">
        <f t="shared" si="11"/>
        <v>0.20961641582954993</v>
      </c>
      <c r="E46" s="1">
        <v>2924</v>
      </c>
      <c r="F46" s="2">
        <f t="shared" si="2"/>
        <v>2.0905873520895148E-2</v>
      </c>
      <c r="G46" s="1">
        <v>27314</v>
      </c>
      <c r="H46" s="1">
        <v>14116</v>
      </c>
      <c r="I46" s="1">
        <f t="shared" si="12"/>
        <v>13198</v>
      </c>
      <c r="J46" s="2">
        <f t="shared" si="13"/>
        <v>9.4362420905873517E-2</v>
      </c>
      <c r="K46" s="2">
        <f>I46/ABS(I42)</f>
        <v>1.3134952229299364</v>
      </c>
      <c r="L46" s="1">
        <v>28329</v>
      </c>
      <c r="M46" s="1">
        <v>5848</v>
      </c>
      <c r="N46" s="1">
        <v>26530</v>
      </c>
      <c r="O46">
        <f t="shared" si="14"/>
        <v>0.8473803241613268</v>
      </c>
      <c r="P46" s="1">
        <v>209099</v>
      </c>
      <c r="Q46" s="1">
        <v>4463</v>
      </c>
      <c r="R46" s="1">
        <v>65690</v>
      </c>
      <c r="S46" s="3">
        <f t="shared" si="15"/>
        <v>0.40604622287191183</v>
      </c>
      <c r="T46" t="s">
        <v>90</v>
      </c>
    </row>
    <row r="47" spans="1:20" x14ac:dyDescent="0.35">
      <c r="A47">
        <v>2015</v>
      </c>
      <c r="B47" s="1">
        <v>264960</v>
      </c>
      <c r="C47" s="1">
        <v>23453</v>
      </c>
      <c r="D47" s="2">
        <f t="shared" si="11"/>
        <v>8.851524758454106E-2</v>
      </c>
      <c r="E47" s="1">
        <v>1939</v>
      </c>
      <c r="F47" s="2">
        <f t="shared" si="2"/>
        <v>7.3180857487922706E-3</v>
      </c>
      <c r="G47" s="1">
        <v>29810</v>
      </c>
      <c r="H47" s="1">
        <v>26131</v>
      </c>
      <c r="I47" s="1">
        <f t="shared" si="12"/>
        <v>3679</v>
      </c>
      <c r="J47" s="2">
        <f t="shared" si="13"/>
        <v>1.3885114734299518E-2</v>
      </c>
      <c r="K47" s="2">
        <f>I47/ABS(I47)</f>
        <v>1</v>
      </c>
      <c r="L47" s="1">
        <v>93358</v>
      </c>
      <c r="M47" s="1">
        <v>15822</v>
      </c>
      <c r="N47" s="1">
        <v>70948</v>
      </c>
      <c r="O47">
        <f t="shared" si="14"/>
        <v>1.0928567401477138</v>
      </c>
      <c r="P47" s="1">
        <v>246799</v>
      </c>
      <c r="Q47" s="1">
        <v>6283</v>
      </c>
      <c r="R47" s="1">
        <v>105088</v>
      </c>
      <c r="S47" s="3">
        <f t="shared" si="15"/>
        <v>0.55348182058279782</v>
      </c>
      <c r="T47" t="s">
        <v>91</v>
      </c>
    </row>
    <row r="48" spans="1:20" x14ac:dyDescent="0.35">
      <c r="A48">
        <v>2016</v>
      </c>
      <c r="B48" s="1">
        <v>233591</v>
      </c>
      <c r="C48" s="1">
        <v>27360</v>
      </c>
      <c r="D48" s="2">
        <f t="shared" si="11"/>
        <v>0.11712780030052528</v>
      </c>
      <c r="E48" s="1">
        <v>4575</v>
      </c>
      <c r="F48" s="2">
        <f t="shared" si="2"/>
        <v>1.9585514852883887E-2</v>
      </c>
      <c r="G48" s="1">
        <v>20615</v>
      </c>
      <c r="H48" s="1">
        <v>22116</v>
      </c>
      <c r="I48" s="1">
        <f t="shared" si="12"/>
        <v>-1501</v>
      </c>
      <c r="J48" s="2">
        <f t="shared" si="13"/>
        <v>-6.4257612664871504E-3</v>
      </c>
      <c r="K48" s="2">
        <f>I48/ABS(I47)</f>
        <v>-0.40799130198423483</v>
      </c>
      <c r="L48" s="1">
        <v>86569</v>
      </c>
      <c r="M48" s="1">
        <v>21775</v>
      </c>
      <c r="N48" s="1">
        <v>73825</v>
      </c>
      <c r="O48">
        <f t="shared" si="14"/>
        <v>0.87767016593294955</v>
      </c>
      <c r="P48" s="1">
        <v>324706</v>
      </c>
      <c r="Q48" s="1">
        <v>23967</v>
      </c>
      <c r="R48" s="1">
        <v>148939</v>
      </c>
      <c r="S48" s="3">
        <f t="shared" si="15"/>
        <v>0.60942240509064849</v>
      </c>
      <c r="T48" t="s">
        <v>91</v>
      </c>
    </row>
    <row r="49" spans="1:20" x14ac:dyDescent="0.35">
      <c r="A49">
        <v>2017</v>
      </c>
      <c r="B49" s="1">
        <v>305179</v>
      </c>
      <c r="C49" s="1">
        <v>41704</v>
      </c>
      <c r="D49" s="2">
        <f t="shared" si="11"/>
        <v>0.13665422588054879</v>
      </c>
      <c r="E49" s="1">
        <v>12977</v>
      </c>
      <c r="F49" s="2">
        <f t="shared" si="2"/>
        <v>4.2522585105790371E-2</v>
      </c>
      <c r="G49" s="1">
        <v>35650</v>
      </c>
      <c r="H49" s="1">
        <v>20845</v>
      </c>
      <c r="I49" s="1">
        <f t="shared" si="12"/>
        <v>14805</v>
      </c>
      <c r="J49" s="2">
        <f t="shared" si="13"/>
        <v>4.8512512328829964E-2</v>
      </c>
      <c r="K49" s="2">
        <f>I49/ABS(I47)</f>
        <v>4.024191356346833</v>
      </c>
      <c r="L49" s="1">
        <v>95404</v>
      </c>
      <c r="M49" s="1">
        <v>25223</v>
      </c>
      <c r="N49" s="1">
        <v>79767</v>
      </c>
      <c r="O49">
        <f t="shared" si="14"/>
        <v>0.87982499028420269</v>
      </c>
      <c r="P49" s="1">
        <v>311693</v>
      </c>
      <c r="Q49" s="1">
        <v>24180</v>
      </c>
      <c r="R49" s="1">
        <v>129518</v>
      </c>
      <c r="S49" s="3">
        <f t="shared" si="15"/>
        <v>0.58509508127058318</v>
      </c>
      <c r="T49" t="s">
        <v>91</v>
      </c>
    </row>
    <row r="50" spans="1:20" x14ac:dyDescent="0.35">
      <c r="A50">
        <v>2018</v>
      </c>
      <c r="B50" s="1">
        <v>388379</v>
      </c>
      <c r="C50" s="1">
        <v>53324</v>
      </c>
      <c r="D50" s="2">
        <f t="shared" si="11"/>
        <v>0.13729887558287138</v>
      </c>
      <c r="E50" s="1">
        <v>23352</v>
      </c>
      <c r="F50" s="2">
        <f t="shared" si="2"/>
        <v>6.0126834870062491E-2</v>
      </c>
      <c r="G50" s="1">
        <v>53085</v>
      </c>
      <c r="H50" s="1">
        <v>23011</v>
      </c>
      <c r="I50" s="1">
        <f t="shared" si="12"/>
        <v>30074</v>
      </c>
      <c r="J50" s="2">
        <f t="shared" si="13"/>
        <v>7.7434670772621589E-2</v>
      </c>
      <c r="K50" s="2">
        <f>I50/ABS(I47)</f>
        <v>8.1745039412883944</v>
      </c>
      <c r="L50" s="1">
        <v>97482</v>
      </c>
      <c r="M50" s="1">
        <v>21117</v>
      </c>
      <c r="N50" s="1">
        <v>77813</v>
      </c>
      <c r="O50">
        <f t="shared" si="14"/>
        <v>0.98139128423271171</v>
      </c>
      <c r="P50" s="1">
        <v>301712</v>
      </c>
      <c r="Q50" s="1">
        <v>23586</v>
      </c>
      <c r="R50" s="1">
        <v>118847</v>
      </c>
      <c r="S50" s="3">
        <f t="shared" si="15"/>
        <v>0.55476725784293535</v>
      </c>
      <c r="T50" t="s">
        <v>91</v>
      </c>
    </row>
    <row r="51" spans="1:20" x14ac:dyDescent="0.35">
      <c r="A51">
        <v>2019</v>
      </c>
      <c r="B51" s="1">
        <v>344877</v>
      </c>
      <c r="C51" s="1">
        <v>51647</v>
      </c>
      <c r="D51" s="2">
        <f t="shared" si="11"/>
        <v>0.14975484013140916</v>
      </c>
      <c r="E51" s="1">
        <v>15843</v>
      </c>
      <c r="F51" s="2">
        <f t="shared" si="2"/>
        <v>4.5938117067824177E-2</v>
      </c>
      <c r="G51" s="1">
        <v>42179</v>
      </c>
      <c r="H51" s="1">
        <v>22971</v>
      </c>
      <c r="I51" s="1">
        <f t="shared" si="12"/>
        <v>19208</v>
      </c>
      <c r="J51" s="2">
        <f t="shared" si="13"/>
        <v>5.5695218875135191E-2</v>
      </c>
      <c r="K51" s="2">
        <f>I51/ABS(I47)</f>
        <v>5.2209839630334329</v>
      </c>
      <c r="L51" s="1">
        <v>92689</v>
      </c>
      <c r="M51" s="1">
        <v>24071</v>
      </c>
      <c r="N51" s="1">
        <v>79624</v>
      </c>
      <c r="O51">
        <f t="shared" si="14"/>
        <v>0.86177534411735157</v>
      </c>
      <c r="P51" s="1">
        <v>311647</v>
      </c>
      <c r="Q51" s="1">
        <v>23486</v>
      </c>
      <c r="R51" s="1">
        <v>134249</v>
      </c>
      <c r="S51" s="3">
        <f t="shared" si="15"/>
        <v>0.59945512488122898</v>
      </c>
      <c r="T51" t="s">
        <v>91</v>
      </c>
    </row>
    <row r="52" spans="1:20" x14ac:dyDescent="0.35">
      <c r="L52" s="1"/>
      <c r="M52" s="1"/>
      <c r="N52" s="1"/>
      <c r="O52" s="1"/>
      <c r="P52" s="1"/>
    </row>
    <row r="53" spans="1:20" x14ac:dyDescent="0.35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20" x14ac:dyDescent="0.35"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20" x14ac:dyDescent="0.35">
      <c r="J55" s="1"/>
      <c r="K55" s="1"/>
      <c r="L55" s="1"/>
      <c r="M55" s="1"/>
      <c r="N55" s="1"/>
      <c r="O55" s="1"/>
      <c r="P55" s="1"/>
    </row>
    <row r="56" spans="1:20" x14ac:dyDescent="0.35">
      <c r="L56" s="1"/>
      <c r="M56" s="1"/>
      <c r="N56" s="1"/>
      <c r="O56" s="1"/>
      <c r="P56" s="1"/>
    </row>
    <row r="57" spans="1:20" x14ac:dyDescent="0.35">
      <c r="L57" s="1"/>
      <c r="M57" s="1"/>
      <c r="N57" s="1"/>
      <c r="O57" s="1"/>
      <c r="P57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F87B-1709-419B-900B-E3427C9F0746}">
  <dimension ref="A1:W56"/>
  <sheetViews>
    <sheetView topLeftCell="A33" workbookViewId="0">
      <selection activeCell="A2" sqref="A2:S46"/>
    </sheetView>
  </sheetViews>
  <sheetFormatPr defaultRowHeight="14.5" x14ac:dyDescent="0.35"/>
  <cols>
    <col min="6" max="6" width="10.81640625" customWidth="1"/>
    <col min="7" max="7" width="11.81640625" customWidth="1"/>
    <col min="12" max="12" width="13" customWidth="1"/>
    <col min="13" max="13" width="8.81640625" customWidth="1"/>
    <col min="16" max="16" width="10.7265625" customWidth="1"/>
    <col min="17" max="17" width="14.36328125" customWidth="1"/>
    <col min="19" max="19" width="8.6328125" customWidth="1"/>
  </cols>
  <sheetData>
    <row r="1" spans="1:22" x14ac:dyDescent="0.35">
      <c r="A1" t="s">
        <v>1</v>
      </c>
      <c r="B1" t="s">
        <v>2</v>
      </c>
      <c r="C1" t="s">
        <v>3</v>
      </c>
      <c r="D1" t="s">
        <v>11</v>
      </c>
      <c r="E1" t="s">
        <v>4</v>
      </c>
      <c r="F1" t="s">
        <v>73</v>
      </c>
      <c r="G1" t="s">
        <v>6</v>
      </c>
      <c r="H1" s="1" t="s">
        <v>14</v>
      </c>
      <c r="I1" t="s">
        <v>5</v>
      </c>
      <c r="J1" t="s">
        <v>12</v>
      </c>
      <c r="K1" t="s">
        <v>13</v>
      </c>
      <c r="L1" t="s">
        <v>25</v>
      </c>
      <c r="M1" t="s">
        <v>39</v>
      </c>
      <c r="N1" t="s">
        <v>22</v>
      </c>
      <c r="O1" t="s">
        <v>26</v>
      </c>
      <c r="P1" t="s">
        <v>37</v>
      </c>
      <c r="Q1" t="s">
        <v>40</v>
      </c>
      <c r="R1" t="s">
        <v>27</v>
      </c>
      <c r="S1" t="s">
        <v>45</v>
      </c>
      <c r="T1" t="s">
        <v>0</v>
      </c>
    </row>
    <row r="2" spans="1:22" x14ac:dyDescent="0.35">
      <c r="A2">
        <v>2014</v>
      </c>
      <c r="B2" s="1">
        <v>108465</v>
      </c>
      <c r="C2" s="1">
        <v>5085</v>
      </c>
      <c r="D2" s="2">
        <f t="shared" ref="D2:D11" si="0">C2/B2</f>
        <v>4.6881482505877474E-2</v>
      </c>
      <c r="E2" s="1">
        <v>1711</v>
      </c>
      <c r="F2" s="2">
        <f>E2/B2</f>
        <v>1.5774673857926521E-2</v>
      </c>
      <c r="G2" s="1">
        <v>4163</v>
      </c>
      <c r="H2" s="1">
        <v>2831</v>
      </c>
      <c r="I2" s="1">
        <f t="shared" ref="I2:I11" si="1">G2-H2</f>
        <v>1332</v>
      </c>
      <c r="J2" s="2">
        <f t="shared" ref="J2:J11" si="2">I2/B2</f>
        <v>1.2280459134282948E-2</v>
      </c>
      <c r="K2" s="2">
        <f>I2/I2</f>
        <v>1</v>
      </c>
      <c r="L2" s="1">
        <v>8911</v>
      </c>
      <c r="M2" s="1">
        <v>5688</v>
      </c>
      <c r="N2" s="1">
        <v>11403</v>
      </c>
      <c r="O2" s="3">
        <f>(L2-M2)/N2</f>
        <v>0.28264491800403402</v>
      </c>
      <c r="P2" s="1">
        <v>21645</v>
      </c>
      <c r="Q2" s="1">
        <v>3061</v>
      </c>
      <c r="R2" s="1">
        <v>13711</v>
      </c>
      <c r="S2" s="3">
        <f>(N2+R2)/(L2+P2-M2-Q2)</f>
        <v>1.151648553216857</v>
      </c>
      <c r="T2" t="s">
        <v>28</v>
      </c>
    </row>
    <row r="3" spans="1:22" x14ac:dyDescent="0.35">
      <c r="A3">
        <v>2015</v>
      </c>
      <c r="B3" s="1">
        <v>109830</v>
      </c>
      <c r="C3" s="1">
        <v>5665</v>
      </c>
      <c r="D3" s="2">
        <f t="shared" si="0"/>
        <v>5.1579714103614678E-2</v>
      </c>
      <c r="E3" s="1">
        <v>2021</v>
      </c>
      <c r="F3" s="2">
        <f t="shared" ref="F3:F46" si="3">E3/B3</f>
        <v>1.8401165437494309E-2</v>
      </c>
      <c r="G3" s="1">
        <v>4833</v>
      </c>
      <c r="H3" s="1">
        <v>3349</v>
      </c>
      <c r="I3" s="1">
        <f t="shared" si="1"/>
        <v>1484</v>
      </c>
      <c r="J3" s="2">
        <f t="shared" si="2"/>
        <v>1.3511790949649459E-2</v>
      </c>
      <c r="K3" s="2">
        <f>I3/I2</f>
        <v>1.1141141141141142</v>
      </c>
      <c r="L3" s="1">
        <v>9892</v>
      </c>
      <c r="M3" s="1">
        <v>6168</v>
      </c>
      <c r="N3" s="1">
        <v>12971</v>
      </c>
      <c r="O3" s="3">
        <f t="shared" ref="O3:O46" si="4">(L3-M3)/N3</f>
        <v>0.28710199676200754</v>
      </c>
      <c r="P3" s="1">
        <v>24005</v>
      </c>
      <c r="Q3" s="1">
        <v>3777</v>
      </c>
      <c r="R3" s="1">
        <v>14128</v>
      </c>
      <c r="S3" s="3">
        <f t="shared" ref="S3:S46" si="5">(N3+R3)/(L3+P3-M3-Q3)</f>
        <v>1.1313877755511021</v>
      </c>
      <c r="T3" t="s">
        <v>28</v>
      </c>
    </row>
    <row r="4" spans="1:22" x14ac:dyDescent="0.35">
      <c r="A4">
        <v>2016</v>
      </c>
      <c r="B4" s="1">
        <v>115337</v>
      </c>
      <c r="C4" s="1">
        <v>5776</v>
      </c>
      <c r="D4" s="2">
        <f t="shared" si="0"/>
        <v>5.0079332737976538E-2</v>
      </c>
      <c r="E4" s="1">
        <v>1959</v>
      </c>
      <c r="F4" s="2">
        <f t="shared" si="3"/>
        <v>1.698500914710804E-2</v>
      </c>
      <c r="G4" s="1">
        <v>4272</v>
      </c>
      <c r="H4" s="1">
        <v>3699</v>
      </c>
      <c r="I4" s="1">
        <f t="shared" si="1"/>
        <v>573</v>
      </c>
      <c r="J4" s="2">
        <f t="shared" si="2"/>
        <v>4.9680501486946945E-3</v>
      </c>
      <c r="K4" s="2">
        <f>I4/I2</f>
        <v>0.43018018018018017</v>
      </c>
      <c r="L4" s="1">
        <v>10340</v>
      </c>
      <c r="M4" s="1">
        <v>6561</v>
      </c>
      <c r="N4" s="1">
        <v>12860</v>
      </c>
      <c r="O4" s="3">
        <f t="shared" si="4"/>
        <v>0.29385692068429237</v>
      </c>
      <c r="P4" s="1">
        <v>26165</v>
      </c>
      <c r="Q4" s="1">
        <v>4184</v>
      </c>
      <c r="R4" s="1">
        <v>16935</v>
      </c>
      <c r="S4" s="3">
        <f t="shared" si="5"/>
        <v>1.1566381987577641</v>
      </c>
      <c r="T4" t="s">
        <v>28</v>
      </c>
    </row>
    <row r="5" spans="1:22" x14ac:dyDescent="0.35">
      <c r="A5">
        <v>2017</v>
      </c>
      <c r="B5" s="1">
        <v>122662</v>
      </c>
      <c r="C5" s="1">
        <v>5317</v>
      </c>
      <c r="D5" s="2">
        <f t="shared" si="0"/>
        <v>4.3346757757088586E-2</v>
      </c>
      <c r="E5" s="1">
        <v>1890</v>
      </c>
      <c r="F5" s="2">
        <f t="shared" si="3"/>
        <v>1.5408194876979016E-2</v>
      </c>
      <c r="G5" s="1">
        <v>3413</v>
      </c>
      <c r="H5" s="1">
        <v>2809</v>
      </c>
      <c r="I5" s="1">
        <f t="shared" si="1"/>
        <v>604</v>
      </c>
      <c r="J5" s="2">
        <f t="shared" si="2"/>
        <v>4.9241003733837699E-3</v>
      </c>
      <c r="K5" s="2">
        <f>I5/I2</f>
        <v>0.45345345345345345</v>
      </c>
      <c r="L5" s="1">
        <v>11117</v>
      </c>
      <c r="M5" s="1">
        <v>6533</v>
      </c>
      <c r="N5" s="1">
        <v>14197</v>
      </c>
      <c r="O5" s="3">
        <f t="shared" si="4"/>
        <v>0.32288511657392405</v>
      </c>
      <c r="P5" s="1">
        <v>26080</v>
      </c>
      <c r="Q5" s="1">
        <v>4025</v>
      </c>
      <c r="R5" s="1">
        <v>16095</v>
      </c>
      <c r="S5" s="3">
        <f t="shared" si="5"/>
        <v>1.1371297721385938</v>
      </c>
      <c r="T5" t="s">
        <v>28</v>
      </c>
    </row>
    <row r="6" spans="1:22" x14ac:dyDescent="0.35">
      <c r="A6">
        <v>2018</v>
      </c>
      <c r="B6" s="1">
        <v>121162</v>
      </c>
      <c r="C6" s="1">
        <v>5112</v>
      </c>
      <c r="D6" s="2">
        <f t="shared" si="0"/>
        <v>4.2191446162988394E-2</v>
      </c>
      <c r="E6" s="1">
        <v>3076</v>
      </c>
      <c r="F6" s="2">
        <f t="shared" si="3"/>
        <v>2.5387497730311483E-2</v>
      </c>
      <c r="G6" s="1">
        <v>4164</v>
      </c>
      <c r="H6" s="1">
        <v>2967</v>
      </c>
      <c r="I6" s="1">
        <f t="shared" si="1"/>
        <v>1197</v>
      </c>
      <c r="J6" s="2">
        <f t="shared" si="2"/>
        <v>9.879335105065945E-3</v>
      </c>
      <c r="K6" s="2">
        <f>I6/I2</f>
        <v>0.89864864864864868</v>
      </c>
      <c r="L6" s="1">
        <v>10803</v>
      </c>
      <c r="M6" s="1">
        <v>6846</v>
      </c>
      <c r="N6" s="1">
        <v>14274</v>
      </c>
      <c r="O6" s="3">
        <f t="shared" si="4"/>
        <v>0.27721731820092477</v>
      </c>
      <c r="P6" s="1">
        <v>27315</v>
      </c>
      <c r="Q6" s="1">
        <v>4345</v>
      </c>
      <c r="R6" s="1">
        <v>16009</v>
      </c>
      <c r="S6" s="3">
        <f t="shared" si="5"/>
        <v>1.124633267723846</v>
      </c>
      <c r="T6" t="s">
        <v>28</v>
      </c>
    </row>
    <row r="7" spans="1:22" x14ac:dyDescent="0.35">
      <c r="A7">
        <v>2016</v>
      </c>
      <c r="B7" s="1">
        <v>27079</v>
      </c>
      <c r="C7" s="1">
        <v>3100</v>
      </c>
      <c r="D7" s="2">
        <f t="shared" si="0"/>
        <v>0.1144798552383766</v>
      </c>
      <c r="E7" s="1">
        <v>1072</v>
      </c>
      <c r="F7" s="2">
        <f t="shared" si="3"/>
        <v>3.9587872521141841E-2</v>
      </c>
      <c r="G7" s="1">
        <v>1984</v>
      </c>
      <c r="H7">
        <v>777</v>
      </c>
      <c r="I7" s="1">
        <f t="shared" si="1"/>
        <v>1207</v>
      </c>
      <c r="J7" s="2">
        <f t="shared" si="2"/>
        <v>4.4573285571845339E-2</v>
      </c>
      <c r="K7" s="2">
        <f>I7/I7</f>
        <v>1</v>
      </c>
      <c r="L7" s="1">
        <v>7652</v>
      </c>
      <c r="M7" s="1">
        <v>5506</v>
      </c>
      <c r="N7" s="1">
        <v>5728</v>
      </c>
      <c r="O7" s="3">
        <f t="shared" si="4"/>
        <v>0.37465083798882681</v>
      </c>
      <c r="P7" s="1">
        <v>12924</v>
      </c>
      <c r="Q7" s="1">
        <v>4411</v>
      </c>
      <c r="R7" s="1">
        <v>9045</v>
      </c>
      <c r="S7" s="3">
        <f t="shared" si="5"/>
        <v>1.3859649122807018</v>
      </c>
      <c r="T7" t="s">
        <v>29</v>
      </c>
    </row>
    <row r="8" spans="1:22" x14ac:dyDescent="0.35">
      <c r="A8">
        <v>2017</v>
      </c>
      <c r="B8" s="1">
        <v>25778</v>
      </c>
      <c r="C8" s="1">
        <v>2373</v>
      </c>
      <c r="D8" s="2">
        <f t="shared" si="0"/>
        <v>9.2055240903095664E-2</v>
      </c>
      <c r="E8">
        <v>619</v>
      </c>
      <c r="F8" s="2">
        <f t="shared" si="3"/>
        <v>2.4012724028241134E-2</v>
      </c>
      <c r="G8" s="1">
        <v>1801</v>
      </c>
      <c r="H8">
        <v>596</v>
      </c>
      <c r="I8" s="1">
        <f t="shared" si="1"/>
        <v>1205</v>
      </c>
      <c r="J8" s="2">
        <f t="shared" si="2"/>
        <v>4.6745286678563112E-2</v>
      </c>
      <c r="K8" s="2">
        <f>I8/I7</f>
        <v>0.9983429991714996</v>
      </c>
      <c r="L8" s="1">
        <v>7626</v>
      </c>
      <c r="M8" s="1">
        <v>5399</v>
      </c>
      <c r="N8" s="1">
        <v>5647</v>
      </c>
      <c r="O8" s="3">
        <f t="shared" si="4"/>
        <v>0.39436869134053482</v>
      </c>
      <c r="P8" s="1">
        <v>12225</v>
      </c>
      <c r="Q8" s="1">
        <v>4395</v>
      </c>
      <c r="R8" s="1">
        <v>7526</v>
      </c>
      <c r="S8" s="3">
        <f t="shared" si="5"/>
        <v>1.309833946504922</v>
      </c>
      <c r="T8" t="s">
        <v>29</v>
      </c>
    </row>
    <row r="9" spans="1:22" x14ac:dyDescent="0.35">
      <c r="A9">
        <v>2018</v>
      </c>
      <c r="B9" s="1">
        <v>24837</v>
      </c>
      <c r="C9" s="1">
        <v>2374</v>
      </c>
      <c r="D9" s="2">
        <f t="shared" si="0"/>
        <v>9.5583202480170715E-2</v>
      </c>
      <c r="E9" s="1">
        <v>1547</v>
      </c>
      <c r="F9" s="2">
        <f t="shared" si="3"/>
        <v>6.2286105407255307E-2</v>
      </c>
      <c r="G9" s="1">
        <v>1944</v>
      </c>
      <c r="H9">
        <v>487</v>
      </c>
      <c r="I9" s="1">
        <f t="shared" si="1"/>
        <v>1457</v>
      </c>
      <c r="J9" s="2">
        <f t="shared" si="2"/>
        <v>5.8662479365462816E-2</v>
      </c>
      <c r="K9" s="2">
        <f>I9/I7</f>
        <v>1.2071251035625519</v>
      </c>
      <c r="L9" s="1">
        <v>7444</v>
      </c>
      <c r="M9" s="1">
        <v>5178</v>
      </c>
      <c r="N9" s="1">
        <v>5075</v>
      </c>
      <c r="O9" s="3">
        <f t="shared" si="4"/>
        <v>0.44650246305418717</v>
      </c>
      <c r="P9" s="1">
        <v>11937</v>
      </c>
      <c r="Q9" s="1">
        <v>5086</v>
      </c>
      <c r="R9" s="1">
        <v>8645</v>
      </c>
      <c r="S9" s="3">
        <f t="shared" si="5"/>
        <v>1.5048809915542394</v>
      </c>
      <c r="T9" t="s">
        <v>29</v>
      </c>
    </row>
    <row r="10" spans="1:22" x14ac:dyDescent="0.35">
      <c r="A10">
        <v>2019</v>
      </c>
      <c r="B10" s="1">
        <v>25739</v>
      </c>
      <c r="C10" s="1">
        <v>2447</v>
      </c>
      <c r="D10" s="2">
        <f t="shared" si="0"/>
        <v>9.5069738529080378E-2</v>
      </c>
      <c r="E10" s="1">
        <v>1108</v>
      </c>
      <c r="F10" s="2">
        <f t="shared" si="3"/>
        <v>4.3047515443490426E-2</v>
      </c>
      <c r="G10" s="1">
        <v>1735</v>
      </c>
      <c r="H10">
        <v>657</v>
      </c>
      <c r="I10" s="1">
        <f t="shared" si="1"/>
        <v>1078</v>
      </c>
      <c r="J10" s="2">
        <f t="shared" si="2"/>
        <v>4.1881968996464507E-2</v>
      </c>
      <c r="K10" s="2">
        <f>I10/I7</f>
        <v>0.89312344656172327</v>
      </c>
      <c r="L10" s="1">
        <v>7445</v>
      </c>
      <c r="M10" s="1">
        <v>5263</v>
      </c>
      <c r="N10" s="1">
        <v>5232</v>
      </c>
      <c r="O10" s="3">
        <f t="shared" si="4"/>
        <v>0.41704892966360857</v>
      </c>
      <c r="P10" s="1">
        <v>11749</v>
      </c>
      <c r="Q10" s="1">
        <v>5056</v>
      </c>
      <c r="R10" s="1">
        <v>9882</v>
      </c>
      <c r="S10" s="3">
        <f t="shared" si="5"/>
        <v>1.7029859154929576</v>
      </c>
      <c r="T10" t="s">
        <v>29</v>
      </c>
    </row>
    <row r="11" spans="1:22" x14ac:dyDescent="0.35">
      <c r="A11">
        <v>2020</v>
      </c>
      <c r="B11" s="1">
        <v>25331</v>
      </c>
      <c r="C11" s="1">
        <v>1946</v>
      </c>
      <c r="D11" s="2">
        <f t="shared" si="0"/>
        <v>7.6822865263905887E-2</v>
      </c>
      <c r="E11">
        <v>564</v>
      </c>
      <c r="F11" s="2">
        <f t="shared" si="3"/>
        <v>2.2265208637637677E-2</v>
      </c>
      <c r="G11" s="1">
        <v>1608</v>
      </c>
      <c r="H11">
        <v>902</v>
      </c>
      <c r="I11" s="1">
        <f t="shared" si="1"/>
        <v>706</v>
      </c>
      <c r="J11" s="2">
        <f t="shared" si="2"/>
        <v>2.7870988117326596E-2</v>
      </c>
      <c r="K11" s="2">
        <f>I11/I7</f>
        <v>0.58492129246064628</v>
      </c>
      <c r="L11" s="1">
        <v>6810</v>
      </c>
      <c r="M11" s="1">
        <v>5188</v>
      </c>
      <c r="N11" s="1">
        <v>5750</v>
      </c>
      <c r="O11" s="3">
        <f t="shared" si="4"/>
        <v>0.28208695652173915</v>
      </c>
      <c r="P11" s="1">
        <v>14362</v>
      </c>
      <c r="Q11" s="1">
        <v>3908</v>
      </c>
      <c r="R11" s="1">
        <v>10595</v>
      </c>
      <c r="S11" s="3">
        <f t="shared" si="5"/>
        <v>1.3535110963895329</v>
      </c>
      <c r="T11" t="s">
        <v>29</v>
      </c>
    </row>
    <row r="12" spans="1:22" x14ac:dyDescent="0.35">
      <c r="A12">
        <v>2015</v>
      </c>
      <c r="B12" s="1">
        <v>19163</v>
      </c>
      <c r="C12" s="1">
        <v>4257</v>
      </c>
      <c r="D12" s="2">
        <f t="shared" ref="D12:D46" si="6">C12/B12</f>
        <v>0.22214684548348379</v>
      </c>
      <c r="E12" s="1">
        <v>2757</v>
      </c>
      <c r="F12" s="2">
        <f t="shared" si="3"/>
        <v>0.14387100140896519</v>
      </c>
      <c r="G12" s="1">
        <v>3749</v>
      </c>
      <c r="H12" s="1">
        <v>1304</v>
      </c>
      <c r="I12" s="1">
        <f t="shared" ref="I12:I46" si="7">G12-H12</f>
        <v>2445</v>
      </c>
      <c r="J12" s="2">
        <f t="shared" ref="J12:J15" si="8">I12/B12</f>
        <v>0.12758962584146533</v>
      </c>
      <c r="K12" s="2">
        <f>I12/I12</f>
        <v>1</v>
      </c>
      <c r="L12" s="1">
        <v>4353</v>
      </c>
      <c r="M12" s="1">
        <v>1306</v>
      </c>
      <c r="N12" s="1">
        <v>3654</v>
      </c>
      <c r="O12" s="3">
        <f t="shared" si="4"/>
        <v>0.83388067870826488</v>
      </c>
      <c r="P12" s="1">
        <v>8093</v>
      </c>
      <c r="Q12" s="1">
        <v>2096</v>
      </c>
      <c r="R12" s="1">
        <v>2973</v>
      </c>
      <c r="S12" s="3">
        <f t="shared" si="5"/>
        <v>0.73275099513489605</v>
      </c>
      <c r="T12" t="s">
        <v>32</v>
      </c>
    </row>
    <row r="13" spans="1:22" x14ac:dyDescent="0.35">
      <c r="A13">
        <v>2016</v>
      </c>
      <c r="B13" s="1">
        <v>21316</v>
      </c>
      <c r="C13" s="1">
        <v>4835</v>
      </c>
      <c r="D13" s="2">
        <f t="shared" si="6"/>
        <v>0.22682492024770126</v>
      </c>
      <c r="E13" s="1">
        <v>2818</v>
      </c>
      <c r="F13" s="2">
        <f t="shared" si="3"/>
        <v>0.13220116344529931</v>
      </c>
      <c r="G13" s="1">
        <v>4575</v>
      </c>
      <c r="H13" s="1">
        <v>1440</v>
      </c>
      <c r="I13" s="1">
        <f t="shared" si="7"/>
        <v>3135</v>
      </c>
      <c r="J13" s="2">
        <f t="shared" si="8"/>
        <v>0.1470726215049728</v>
      </c>
      <c r="K13" s="2">
        <f>I13/I12</f>
        <v>1.2822085889570551</v>
      </c>
      <c r="L13" s="1">
        <v>4761</v>
      </c>
      <c r="M13" s="1">
        <v>1379</v>
      </c>
      <c r="N13" s="1">
        <v>4547</v>
      </c>
      <c r="O13" s="3">
        <f t="shared" si="4"/>
        <v>0.74378711238179018</v>
      </c>
      <c r="P13" s="1">
        <v>9569</v>
      </c>
      <c r="Q13" s="1">
        <v>2236</v>
      </c>
      <c r="R13" s="1">
        <v>3892</v>
      </c>
      <c r="S13" s="3">
        <f t="shared" si="5"/>
        <v>0.78758749416705554</v>
      </c>
      <c r="T13" t="s">
        <v>32</v>
      </c>
      <c r="U13" s="1"/>
    </row>
    <row r="14" spans="1:22" x14ac:dyDescent="0.35">
      <c r="A14">
        <v>2017</v>
      </c>
      <c r="B14" s="1">
        <v>22387</v>
      </c>
      <c r="C14" s="1">
        <v>4920</v>
      </c>
      <c r="D14" s="2">
        <f t="shared" si="6"/>
        <v>0.21977040246571672</v>
      </c>
      <c r="E14" s="1">
        <v>2885</v>
      </c>
      <c r="F14" s="2">
        <f t="shared" si="3"/>
        <v>0.12886943315316926</v>
      </c>
      <c r="G14" s="1">
        <v>4174</v>
      </c>
      <c r="H14" s="1">
        <v>1519</v>
      </c>
      <c r="I14" s="1">
        <f t="shared" si="7"/>
        <v>2655</v>
      </c>
      <c r="J14" s="2">
        <f t="shared" si="8"/>
        <v>0.11859561352570688</v>
      </c>
      <c r="K14" s="2">
        <f>I14/I12</f>
        <v>1.0858895705521472</v>
      </c>
      <c r="L14" s="1">
        <v>5283</v>
      </c>
      <c r="M14" s="1">
        <v>1364</v>
      </c>
      <c r="N14" s="1">
        <v>4221</v>
      </c>
      <c r="O14" s="3">
        <f t="shared" si="4"/>
        <v>0.92845297322909259</v>
      </c>
      <c r="P14" s="1">
        <v>9082</v>
      </c>
      <c r="Q14" s="1">
        <v>1981</v>
      </c>
      <c r="R14" s="1">
        <v>4688</v>
      </c>
      <c r="S14" s="3">
        <f t="shared" si="5"/>
        <v>0.80843920145190562</v>
      </c>
      <c r="T14" t="s">
        <v>32</v>
      </c>
    </row>
    <row r="15" spans="1:22" x14ac:dyDescent="0.35">
      <c r="A15">
        <v>2018</v>
      </c>
      <c r="B15" s="1">
        <v>24720</v>
      </c>
      <c r="C15" s="1">
        <v>5121</v>
      </c>
      <c r="D15" s="2">
        <f t="shared" si="6"/>
        <v>0.20716019417475728</v>
      </c>
      <c r="E15" s="1">
        <v>4518</v>
      </c>
      <c r="F15" s="2">
        <f t="shared" si="3"/>
        <v>0.18276699029126214</v>
      </c>
      <c r="G15" s="1">
        <v>11938</v>
      </c>
      <c r="H15" s="1">
        <v>1976</v>
      </c>
      <c r="I15" s="1">
        <f t="shared" si="7"/>
        <v>9962</v>
      </c>
      <c r="J15" s="2">
        <f t="shared" si="8"/>
        <v>0.40299352750809059</v>
      </c>
      <c r="K15" s="2">
        <f>I15/I12</f>
        <v>4.0744376278118608</v>
      </c>
      <c r="L15" s="1">
        <v>12494</v>
      </c>
      <c r="M15" s="1">
        <v>1401</v>
      </c>
      <c r="N15" s="1">
        <v>5684</v>
      </c>
      <c r="O15" s="3">
        <f t="shared" si="4"/>
        <v>1.9516185784658691</v>
      </c>
      <c r="P15" s="1">
        <v>11662</v>
      </c>
      <c r="Q15" s="1">
        <v>4584</v>
      </c>
      <c r="R15" s="1">
        <v>17296</v>
      </c>
      <c r="S15" s="3">
        <f t="shared" si="5"/>
        <v>1.26465246821859</v>
      </c>
      <c r="T15" t="s">
        <v>32</v>
      </c>
    </row>
    <row r="16" spans="1:22" x14ac:dyDescent="0.35">
      <c r="A16">
        <v>2019</v>
      </c>
      <c r="B16" s="1">
        <v>26509</v>
      </c>
      <c r="C16" s="1">
        <v>5306</v>
      </c>
      <c r="D16" s="2">
        <f t="shared" si="6"/>
        <v>0.2001584367573277</v>
      </c>
      <c r="E16" s="1">
        <v>3599</v>
      </c>
      <c r="F16" s="2">
        <f t="shared" si="3"/>
        <v>0.13576521181485532</v>
      </c>
      <c r="G16" s="1">
        <v>5047</v>
      </c>
      <c r="H16" s="1">
        <v>1807</v>
      </c>
      <c r="I16" s="1">
        <f t="shared" si="7"/>
        <v>3240</v>
      </c>
      <c r="J16" s="2">
        <f>I16/B16</f>
        <v>0.12222264136708287</v>
      </c>
      <c r="K16" s="2">
        <f t="shared" ref="K16:K21" si="9">I16/I12</f>
        <v>1.3251533742331287</v>
      </c>
      <c r="L16" s="1">
        <v>5654</v>
      </c>
      <c r="M16" s="1">
        <v>1529</v>
      </c>
      <c r="N16" s="1">
        <v>6169</v>
      </c>
      <c r="O16" s="3">
        <f t="shared" si="4"/>
        <v>0.66866591019614197</v>
      </c>
      <c r="P16" s="1">
        <v>13566</v>
      </c>
      <c r="Q16" s="1">
        <v>4273</v>
      </c>
      <c r="R16" s="1">
        <v>19282</v>
      </c>
      <c r="S16" s="3">
        <f t="shared" si="5"/>
        <v>1.8967804441794605</v>
      </c>
      <c r="T16" t="s">
        <v>32</v>
      </c>
      <c r="V16" s="1"/>
    </row>
    <row r="17" spans="1:23" x14ac:dyDescent="0.35">
      <c r="A17">
        <v>2015</v>
      </c>
      <c r="B17" s="1">
        <v>116199</v>
      </c>
      <c r="C17" s="1">
        <v>4751</v>
      </c>
      <c r="D17" s="2">
        <f t="shared" si="6"/>
        <v>4.0886754619230803E-2</v>
      </c>
      <c r="E17" s="1">
        <v>2377</v>
      </c>
      <c r="F17" s="2">
        <f t="shared" si="3"/>
        <v>2.0456286198676409E-2</v>
      </c>
      <c r="G17" s="1">
        <v>4285</v>
      </c>
      <c r="H17" s="1">
        <v>2393</v>
      </c>
      <c r="I17" s="1">
        <f t="shared" si="7"/>
        <v>1892</v>
      </c>
      <c r="J17" s="2">
        <f t="shared" ref="J17:J46" si="10">I17/B17</f>
        <v>1.6282412068950678E-2</v>
      </c>
      <c r="K17" s="2">
        <f>I17/I17</f>
        <v>1</v>
      </c>
      <c r="L17" s="1">
        <v>17299</v>
      </c>
      <c r="M17" s="1">
        <v>8908</v>
      </c>
      <c r="N17" s="1">
        <v>16540</v>
      </c>
      <c r="O17" s="3">
        <f t="shared" si="4"/>
        <v>0.50731559854897224</v>
      </c>
      <c r="P17" s="1">
        <v>16141</v>
      </c>
      <c r="Q17" s="1">
        <v>0</v>
      </c>
      <c r="R17" s="1">
        <v>6057</v>
      </c>
      <c r="S17" s="3">
        <f t="shared" si="5"/>
        <v>0.92112343062122937</v>
      </c>
      <c r="T17" t="s">
        <v>44</v>
      </c>
    </row>
    <row r="18" spans="1:23" x14ac:dyDescent="0.35">
      <c r="A18">
        <v>2016</v>
      </c>
      <c r="B18" s="1">
        <v>118719</v>
      </c>
      <c r="C18" s="1">
        <v>4927</v>
      </c>
      <c r="D18" s="2">
        <f t="shared" si="6"/>
        <v>4.1501360355124285E-2</v>
      </c>
      <c r="E18" s="1">
        <v>2350</v>
      </c>
      <c r="F18" s="2">
        <f t="shared" si="3"/>
        <v>1.9794641127367986E-2</v>
      </c>
      <c r="G18" s="1">
        <v>3292</v>
      </c>
      <c r="H18" s="1">
        <v>2649</v>
      </c>
      <c r="I18" s="1">
        <f t="shared" si="7"/>
        <v>643</v>
      </c>
      <c r="J18" s="2">
        <f t="shared" si="10"/>
        <v>5.4161507425096239E-3</v>
      </c>
      <c r="K18" s="2">
        <f>I18/I17</f>
        <v>0.33985200845665964</v>
      </c>
      <c r="L18" s="1">
        <v>15218</v>
      </c>
      <c r="M18" s="1">
        <v>8969</v>
      </c>
      <c r="N18" s="1">
        <v>15575</v>
      </c>
      <c r="O18" s="3">
        <f t="shared" si="4"/>
        <v>0.40121990369181382</v>
      </c>
      <c r="P18" s="1">
        <v>17945</v>
      </c>
      <c r="Q18" s="1">
        <v>0</v>
      </c>
      <c r="R18" s="1">
        <v>5256</v>
      </c>
      <c r="S18" s="3">
        <f t="shared" si="5"/>
        <v>0.86099859469289908</v>
      </c>
      <c r="T18" t="s">
        <v>44</v>
      </c>
    </row>
    <row r="19" spans="1:23" x14ac:dyDescent="0.35">
      <c r="A19">
        <v>2017</v>
      </c>
      <c r="B19" s="1">
        <v>129025</v>
      </c>
      <c r="C19" s="1">
        <v>5430</v>
      </c>
      <c r="D19" s="2">
        <f t="shared" si="6"/>
        <v>4.2084867273784153E-2</v>
      </c>
      <c r="E19" s="1">
        <v>2679</v>
      </c>
      <c r="F19" s="2">
        <f t="shared" si="3"/>
        <v>2.0763417942259253E-2</v>
      </c>
      <c r="G19" s="1">
        <v>6726</v>
      </c>
      <c r="H19" s="1">
        <v>2502</v>
      </c>
      <c r="I19" s="1">
        <f t="shared" si="7"/>
        <v>4224</v>
      </c>
      <c r="J19" s="2">
        <f t="shared" si="10"/>
        <v>3.2737841503584574E-2</v>
      </c>
      <c r="K19" s="2">
        <f>I19/I17</f>
        <v>2.2325581395348837</v>
      </c>
      <c r="L19" s="1">
        <v>17317</v>
      </c>
      <c r="M19" s="1">
        <v>9834</v>
      </c>
      <c r="N19" s="1">
        <v>17495</v>
      </c>
      <c r="O19" s="3">
        <f t="shared" si="4"/>
        <v>0.4277222063446699</v>
      </c>
      <c r="P19" s="1">
        <v>19030</v>
      </c>
      <c r="Q19" s="4">
        <v>0</v>
      </c>
      <c r="R19" s="1">
        <v>7773</v>
      </c>
      <c r="S19" s="3">
        <f t="shared" si="5"/>
        <v>0.95304190397163657</v>
      </c>
      <c r="T19" t="s">
        <v>44</v>
      </c>
      <c r="U19" s="1"/>
    </row>
    <row r="20" spans="1:23" x14ac:dyDescent="0.35">
      <c r="A20">
        <v>2018</v>
      </c>
      <c r="B20" s="1">
        <v>141576</v>
      </c>
      <c r="C20" s="1">
        <v>5917</v>
      </c>
      <c r="D20" s="2">
        <f t="shared" si="6"/>
        <v>4.1793806859919763E-2</v>
      </c>
      <c r="E20" s="1">
        <v>3134</v>
      </c>
      <c r="F20" s="2">
        <f t="shared" si="3"/>
        <v>2.2136520314177545E-2</v>
      </c>
      <c r="G20" s="1">
        <v>5774</v>
      </c>
      <c r="H20" s="1">
        <v>2969</v>
      </c>
      <c r="I20" s="1">
        <f t="shared" si="7"/>
        <v>2805</v>
      </c>
      <c r="J20" s="2">
        <f t="shared" si="10"/>
        <v>1.9812680115273776E-2</v>
      </c>
      <c r="K20" s="2">
        <f>I20/I17</f>
        <v>1.4825581395348837</v>
      </c>
      <c r="L20" s="1">
        <v>20289</v>
      </c>
      <c r="M20" s="1">
        <v>11040</v>
      </c>
      <c r="N20" s="1">
        <v>19926</v>
      </c>
      <c r="O20" s="3">
        <f t="shared" si="4"/>
        <v>0.46416741945197232</v>
      </c>
      <c r="P20" s="1">
        <v>20541</v>
      </c>
      <c r="Q20" s="1">
        <v>0</v>
      </c>
      <c r="R20" s="1">
        <v>7801</v>
      </c>
      <c r="S20" s="3">
        <f t="shared" si="5"/>
        <v>0.93074857334676064</v>
      </c>
      <c r="T20" t="s">
        <v>44</v>
      </c>
    </row>
    <row r="21" spans="1:23" x14ac:dyDescent="0.35">
      <c r="A21">
        <v>2019</v>
      </c>
      <c r="B21" s="1">
        <v>152703</v>
      </c>
      <c r="C21" s="1">
        <v>6352</v>
      </c>
      <c r="D21" s="2">
        <f t="shared" si="6"/>
        <v>4.1597087156113502E-2</v>
      </c>
      <c r="E21" s="1">
        <v>3659</v>
      </c>
      <c r="F21" s="2">
        <f t="shared" si="3"/>
        <v>2.3961546269555937E-2</v>
      </c>
      <c r="G21" s="1">
        <v>6356</v>
      </c>
      <c r="H21" s="1">
        <v>2998</v>
      </c>
      <c r="I21" s="1">
        <f t="shared" si="7"/>
        <v>3358</v>
      </c>
      <c r="J21" s="2">
        <f t="shared" si="10"/>
        <v>2.1990399664708619E-2</v>
      </c>
      <c r="K21" s="2">
        <f t="shared" si="9"/>
        <v>1.7748414376321353</v>
      </c>
      <c r="L21" s="1">
        <v>23485</v>
      </c>
      <c r="M21" s="1">
        <v>11395</v>
      </c>
      <c r="N21" s="1">
        <v>23237</v>
      </c>
      <c r="O21" s="3">
        <f t="shared" si="4"/>
        <v>0.52029091535051852</v>
      </c>
      <c r="P21" s="1">
        <v>21915</v>
      </c>
      <c r="Q21" s="1">
        <v>0</v>
      </c>
      <c r="R21" s="1">
        <v>6579</v>
      </c>
      <c r="S21" s="3">
        <f t="shared" si="5"/>
        <v>0.8768122334950742</v>
      </c>
      <c r="T21" t="s">
        <v>44</v>
      </c>
    </row>
    <row r="22" spans="1:23" x14ac:dyDescent="0.35">
      <c r="A22">
        <v>2015</v>
      </c>
      <c r="B22" s="1">
        <v>88519</v>
      </c>
      <c r="C22" s="1">
        <v>13592</v>
      </c>
      <c r="D22" s="2">
        <f t="shared" si="6"/>
        <v>0.15354895559145496</v>
      </c>
      <c r="E22" s="1">
        <v>7009</v>
      </c>
      <c r="F22" s="2">
        <f t="shared" si="3"/>
        <v>7.9180740857894921E-2</v>
      </c>
      <c r="G22" s="1">
        <v>9373</v>
      </c>
      <c r="H22" s="1">
        <v>1503</v>
      </c>
      <c r="I22" s="1">
        <f t="shared" si="7"/>
        <v>7870</v>
      </c>
      <c r="J22" s="2">
        <f t="shared" si="10"/>
        <v>8.8907466193698534E-2</v>
      </c>
      <c r="K22" s="2">
        <f>I22/I22</f>
        <v>1</v>
      </c>
      <c r="L22" s="1">
        <v>16993</v>
      </c>
      <c r="M22" s="1">
        <v>11809</v>
      </c>
      <c r="N22" s="1">
        <v>12526</v>
      </c>
      <c r="O22" s="3">
        <f t="shared" si="4"/>
        <v>0.4138591729203257</v>
      </c>
      <c r="P22" s="1">
        <v>25556</v>
      </c>
      <c r="Q22" s="1">
        <v>2102</v>
      </c>
      <c r="R22" s="1">
        <v>23707</v>
      </c>
      <c r="S22" s="3">
        <f t="shared" si="5"/>
        <v>1.265207067532649</v>
      </c>
      <c r="T22" t="s">
        <v>75</v>
      </c>
      <c r="W22" s="1"/>
    </row>
    <row r="23" spans="1:23" x14ac:dyDescent="0.35">
      <c r="A23">
        <v>2016</v>
      </c>
      <c r="B23" s="1">
        <v>94595</v>
      </c>
      <c r="C23" s="1">
        <v>15218</v>
      </c>
      <c r="D23" s="2">
        <f t="shared" si="6"/>
        <v>0.16087531053438342</v>
      </c>
      <c r="E23" s="1">
        <v>7957</v>
      </c>
      <c r="F23" s="2">
        <f t="shared" si="3"/>
        <v>8.4116496643585809E-2</v>
      </c>
      <c r="G23" s="1">
        <v>9783</v>
      </c>
      <c r="H23" s="1">
        <v>1621</v>
      </c>
      <c r="I23" s="1">
        <f t="shared" si="7"/>
        <v>8162</v>
      </c>
      <c r="J23" s="2">
        <f t="shared" si="10"/>
        <v>8.6283630213013371E-2</v>
      </c>
      <c r="K23" s="2">
        <f>I23/I22</f>
        <v>1.0371029224904702</v>
      </c>
      <c r="L23" s="1">
        <v>17724</v>
      </c>
      <c r="M23" s="1">
        <v>12549</v>
      </c>
      <c r="N23" s="1">
        <v>14133</v>
      </c>
      <c r="O23" s="3">
        <f t="shared" si="4"/>
        <v>0.36616429632774355</v>
      </c>
      <c r="P23" s="1">
        <v>25242</v>
      </c>
      <c r="Q23" s="1">
        <v>2093</v>
      </c>
      <c r="R23" s="1">
        <v>24500</v>
      </c>
      <c r="S23" s="3">
        <f t="shared" si="5"/>
        <v>1.3639669538200818</v>
      </c>
      <c r="T23" t="s">
        <v>75</v>
      </c>
    </row>
    <row r="24" spans="1:23" x14ac:dyDescent="0.35">
      <c r="A24">
        <v>2017</v>
      </c>
      <c r="B24" s="1">
        <v>100904</v>
      </c>
      <c r="C24" s="1">
        <v>16662</v>
      </c>
      <c r="D24" s="2">
        <f t="shared" si="6"/>
        <v>0.16512724966304607</v>
      </c>
      <c r="E24" s="1">
        <v>8630</v>
      </c>
      <c r="F24" s="2">
        <f t="shared" si="3"/>
        <v>8.5526837389994448E-2</v>
      </c>
      <c r="G24" s="1">
        <v>12031</v>
      </c>
      <c r="H24" s="1">
        <v>1897</v>
      </c>
      <c r="I24" s="1">
        <f t="shared" si="7"/>
        <v>10134</v>
      </c>
      <c r="J24" s="2">
        <f t="shared" si="10"/>
        <v>0.10043209387140252</v>
      </c>
      <c r="K24" s="2">
        <f>I24/I22</f>
        <v>1.2876747141041931</v>
      </c>
      <c r="L24" s="1">
        <v>18933</v>
      </c>
      <c r="M24" s="1">
        <v>12748</v>
      </c>
      <c r="N24" s="1">
        <v>16194</v>
      </c>
      <c r="O24" s="3">
        <f t="shared" si="4"/>
        <v>0.38193157959738172</v>
      </c>
      <c r="P24" s="1">
        <v>25596</v>
      </c>
      <c r="Q24" s="1">
        <v>2275</v>
      </c>
      <c r="R24" s="1">
        <v>26881</v>
      </c>
      <c r="S24" s="3">
        <f t="shared" si="5"/>
        <v>1.459872568291195</v>
      </c>
      <c r="T24" t="s">
        <v>75</v>
      </c>
    </row>
    <row r="25" spans="1:23" x14ac:dyDescent="0.35">
      <c r="A25">
        <v>2018</v>
      </c>
      <c r="B25" s="1">
        <v>108203</v>
      </c>
      <c r="C25" s="1">
        <v>17647</v>
      </c>
      <c r="D25" s="2">
        <f t="shared" si="6"/>
        <v>0.16309159635130263</v>
      </c>
      <c r="E25" s="1">
        <v>11121</v>
      </c>
      <c r="F25" s="2">
        <f t="shared" si="3"/>
        <v>0.10277903570141309</v>
      </c>
      <c r="G25" s="1">
        <v>13038</v>
      </c>
      <c r="H25" s="1">
        <v>2442</v>
      </c>
      <c r="I25" s="1">
        <f t="shared" si="7"/>
        <v>10596</v>
      </c>
      <c r="J25" s="2">
        <f t="shared" si="10"/>
        <v>9.7927044536657945E-2</v>
      </c>
      <c r="K25" s="2">
        <f>I25/I22</f>
        <v>1.3463786531130877</v>
      </c>
      <c r="L25" s="1">
        <v>18529</v>
      </c>
      <c r="M25" s="1">
        <v>13925</v>
      </c>
      <c r="N25" s="1">
        <v>16716</v>
      </c>
      <c r="O25" s="3">
        <f t="shared" si="4"/>
        <v>0.2754247427614262</v>
      </c>
      <c r="P25" s="1">
        <v>25474</v>
      </c>
      <c r="Q25" s="1">
        <v>2252</v>
      </c>
      <c r="R25" s="1">
        <v>29165</v>
      </c>
      <c r="S25" s="3">
        <f t="shared" si="5"/>
        <v>1.6488535901674692</v>
      </c>
      <c r="T25" t="s">
        <v>75</v>
      </c>
    </row>
    <row r="26" spans="1:23" x14ac:dyDescent="0.35">
      <c r="A26">
        <v>2019</v>
      </c>
      <c r="B26" s="1">
        <v>110225</v>
      </c>
      <c r="C26" s="1">
        <v>17832</v>
      </c>
      <c r="D26" s="2">
        <f t="shared" si="6"/>
        <v>0.16177818099342253</v>
      </c>
      <c r="E26" s="1">
        <v>11242</v>
      </c>
      <c r="F26" s="2">
        <f t="shared" si="3"/>
        <v>0.10199138126559311</v>
      </c>
      <c r="G26" s="1">
        <v>13723</v>
      </c>
      <c r="H26" s="1">
        <v>2678</v>
      </c>
      <c r="I26" s="1">
        <f t="shared" si="7"/>
        <v>11045</v>
      </c>
      <c r="J26" s="2">
        <f t="shared" si="10"/>
        <v>0.1002041279201633</v>
      </c>
      <c r="K26" s="2">
        <f t="shared" ref="K26" si="11">I26/I22</f>
        <v>1.4034307496823379</v>
      </c>
      <c r="L26" s="1">
        <v>19810</v>
      </c>
      <c r="M26" s="1">
        <v>14531</v>
      </c>
      <c r="N26" s="1">
        <v>18375</v>
      </c>
      <c r="O26" s="3">
        <f t="shared" si="4"/>
        <v>0.28729251700680269</v>
      </c>
      <c r="P26" s="1">
        <v>31426</v>
      </c>
      <c r="Q26" s="1">
        <v>2254</v>
      </c>
      <c r="R26" s="1">
        <v>35977</v>
      </c>
      <c r="S26" s="3">
        <f t="shared" si="5"/>
        <v>1.5776610258047661</v>
      </c>
      <c r="T26" t="s">
        <v>75</v>
      </c>
    </row>
    <row r="27" spans="1:23" x14ac:dyDescent="0.35">
      <c r="A27">
        <v>2015</v>
      </c>
      <c r="B27" s="1">
        <v>14437</v>
      </c>
      <c r="C27" s="1">
        <v>1658</v>
      </c>
      <c r="D27" s="2">
        <f t="shared" si="6"/>
        <v>0.11484380411442821</v>
      </c>
      <c r="E27" s="1">
        <v>600</v>
      </c>
      <c r="F27" s="2">
        <f t="shared" si="3"/>
        <v>4.1559880861674864E-2</v>
      </c>
      <c r="G27" s="1">
        <v>2451</v>
      </c>
      <c r="H27" s="1">
        <v>1082</v>
      </c>
      <c r="I27" s="1">
        <f t="shared" si="7"/>
        <v>1369</v>
      </c>
      <c r="J27" s="2">
        <f t="shared" si="10"/>
        <v>9.482579483272148E-2</v>
      </c>
      <c r="K27" s="2">
        <f>I27/I27</f>
        <v>1</v>
      </c>
      <c r="L27" s="1">
        <v>3014</v>
      </c>
      <c r="M27" s="1">
        <v>1945</v>
      </c>
      <c r="N27" s="1">
        <v>2911</v>
      </c>
      <c r="O27" s="3">
        <f t="shared" si="4"/>
        <v>0.36722775678461012</v>
      </c>
      <c r="P27" s="1">
        <v>4684</v>
      </c>
      <c r="Q27">
        <v>435</v>
      </c>
      <c r="R27" s="1">
        <v>3916</v>
      </c>
      <c r="S27" s="3">
        <f t="shared" si="5"/>
        <v>1.2837532907107936</v>
      </c>
      <c r="T27" t="s">
        <v>81</v>
      </c>
    </row>
    <row r="28" spans="1:23" x14ac:dyDescent="0.35">
      <c r="A28">
        <v>2016</v>
      </c>
      <c r="B28" s="1">
        <v>14757</v>
      </c>
      <c r="C28" s="1">
        <v>1625</v>
      </c>
      <c r="D28" s="2">
        <f t="shared" si="6"/>
        <v>0.11011723249983059</v>
      </c>
      <c r="E28" s="1">
        <v>354</v>
      </c>
      <c r="F28" s="2">
        <f t="shared" si="3"/>
        <v>2.3988615572270788E-2</v>
      </c>
      <c r="G28" s="1">
        <v>1648</v>
      </c>
      <c r="H28">
        <v>846</v>
      </c>
      <c r="I28" s="1">
        <f t="shared" si="7"/>
        <v>802</v>
      </c>
      <c r="J28" s="2">
        <f t="shared" si="10"/>
        <v>5.4347089516839468E-2</v>
      </c>
      <c r="K28" s="2">
        <f>I28/I27</f>
        <v>0.58582907231555881</v>
      </c>
      <c r="L28" s="1">
        <v>3242</v>
      </c>
      <c r="M28" s="1">
        <v>1896</v>
      </c>
      <c r="N28" s="1">
        <v>3029</v>
      </c>
      <c r="O28" s="3">
        <f t="shared" si="4"/>
        <v>0.44437107956421262</v>
      </c>
      <c r="P28" s="1">
        <v>4616</v>
      </c>
      <c r="Q28" s="1">
        <v>238</v>
      </c>
      <c r="R28" s="1">
        <v>3959</v>
      </c>
      <c r="S28" s="3">
        <f t="shared" si="5"/>
        <v>1.2208245981830887</v>
      </c>
      <c r="T28" t="s">
        <v>81</v>
      </c>
    </row>
    <row r="29" spans="1:23" x14ac:dyDescent="0.35">
      <c r="A29">
        <v>2017</v>
      </c>
      <c r="B29" s="1">
        <v>15478</v>
      </c>
      <c r="C29" s="1">
        <v>1608</v>
      </c>
      <c r="D29" s="2">
        <f t="shared" si="6"/>
        <v>0.10388939139423699</v>
      </c>
      <c r="E29" s="1">
        <v>437</v>
      </c>
      <c r="F29" s="2">
        <f t="shared" si="3"/>
        <v>2.8233621914976095E-2</v>
      </c>
      <c r="G29" s="1">
        <v>1400</v>
      </c>
      <c r="H29">
        <v>731</v>
      </c>
      <c r="I29" s="1">
        <f t="shared" si="7"/>
        <v>669</v>
      </c>
      <c r="J29" s="2">
        <f t="shared" si="10"/>
        <v>4.3222638583796359E-2</v>
      </c>
      <c r="K29" s="2">
        <f>I29/I27</f>
        <v>0.48867786705624544</v>
      </c>
      <c r="L29" s="1">
        <v>3503</v>
      </c>
      <c r="M29" s="1">
        <v>2027</v>
      </c>
      <c r="N29" s="1">
        <v>3289</v>
      </c>
      <c r="O29" s="3">
        <f t="shared" si="4"/>
        <v>0.44876862268166617</v>
      </c>
      <c r="P29" s="1">
        <v>4612</v>
      </c>
      <c r="Q29" s="1">
        <v>238</v>
      </c>
      <c r="R29" s="1">
        <v>3849</v>
      </c>
      <c r="S29" s="3">
        <f t="shared" si="5"/>
        <v>1.2201709401709402</v>
      </c>
      <c r="T29" t="s">
        <v>81</v>
      </c>
    </row>
    <row r="30" spans="1:23" x14ac:dyDescent="0.35">
      <c r="A30">
        <v>2018</v>
      </c>
      <c r="B30" s="1">
        <v>15860</v>
      </c>
      <c r="C30" s="1">
        <v>1581</v>
      </c>
      <c r="D30" s="2">
        <f t="shared" si="6"/>
        <v>9.9684741488020173E-2</v>
      </c>
      <c r="E30">
        <v>564</v>
      </c>
      <c r="F30" s="2">
        <f t="shared" si="3"/>
        <v>3.5561160151324087E-2</v>
      </c>
      <c r="G30" s="1">
        <v>1296</v>
      </c>
      <c r="H30">
        <v>654</v>
      </c>
      <c r="I30" s="1">
        <f t="shared" si="7"/>
        <v>642</v>
      </c>
      <c r="J30" s="2">
        <f t="shared" si="10"/>
        <v>4.0479192938209334E-2</v>
      </c>
      <c r="K30" s="2">
        <f>I30/I27</f>
        <v>0.46895544192841493</v>
      </c>
      <c r="L30" s="1">
        <v>3374</v>
      </c>
      <c r="M30" s="1">
        <v>1978</v>
      </c>
      <c r="N30" s="1">
        <v>3381</v>
      </c>
      <c r="O30" s="3">
        <f t="shared" si="4"/>
        <v>0.4128955930198166</v>
      </c>
      <c r="P30" s="1">
        <v>4512</v>
      </c>
      <c r="Q30" s="1">
        <v>249</v>
      </c>
      <c r="R30" s="1">
        <v>3632</v>
      </c>
      <c r="S30" s="3">
        <f t="shared" si="5"/>
        <v>1.2392648877893622</v>
      </c>
      <c r="T30" t="s">
        <v>81</v>
      </c>
    </row>
    <row r="31" spans="1:23" x14ac:dyDescent="0.35">
      <c r="A31">
        <v>2019</v>
      </c>
      <c r="B31" s="1">
        <v>15524</v>
      </c>
      <c r="C31" s="1">
        <v>1487</v>
      </c>
      <c r="D31" s="2">
        <f t="shared" si="6"/>
        <v>9.5787168255604224E-2</v>
      </c>
      <c r="E31">
        <v>496</v>
      </c>
      <c r="F31" s="2">
        <f t="shared" si="3"/>
        <v>3.1950528214377737E-2</v>
      </c>
      <c r="G31" s="1">
        <v>1236</v>
      </c>
      <c r="H31">
        <v>935</v>
      </c>
      <c r="I31" s="1">
        <f t="shared" si="7"/>
        <v>301</v>
      </c>
      <c r="J31" s="2">
        <f t="shared" si="10"/>
        <v>1.9389332646225201E-2</v>
      </c>
      <c r="K31" s="2">
        <f t="shared" ref="K31" si="12">I31/I27</f>
        <v>0.21986851716581446</v>
      </c>
      <c r="L31" s="1">
        <v>3230</v>
      </c>
      <c r="M31" s="1">
        <v>1920</v>
      </c>
      <c r="N31" s="1">
        <v>3520</v>
      </c>
      <c r="O31" s="3">
        <f t="shared" si="4"/>
        <v>0.37215909090909088</v>
      </c>
      <c r="P31" s="1">
        <v>6507</v>
      </c>
      <c r="Q31" s="1">
        <v>249</v>
      </c>
      <c r="R31" s="1">
        <v>5238</v>
      </c>
      <c r="S31" s="3">
        <f t="shared" si="5"/>
        <v>1.1572410147991543</v>
      </c>
      <c r="T31" t="s">
        <v>81</v>
      </c>
    </row>
    <row r="32" spans="1:23" x14ac:dyDescent="0.35">
      <c r="A32">
        <v>2015</v>
      </c>
      <c r="B32" s="1">
        <v>479962</v>
      </c>
      <c r="C32" s="1">
        <v>31517</v>
      </c>
      <c r="D32" s="2">
        <f t="shared" si="6"/>
        <v>6.5665615194536231E-2</v>
      </c>
      <c r="E32" s="1">
        <v>14694</v>
      </c>
      <c r="F32" s="2">
        <f t="shared" si="3"/>
        <v>3.0614923681458114E-2</v>
      </c>
      <c r="G32" s="1">
        <v>27389</v>
      </c>
      <c r="H32" s="1">
        <v>11477</v>
      </c>
      <c r="I32" s="1">
        <f t="shared" si="7"/>
        <v>15912</v>
      </c>
      <c r="J32" s="2">
        <f t="shared" si="10"/>
        <v>3.3152624582779469E-2</v>
      </c>
      <c r="K32" s="2">
        <f>I32/I32</f>
        <v>1</v>
      </c>
      <c r="L32" s="1">
        <v>60239</v>
      </c>
      <c r="M32" s="1">
        <v>44469</v>
      </c>
      <c r="N32" s="1">
        <v>64619</v>
      </c>
      <c r="O32" s="3">
        <f t="shared" si="4"/>
        <v>0.24404586886209939</v>
      </c>
      <c r="P32" s="1">
        <v>139342</v>
      </c>
      <c r="Q32" s="1">
        <v>16695</v>
      </c>
      <c r="R32" s="1">
        <v>51351</v>
      </c>
      <c r="S32" s="3">
        <f>(N32+R32)/(L32+P32-M32-Q32)</f>
        <v>0.83783061329171993</v>
      </c>
      <c r="T32" t="s">
        <v>83</v>
      </c>
    </row>
    <row r="33" spans="1:20" x14ac:dyDescent="0.35">
      <c r="A33">
        <v>2016</v>
      </c>
      <c r="B33" s="1">
        <v>482154</v>
      </c>
      <c r="C33" s="1">
        <v>29594</v>
      </c>
      <c r="D33" s="2">
        <f t="shared" si="6"/>
        <v>6.13787296175081E-2</v>
      </c>
      <c r="E33" s="1">
        <v>13643</v>
      </c>
      <c r="F33" s="2">
        <f t="shared" si="3"/>
        <v>2.8295938642010642E-2</v>
      </c>
      <c r="G33" s="1">
        <v>31530</v>
      </c>
      <c r="H33" s="1">
        <v>10619</v>
      </c>
      <c r="I33" s="1">
        <f t="shared" si="7"/>
        <v>20911</v>
      </c>
      <c r="J33" s="2">
        <f t="shared" si="10"/>
        <v>4.3369960634983842E-2</v>
      </c>
      <c r="K33" s="2">
        <f>I33/I32</f>
        <v>1.314165409753645</v>
      </c>
      <c r="L33" s="1">
        <v>57689</v>
      </c>
      <c r="M33" s="1">
        <v>43046</v>
      </c>
      <c r="N33" s="1">
        <v>66928</v>
      </c>
      <c r="O33" s="3">
        <f t="shared" si="4"/>
        <v>0.21878735357398996</v>
      </c>
      <c r="P33" s="1">
        <v>141136</v>
      </c>
      <c r="Q33" s="1">
        <v>17037</v>
      </c>
      <c r="R33" s="1">
        <v>51362</v>
      </c>
      <c r="S33" s="3">
        <f t="shared" si="5"/>
        <v>0.85258969886552016</v>
      </c>
      <c r="T33" t="s">
        <v>83</v>
      </c>
    </row>
    <row r="34" spans="1:20" x14ac:dyDescent="0.35">
      <c r="A34">
        <v>2017</v>
      </c>
      <c r="B34" s="1">
        <v>496785</v>
      </c>
      <c r="C34" s="1">
        <v>29182</v>
      </c>
      <c r="D34" s="2">
        <f t="shared" si="6"/>
        <v>5.8741709190092292E-2</v>
      </c>
      <c r="E34" s="1">
        <v>9862</v>
      </c>
      <c r="F34" s="2">
        <f t="shared" si="3"/>
        <v>1.9851646084322192E-2</v>
      </c>
      <c r="G34" s="1">
        <v>28337</v>
      </c>
      <c r="H34" s="1">
        <v>10051</v>
      </c>
      <c r="I34" s="1">
        <f t="shared" si="7"/>
        <v>18286</v>
      </c>
      <c r="J34" s="2">
        <f t="shared" si="10"/>
        <v>3.6808679811185928E-2</v>
      </c>
      <c r="K34" s="2">
        <f>I34/I32</f>
        <v>1.1491955756661638</v>
      </c>
      <c r="L34" s="1">
        <v>59664</v>
      </c>
      <c r="M34" s="1">
        <v>43783</v>
      </c>
      <c r="N34" s="1">
        <v>78521</v>
      </c>
      <c r="O34" s="3">
        <f t="shared" si="4"/>
        <v>0.20225162695329912</v>
      </c>
      <c r="P34" s="1">
        <v>144858</v>
      </c>
      <c r="Q34" s="1">
        <v>18242</v>
      </c>
      <c r="R34" s="1">
        <v>45179</v>
      </c>
      <c r="S34" s="3">
        <f t="shared" si="5"/>
        <v>0.86808845098493304</v>
      </c>
      <c r="T34" t="s">
        <v>83</v>
      </c>
    </row>
    <row r="35" spans="1:20" x14ac:dyDescent="0.35">
      <c r="A35">
        <v>2018</v>
      </c>
      <c r="B35" s="1">
        <v>511729</v>
      </c>
      <c r="C35" s="1">
        <v>30149</v>
      </c>
      <c r="D35" s="2">
        <f t="shared" si="6"/>
        <v>5.8915949653039014E-2</v>
      </c>
      <c r="E35" s="1">
        <v>6670</v>
      </c>
      <c r="F35" s="2">
        <f t="shared" si="3"/>
        <v>1.3034242733947069E-2</v>
      </c>
      <c r="G35" s="1">
        <v>27753</v>
      </c>
      <c r="H35" s="1">
        <v>10344</v>
      </c>
      <c r="I35" s="1">
        <f t="shared" si="7"/>
        <v>17409</v>
      </c>
      <c r="J35" s="2">
        <f t="shared" si="10"/>
        <v>3.4019959783400978E-2</v>
      </c>
      <c r="K35" s="2">
        <f>I35/I32</f>
        <v>1.0940799396681751</v>
      </c>
      <c r="L35" s="1">
        <v>61897</v>
      </c>
      <c r="M35" s="1">
        <v>44269</v>
      </c>
      <c r="N35" s="1">
        <v>77477</v>
      </c>
      <c r="O35" s="3">
        <f t="shared" si="4"/>
        <v>0.2275255882390903</v>
      </c>
      <c r="P35" s="1">
        <v>157398</v>
      </c>
      <c r="Q35" s="1">
        <v>31181</v>
      </c>
      <c r="R35" s="1">
        <v>62184</v>
      </c>
      <c r="S35" s="3">
        <f t="shared" si="5"/>
        <v>0.97091313566686366</v>
      </c>
      <c r="T35" t="s">
        <v>83</v>
      </c>
    </row>
    <row r="36" spans="1:20" x14ac:dyDescent="0.35">
      <c r="A36">
        <v>2019</v>
      </c>
      <c r="B36" s="1">
        <v>523964</v>
      </c>
      <c r="C36" s="1">
        <v>31838</v>
      </c>
      <c r="D36" s="2">
        <f t="shared" si="6"/>
        <v>6.0763716591216189E-2</v>
      </c>
      <c r="E36" s="1">
        <v>14881</v>
      </c>
      <c r="F36" s="2">
        <f t="shared" si="3"/>
        <v>2.8400806162255422E-2</v>
      </c>
      <c r="G36" s="1">
        <v>25255</v>
      </c>
      <c r="H36" s="1">
        <v>10705</v>
      </c>
      <c r="I36" s="1">
        <f t="shared" si="7"/>
        <v>14550</v>
      </c>
      <c r="J36" s="2">
        <f t="shared" si="10"/>
        <v>2.7769083372140072E-2</v>
      </c>
      <c r="K36" s="2">
        <f t="shared" ref="K36" si="13">I36/I32</f>
        <v>0.91440422322775261</v>
      </c>
      <c r="L36" s="1">
        <v>61806</v>
      </c>
      <c r="M36" s="1">
        <v>44435</v>
      </c>
      <c r="N36" s="1">
        <v>77790</v>
      </c>
      <c r="O36" s="3">
        <f t="shared" si="4"/>
        <v>0.22330633757552384</v>
      </c>
      <c r="P36" s="1">
        <v>174689</v>
      </c>
      <c r="Q36" s="1">
        <v>31073</v>
      </c>
      <c r="R36" s="1">
        <v>77153</v>
      </c>
      <c r="S36" s="3">
        <f t="shared" si="5"/>
        <v>0.96245659587420107</v>
      </c>
      <c r="T36" t="s">
        <v>83</v>
      </c>
    </row>
    <row r="37" spans="1:20" x14ac:dyDescent="0.35">
      <c r="A37">
        <v>2015</v>
      </c>
      <c r="B37" s="1">
        <v>73785</v>
      </c>
      <c r="C37" s="1">
        <v>7339</v>
      </c>
      <c r="D37" s="2">
        <f t="shared" si="6"/>
        <v>9.9464660838923899E-2</v>
      </c>
      <c r="E37" s="1">
        <v>3363</v>
      </c>
      <c r="F37" s="2">
        <f t="shared" si="3"/>
        <v>4.5578369587314496E-2</v>
      </c>
      <c r="G37" s="1">
        <v>5844</v>
      </c>
      <c r="H37" s="1">
        <v>1438</v>
      </c>
      <c r="I37" s="1">
        <f t="shared" si="7"/>
        <v>4406</v>
      </c>
      <c r="J37" s="2">
        <f t="shared" si="10"/>
        <v>5.9714034017754283E-2</v>
      </c>
      <c r="K37" s="2">
        <f>I37/I37</f>
        <v>1</v>
      </c>
      <c r="L37" s="1">
        <v>14130</v>
      </c>
      <c r="M37" s="1">
        <v>8601</v>
      </c>
      <c r="N37" s="1">
        <v>12622</v>
      </c>
      <c r="O37" s="3">
        <f t="shared" si="4"/>
        <v>0.43804468388527967</v>
      </c>
      <c r="P37" s="1">
        <v>26132</v>
      </c>
      <c r="Q37">
        <v>277</v>
      </c>
      <c r="R37" s="1">
        <v>14683</v>
      </c>
      <c r="S37" s="3">
        <f t="shared" si="5"/>
        <v>0.87002931430028041</v>
      </c>
      <c r="T37" t="s">
        <v>84</v>
      </c>
    </row>
    <row r="38" spans="1:20" x14ac:dyDescent="0.35">
      <c r="A38">
        <v>2016</v>
      </c>
      <c r="B38" s="1">
        <v>69495</v>
      </c>
      <c r="C38" s="1">
        <v>7271</v>
      </c>
      <c r="D38" s="2">
        <f t="shared" si="6"/>
        <v>0.104626232103029</v>
      </c>
      <c r="E38" s="1">
        <v>2737</v>
      </c>
      <c r="F38" s="2">
        <f t="shared" si="3"/>
        <v>3.938412835455788E-2</v>
      </c>
      <c r="G38" s="1">
        <v>5436</v>
      </c>
      <c r="H38" s="1">
        <v>1547</v>
      </c>
      <c r="I38" s="1">
        <f t="shared" si="7"/>
        <v>3889</v>
      </c>
      <c r="J38" s="2">
        <f t="shared" si="10"/>
        <v>5.5960860493560687E-2</v>
      </c>
      <c r="K38" s="2">
        <f>I38/I37</f>
        <v>0.88266000907852926</v>
      </c>
      <c r="L38" s="1">
        <v>11990</v>
      </c>
      <c r="M38" s="1">
        <v>8309</v>
      </c>
      <c r="N38" s="1">
        <v>12708</v>
      </c>
      <c r="O38" s="3">
        <f t="shared" si="4"/>
        <v>0.28966005665722377</v>
      </c>
      <c r="P38" s="1">
        <v>25441</v>
      </c>
      <c r="Q38">
        <v>259</v>
      </c>
      <c r="R38" s="1">
        <v>13770</v>
      </c>
      <c r="S38" s="3">
        <f t="shared" si="5"/>
        <v>0.91736825693794821</v>
      </c>
      <c r="T38" t="s">
        <v>84</v>
      </c>
    </row>
    <row r="39" spans="1:20" x14ac:dyDescent="0.35">
      <c r="A39">
        <v>2017</v>
      </c>
      <c r="B39" s="1">
        <v>71879</v>
      </c>
      <c r="C39" s="1">
        <v>6752</v>
      </c>
      <c r="D39" s="2">
        <f t="shared" si="6"/>
        <v>9.393564184254094E-2</v>
      </c>
      <c r="E39" s="1">
        <v>2934</v>
      </c>
      <c r="F39" s="2">
        <f t="shared" si="3"/>
        <v>4.081859792150698E-2</v>
      </c>
      <c r="G39" s="1">
        <v>6923</v>
      </c>
      <c r="H39" s="1">
        <v>2533</v>
      </c>
      <c r="I39" s="1">
        <f t="shared" si="7"/>
        <v>4390</v>
      </c>
      <c r="J39" s="2">
        <f t="shared" si="10"/>
        <v>6.1074861920727891E-2</v>
      </c>
      <c r="K39" s="2">
        <f>I39/I37</f>
        <v>0.99636858828869723</v>
      </c>
      <c r="L39" s="1">
        <v>12564</v>
      </c>
      <c r="M39" s="1">
        <v>8657</v>
      </c>
      <c r="N39" s="1">
        <v>13201</v>
      </c>
      <c r="O39" s="3">
        <f t="shared" si="4"/>
        <v>0.29596242708885689</v>
      </c>
      <c r="P39" s="1">
        <v>26435</v>
      </c>
      <c r="Q39">
        <v>782</v>
      </c>
      <c r="R39" s="1">
        <v>14089</v>
      </c>
      <c r="S39" s="3">
        <f t="shared" si="5"/>
        <v>0.92320703653585923</v>
      </c>
      <c r="T39" t="s">
        <v>84</v>
      </c>
    </row>
    <row r="40" spans="1:20" x14ac:dyDescent="0.35">
      <c r="A40">
        <v>2018</v>
      </c>
      <c r="B40" s="1">
        <v>75356</v>
      </c>
      <c r="C40" s="1">
        <v>6584</v>
      </c>
      <c r="D40" s="2">
        <f t="shared" si="6"/>
        <v>8.7371941185837895E-2</v>
      </c>
      <c r="E40" s="1">
        <v>2937</v>
      </c>
      <c r="F40" s="2">
        <f t="shared" si="3"/>
        <v>3.8974998672965659E-2</v>
      </c>
      <c r="G40" s="1">
        <v>5973</v>
      </c>
      <c r="H40" s="1">
        <v>3516</v>
      </c>
      <c r="I40" s="1">
        <f t="shared" si="7"/>
        <v>2457</v>
      </c>
      <c r="J40" s="2">
        <f t="shared" si="10"/>
        <v>3.2605233823451353E-2</v>
      </c>
      <c r="K40" s="2">
        <f>I40/I37</f>
        <v>0.55764866091693144</v>
      </c>
      <c r="L40" s="1">
        <v>12519</v>
      </c>
      <c r="M40" s="1">
        <v>9497</v>
      </c>
      <c r="N40" s="1">
        <v>15014</v>
      </c>
      <c r="O40" s="3">
        <f t="shared" si="4"/>
        <v>0.20127880644731583</v>
      </c>
      <c r="P40" s="1">
        <v>28771</v>
      </c>
      <c r="Q40">
        <v>699</v>
      </c>
      <c r="R40" s="1">
        <v>14979</v>
      </c>
      <c r="S40" s="3">
        <f t="shared" si="5"/>
        <v>0.96459123946742131</v>
      </c>
      <c r="T40" t="s">
        <v>84</v>
      </c>
    </row>
    <row r="41" spans="1:20" x14ac:dyDescent="0.35">
      <c r="A41">
        <v>2019</v>
      </c>
      <c r="B41" s="1">
        <v>78112</v>
      </c>
      <c r="C41" s="1">
        <v>7245</v>
      </c>
      <c r="D41" s="2">
        <f t="shared" si="6"/>
        <v>9.2751433838590747E-2</v>
      </c>
      <c r="E41" s="1">
        <v>3281</v>
      </c>
      <c r="F41" s="2">
        <f t="shared" si="3"/>
        <v>4.2003789430561246E-2</v>
      </c>
      <c r="G41" s="1">
        <v>7117</v>
      </c>
      <c r="H41" s="1">
        <v>3027</v>
      </c>
      <c r="I41" s="1">
        <f t="shared" si="7"/>
        <v>4090</v>
      </c>
      <c r="J41" s="2">
        <f t="shared" si="10"/>
        <v>5.2360712822613682E-2</v>
      </c>
      <c r="K41" s="2">
        <f t="shared" ref="K41" si="14">I41/I37</f>
        <v>0.92827961870177034</v>
      </c>
      <c r="L41" s="1">
        <v>12902</v>
      </c>
      <c r="M41" s="1">
        <v>8992</v>
      </c>
      <c r="N41" s="1">
        <v>14487</v>
      </c>
      <c r="O41" s="3">
        <f t="shared" si="4"/>
        <v>0.26989714916821977</v>
      </c>
      <c r="P41" s="1">
        <v>29877</v>
      </c>
      <c r="Q41">
        <v>686</v>
      </c>
      <c r="R41" s="1">
        <v>16459</v>
      </c>
      <c r="S41" s="3">
        <f t="shared" si="5"/>
        <v>0.93489622670009964</v>
      </c>
      <c r="T41" t="s">
        <v>84</v>
      </c>
    </row>
    <row r="42" spans="1:20" x14ac:dyDescent="0.35">
      <c r="A42">
        <v>2015</v>
      </c>
      <c r="B42" s="1">
        <v>25413</v>
      </c>
      <c r="C42" s="1">
        <v>8793</v>
      </c>
      <c r="D42" s="2">
        <f t="shared" si="6"/>
        <v>0.34600401369377876</v>
      </c>
      <c r="E42" s="1">
        <v>4529</v>
      </c>
      <c r="F42" s="2">
        <f t="shared" si="3"/>
        <v>0.17821587376539566</v>
      </c>
      <c r="G42" s="1">
        <v>6539</v>
      </c>
      <c r="H42" s="1">
        <v>1814</v>
      </c>
      <c r="I42" s="1">
        <f t="shared" si="7"/>
        <v>4725</v>
      </c>
      <c r="J42" s="2">
        <f t="shared" si="10"/>
        <v>0.18592846181088418</v>
      </c>
      <c r="K42" s="2">
        <f>I42/I42</f>
        <v>1</v>
      </c>
      <c r="L42" s="1">
        <v>9643</v>
      </c>
      <c r="M42">
        <v>100</v>
      </c>
      <c r="N42" s="1">
        <v>2950</v>
      </c>
      <c r="O42" s="3">
        <f t="shared" si="4"/>
        <v>3.2349152542372881</v>
      </c>
      <c r="P42" s="1">
        <v>28296</v>
      </c>
      <c r="Q42" s="1">
        <v>2516</v>
      </c>
      <c r="R42" s="1">
        <v>27900</v>
      </c>
      <c r="S42" s="3">
        <f t="shared" si="5"/>
        <v>0.87336862667383852</v>
      </c>
      <c r="T42" t="s">
        <v>85</v>
      </c>
    </row>
    <row r="43" spans="1:20" x14ac:dyDescent="0.35">
      <c r="A43">
        <v>2016</v>
      </c>
      <c r="B43" s="1">
        <v>24622</v>
      </c>
      <c r="C43" s="1">
        <v>9211</v>
      </c>
      <c r="D43" s="2">
        <f t="shared" si="6"/>
        <v>0.37409633660953617</v>
      </c>
      <c r="E43" s="1">
        <v>4687</v>
      </c>
      <c r="F43" s="2">
        <f t="shared" si="3"/>
        <v>0.19035821622938834</v>
      </c>
      <c r="G43" s="1">
        <v>5886</v>
      </c>
      <c r="H43" s="1">
        <v>1821</v>
      </c>
      <c r="I43" s="1">
        <f t="shared" si="7"/>
        <v>4065</v>
      </c>
      <c r="J43" s="2">
        <f t="shared" si="10"/>
        <v>0.16509625538136627</v>
      </c>
      <c r="K43" s="2">
        <f>I43/I42</f>
        <v>0.86031746031746037</v>
      </c>
      <c r="L43" s="1">
        <v>4849</v>
      </c>
      <c r="M43" s="1">
        <v>59</v>
      </c>
      <c r="N43" s="1">
        <v>3468</v>
      </c>
      <c r="O43" s="3">
        <f t="shared" si="4"/>
        <v>1.381199538638985</v>
      </c>
      <c r="P43" s="1">
        <v>26175</v>
      </c>
      <c r="Q43" s="1">
        <v>2337</v>
      </c>
      <c r="R43" s="1">
        <v>29760</v>
      </c>
      <c r="S43" s="3">
        <f t="shared" si="5"/>
        <v>1.1606818499371245</v>
      </c>
      <c r="T43" t="s">
        <v>85</v>
      </c>
    </row>
    <row r="44" spans="1:20" x14ac:dyDescent="0.35">
      <c r="A44">
        <v>2017</v>
      </c>
      <c r="B44" s="1">
        <v>22820</v>
      </c>
      <c r="C44" s="1">
        <v>9617</v>
      </c>
      <c r="D44" s="2">
        <f t="shared" si="6"/>
        <v>0.42142857142857143</v>
      </c>
      <c r="E44" s="1">
        <v>5192</v>
      </c>
      <c r="F44" s="2">
        <f t="shared" si="3"/>
        <v>0.22751971954425942</v>
      </c>
      <c r="G44" s="1">
        <v>5725</v>
      </c>
      <c r="H44" s="1">
        <v>1854</v>
      </c>
      <c r="I44" s="1">
        <f t="shared" si="7"/>
        <v>3871</v>
      </c>
      <c r="J44" s="2">
        <f t="shared" si="10"/>
        <v>0.16963190184049079</v>
      </c>
      <c r="K44" s="2">
        <f>I44/I42</f>
        <v>0.81925925925925924</v>
      </c>
      <c r="L44" s="1">
        <v>5327</v>
      </c>
      <c r="M44" s="1">
        <v>59</v>
      </c>
      <c r="N44" s="1">
        <v>2891</v>
      </c>
      <c r="O44" s="3">
        <f t="shared" si="4"/>
        <v>1.8222068488412313</v>
      </c>
      <c r="P44" s="1">
        <v>28477</v>
      </c>
      <c r="Q44" s="1">
        <v>2380</v>
      </c>
      <c r="R44" s="1">
        <v>34181</v>
      </c>
      <c r="S44" s="3">
        <f t="shared" si="5"/>
        <v>1.181954407779372</v>
      </c>
      <c r="T44" t="s">
        <v>85</v>
      </c>
    </row>
    <row r="45" spans="1:20" x14ac:dyDescent="0.35">
      <c r="A45">
        <v>2018</v>
      </c>
      <c r="B45" s="1">
        <v>21025</v>
      </c>
      <c r="C45" s="1">
        <v>9889</v>
      </c>
      <c r="D45" s="2">
        <f t="shared" si="6"/>
        <v>0.47034482758620688</v>
      </c>
      <c r="E45" s="1">
        <v>5924</v>
      </c>
      <c r="F45" s="2">
        <f t="shared" si="3"/>
        <v>0.28175980975029724</v>
      </c>
      <c r="G45" s="1">
        <v>6967</v>
      </c>
      <c r="H45" s="1">
        <v>2742</v>
      </c>
      <c r="I45" s="1">
        <f t="shared" si="7"/>
        <v>4225</v>
      </c>
      <c r="J45" s="2">
        <f t="shared" si="10"/>
        <v>0.20095124851367419</v>
      </c>
      <c r="K45" s="2">
        <f>I45/I42</f>
        <v>0.89417989417989419</v>
      </c>
      <c r="L45" s="1">
        <v>4053</v>
      </c>
      <c r="M45" s="1">
        <v>51</v>
      </c>
      <c r="N45" s="1">
        <v>2974</v>
      </c>
      <c r="O45" s="3">
        <f t="shared" si="4"/>
        <v>1.3456624075319434</v>
      </c>
      <c r="P45" s="1">
        <v>28758</v>
      </c>
      <c r="Q45" s="1">
        <v>2941</v>
      </c>
      <c r="R45" s="1">
        <v>36096</v>
      </c>
      <c r="S45" s="3">
        <f t="shared" si="5"/>
        <v>1.3102384385794292</v>
      </c>
      <c r="T45" t="s">
        <v>85</v>
      </c>
    </row>
    <row r="46" spans="1:20" x14ac:dyDescent="0.35">
      <c r="A46">
        <v>2019</v>
      </c>
      <c r="B46" s="1">
        <v>21077</v>
      </c>
      <c r="C46" s="1">
        <v>10278</v>
      </c>
      <c r="D46" s="2">
        <f t="shared" si="6"/>
        <v>0.48764055605636475</v>
      </c>
      <c r="E46" s="1">
        <v>6025</v>
      </c>
      <c r="F46" s="2">
        <f t="shared" si="3"/>
        <v>0.28585662096123737</v>
      </c>
      <c r="G46" s="1">
        <v>8122</v>
      </c>
      <c r="H46" s="1">
        <v>2394</v>
      </c>
      <c r="I46" s="1">
        <f t="shared" si="7"/>
        <v>5728</v>
      </c>
      <c r="J46" s="2">
        <f t="shared" si="10"/>
        <v>0.27176543151302368</v>
      </c>
      <c r="K46" s="2">
        <f t="shared" ref="K46" si="15">I46/I42</f>
        <v>1.2122751322751322</v>
      </c>
      <c r="L46" s="1">
        <v>3558</v>
      </c>
      <c r="M46" s="1">
        <v>50</v>
      </c>
      <c r="N46" s="1">
        <v>3621</v>
      </c>
      <c r="O46" s="3">
        <f t="shared" si="4"/>
        <v>0.96879315106324215</v>
      </c>
      <c r="P46" s="1">
        <v>43953</v>
      </c>
      <c r="Q46" s="1">
        <v>3343</v>
      </c>
      <c r="R46" s="1">
        <v>52100</v>
      </c>
      <c r="S46" s="3">
        <f t="shared" si="5"/>
        <v>1.2629992293394987</v>
      </c>
      <c r="T46" t="s">
        <v>85</v>
      </c>
    </row>
    <row r="47" spans="1:20" x14ac:dyDescent="0.35">
      <c r="M47" s="1"/>
      <c r="Q47" s="1"/>
    </row>
    <row r="48" spans="1:20" x14ac:dyDescent="0.35">
      <c r="G48" s="1"/>
      <c r="H48" s="1"/>
      <c r="I48" s="1"/>
      <c r="J48" s="1"/>
      <c r="K48" s="1"/>
      <c r="L48" s="1"/>
      <c r="M48" s="1"/>
      <c r="Q48" s="1"/>
    </row>
    <row r="49" spans="7:17" x14ac:dyDescent="0.35">
      <c r="G49" s="1"/>
      <c r="M49" s="1"/>
      <c r="Q49" s="1"/>
    </row>
    <row r="50" spans="7:17" x14ac:dyDescent="0.35">
      <c r="G50" s="1"/>
      <c r="M50" s="1"/>
      <c r="Q50" s="1"/>
    </row>
    <row r="51" spans="7:17" x14ac:dyDescent="0.35">
      <c r="G51" s="1"/>
      <c r="M51" s="1"/>
      <c r="Q51" s="1"/>
    </row>
    <row r="52" spans="7:17" x14ac:dyDescent="0.35">
      <c r="G52" s="1"/>
      <c r="M52" s="1"/>
      <c r="Q52" s="1"/>
    </row>
    <row r="53" spans="7:17" x14ac:dyDescent="0.35">
      <c r="M53" s="1"/>
      <c r="Q53" s="1"/>
    </row>
    <row r="54" spans="7:17" x14ac:dyDescent="0.35">
      <c r="M54" s="1"/>
      <c r="Q54" s="1"/>
    </row>
    <row r="55" spans="7:17" x14ac:dyDescent="0.35">
      <c r="M55" s="1"/>
      <c r="Q55" s="1"/>
    </row>
    <row r="56" spans="7:17" x14ac:dyDescent="0.35">
      <c r="M56" s="1"/>
      <c r="Q56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6C96-EA31-40AC-A127-A8420EFF0851}">
  <dimension ref="A1:W86"/>
  <sheetViews>
    <sheetView topLeftCell="F62" workbookViewId="0">
      <selection activeCell="A2" sqref="A2:S76"/>
    </sheetView>
  </sheetViews>
  <sheetFormatPr defaultRowHeight="14.5" x14ac:dyDescent="0.35"/>
  <cols>
    <col min="4" max="4" width="13" customWidth="1"/>
    <col min="6" max="6" width="12.08984375" customWidth="1"/>
    <col min="7" max="7" width="10" customWidth="1"/>
    <col min="11" max="11" width="13.6328125" customWidth="1"/>
    <col min="12" max="12" width="11.81640625" customWidth="1"/>
    <col min="13" max="13" width="10.6328125" customWidth="1"/>
    <col min="14" max="14" width="11.08984375" customWidth="1"/>
    <col min="15" max="16" width="12.08984375" customWidth="1"/>
    <col min="17" max="17" width="10.81640625" customWidth="1"/>
  </cols>
  <sheetData>
    <row r="1" spans="1:21" x14ac:dyDescent="0.35">
      <c r="A1" t="s">
        <v>1</v>
      </c>
      <c r="B1" t="s">
        <v>2</v>
      </c>
      <c r="C1" t="s">
        <v>3</v>
      </c>
      <c r="D1" t="s">
        <v>11</v>
      </c>
      <c r="E1" t="s">
        <v>4</v>
      </c>
      <c r="F1" t="s">
        <v>73</v>
      </c>
      <c r="G1" t="s">
        <v>34</v>
      </c>
      <c r="H1" s="1" t="s">
        <v>14</v>
      </c>
      <c r="I1" t="s">
        <v>5</v>
      </c>
      <c r="J1" t="s">
        <v>12</v>
      </c>
      <c r="K1" t="s">
        <v>13</v>
      </c>
      <c r="L1" t="s">
        <v>25</v>
      </c>
      <c r="M1" t="s">
        <v>46</v>
      </c>
      <c r="N1" t="s">
        <v>22</v>
      </c>
      <c r="O1" t="s">
        <v>26</v>
      </c>
      <c r="P1" t="s">
        <v>47</v>
      </c>
      <c r="Q1" t="s">
        <v>40</v>
      </c>
      <c r="R1" t="s">
        <v>27</v>
      </c>
      <c r="S1" t="s">
        <v>45</v>
      </c>
      <c r="T1" t="s">
        <v>0</v>
      </c>
    </row>
    <row r="2" spans="1:21" x14ac:dyDescent="0.35">
      <c r="A2">
        <v>2015</v>
      </c>
      <c r="B2" s="1">
        <v>52465</v>
      </c>
      <c r="C2" s="1">
        <v>15578</v>
      </c>
      <c r="D2" s="2">
        <f t="shared" ref="D2:D16" si="0">C2/B2</f>
        <v>0.2969217573620509</v>
      </c>
      <c r="E2" s="1">
        <v>8382</v>
      </c>
      <c r="F2" s="2">
        <f>E2/B2</f>
        <v>0.15976365195844849</v>
      </c>
      <c r="G2" s="1">
        <v>10909</v>
      </c>
      <c r="H2" s="1">
        <v>4265</v>
      </c>
      <c r="I2" s="1">
        <f t="shared" ref="I2:I16" si="1">G2-H2</f>
        <v>6644</v>
      </c>
      <c r="J2" s="2">
        <f t="shared" ref="J2:J16" si="2">I2/B2</f>
        <v>0.12663680548937387</v>
      </c>
      <c r="K2" s="2">
        <f>I2/I2</f>
        <v>1</v>
      </c>
      <c r="L2" s="1">
        <v>16758</v>
      </c>
      <c r="M2" s="1">
        <v>2741</v>
      </c>
      <c r="N2" s="1">
        <v>16334</v>
      </c>
      <c r="O2" s="3">
        <f t="shared" ref="O2:O6" si="3">(L2-M2)/N2</f>
        <v>0.85814864699400029</v>
      </c>
      <c r="P2" s="1">
        <v>71424</v>
      </c>
      <c r="Q2" s="1">
        <v>34998</v>
      </c>
      <c r="R2" s="1">
        <v>23193</v>
      </c>
      <c r="S2" s="3">
        <f>(N2+R2)/(L2+P2-M2-Q2)</f>
        <v>0.78359732767678369</v>
      </c>
      <c r="T2" t="s">
        <v>35</v>
      </c>
    </row>
    <row r="3" spans="1:21" x14ac:dyDescent="0.35">
      <c r="A3">
        <v>2016</v>
      </c>
      <c r="B3" s="1">
        <v>55632</v>
      </c>
      <c r="C3" s="1">
        <v>17014</v>
      </c>
      <c r="D3" s="2">
        <f t="shared" si="0"/>
        <v>0.30583117630140927</v>
      </c>
      <c r="E3" s="1">
        <v>9391</v>
      </c>
      <c r="F3" s="2">
        <f t="shared" ref="F3:F6" si="4">E3/B3</f>
        <v>0.1688057233247052</v>
      </c>
      <c r="G3" s="1">
        <v>13213</v>
      </c>
      <c r="H3" s="1">
        <v>4773</v>
      </c>
      <c r="I3" s="1">
        <f t="shared" si="1"/>
        <v>8440</v>
      </c>
      <c r="J3" s="2">
        <f t="shared" si="2"/>
        <v>0.15171124532643082</v>
      </c>
      <c r="K3" s="2">
        <f>I3/I2</f>
        <v>1.2703190848886212</v>
      </c>
      <c r="L3" s="1">
        <v>16966</v>
      </c>
      <c r="M3" s="1">
        <v>2598</v>
      </c>
      <c r="N3" s="1">
        <v>16842</v>
      </c>
      <c r="O3" s="3">
        <f t="shared" si="3"/>
        <v>0.85310533190832438</v>
      </c>
      <c r="P3" s="1">
        <v>75067</v>
      </c>
      <c r="Q3" s="1">
        <v>34759</v>
      </c>
      <c r="R3" s="1">
        <v>27868</v>
      </c>
      <c r="S3" s="3">
        <f>(N3+R3)/(L3+P3-M3-Q3)</f>
        <v>0.81772624186114562</v>
      </c>
      <c r="T3" t="s">
        <v>35</v>
      </c>
    </row>
    <row r="4" spans="1:21" x14ac:dyDescent="0.35">
      <c r="A4">
        <v>2017</v>
      </c>
      <c r="B4" s="1">
        <v>55137</v>
      </c>
      <c r="C4" s="1">
        <v>16655</v>
      </c>
      <c r="D4" s="2">
        <f t="shared" si="0"/>
        <v>0.3020657634619221</v>
      </c>
      <c r="E4" s="1">
        <v>8980</v>
      </c>
      <c r="F4" s="2">
        <f t="shared" si="4"/>
        <v>0.16286704028148066</v>
      </c>
      <c r="G4" s="1">
        <v>12343</v>
      </c>
      <c r="H4" s="1">
        <v>3623</v>
      </c>
      <c r="I4" s="1">
        <f t="shared" si="1"/>
        <v>8720</v>
      </c>
      <c r="J4" s="2">
        <f t="shared" si="2"/>
        <v>0.15815151350272957</v>
      </c>
      <c r="K4" s="2">
        <f>I4/I2</f>
        <v>1.312462372065021</v>
      </c>
      <c r="L4" s="1">
        <v>15889</v>
      </c>
      <c r="M4" s="1">
        <v>2651</v>
      </c>
      <c r="N4" s="1">
        <v>19595</v>
      </c>
      <c r="O4" s="3">
        <f t="shared" si="3"/>
        <v>0.67558050523092628</v>
      </c>
      <c r="P4" s="1">
        <v>79900</v>
      </c>
      <c r="Q4" s="1">
        <v>38421</v>
      </c>
      <c r="R4" s="1">
        <v>30042</v>
      </c>
      <c r="S4" s="3">
        <f>(N4+R4)/(L4+P4-M4-Q4)</f>
        <v>0.90715865270391283</v>
      </c>
      <c r="T4" t="s">
        <v>35</v>
      </c>
    </row>
    <row r="5" spans="1:21" x14ac:dyDescent="0.35">
      <c r="A5">
        <v>2018</v>
      </c>
      <c r="B5" s="1">
        <v>59434</v>
      </c>
      <c r="C5" s="1">
        <v>17848</v>
      </c>
      <c r="D5" s="2">
        <f t="shared" si="0"/>
        <v>0.30029949187333849</v>
      </c>
      <c r="E5" s="1">
        <v>12598</v>
      </c>
      <c r="F5" s="2">
        <f t="shared" si="4"/>
        <v>0.21196621462462564</v>
      </c>
      <c r="G5" s="1">
        <v>14295</v>
      </c>
      <c r="H5" s="1">
        <v>4465</v>
      </c>
      <c r="I5" s="1">
        <f t="shared" si="1"/>
        <v>9830</v>
      </c>
      <c r="J5" s="2">
        <f t="shared" si="2"/>
        <v>0.16539354578187571</v>
      </c>
      <c r="K5" s="2">
        <f>I5/I2</f>
        <v>1.4795304033714629</v>
      </c>
      <c r="L5" s="1">
        <v>16825</v>
      </c>
      <c r="M5" s="1">
        <v>2706</v>
      </c>
      <c r="N5" s="1">
        <v>17860</v>
      </c>
      <c r="O5" s="3">
        <f t="shared" si="3"/>
        <v>0.7905375139977604</v>
      </c>
      <c r="P5" s="1">
        <v>81773</v>
      </c>
      <c r="Q5" s="1">
        <v>38081</v>
      </c>
      <c r="R5" s="1">
        <v>26783</v>
      </c>
      <c r="S5" s="3">
        <f>(N5+R5)/(L5+P5-M5-Q5)</f>
        <v>0.77222327930670631</v>
      </c>
      <c r="T5" t="s">
        <v>35</v>
      </c>
    </row>
    <row r="6" spans="1:21" x14ac:dyDescent="0.35">
      <c r="A6">
        <v>2019</v>
      </c>
      <c r="B6" s="1">
        <v>69570</v>
      </c>
      <c r="C6" s="1">
        <v>16169</v>
      </c>
      <c r="D6" s="2">
        <f t="shared" si="0"/>
        <v>0.23241339657898519</v>
      </c>
      <c r="E6" s="1">
        <v>11054</v>
      </c>
      <c r="F6" s="2">
        <f t="shared" si="4"/>
        <v>0.15889032629006755</v>
      </c>
      <c r="G6" s="1">
        <v>6606</v>
      </c>
      <c r="H6" s="1">
        <v>4876</v>
      </c>
      <c r="I6" s="1">
        <f t="shared" si="1"/>
        <v>1730</v>
      </c>
      <c r="J6" s="2">
        <f t="shared" si="2"/>
        <v>2.4867040390973122E-2</v>
      </c>
      <c r="K6" s="2">
        <f>I6/I2</f>
        <v>0.26038531005418425</v>
      </c>
      <c r="L6" s="1">
        <v>28124</v>
      </c>
      <c r="M6" s="1">
        <v>6246</v>
      </c>
      <c r="N6" s="1">
        <v>31341</v>
      </c>
      <c r="O6" s="3">
        <f t="shared" si="3"/>
        <v>0.69806323984556973</v>
      </c>
      <c r="P6" s="1">
        <v>165860</v>
      </c>
      <c r="Q6" s="1">
        <v>103508</v>
      </c>
      <c r="R6" s="1">
        <v>59791</v>
      </c>
      <c r="S6" s="3">
        <f>(N6+R6)/(L6+P6-M6-Q6)</f>
        <v>1.0819423008429301</v>
      </c>
      <c r="T6" t="s">
        <v>35</v>
      </c>
    </row>
    <row r="7" spans="1:21" x14ac:dyDescent="0.35">
      <c r="A7">
        <v>2015</v>
      </c>
      <c r="B7" s="1">
        <v>6780</v>
      </c>
      <c r="C7">
        <v>368</v>
      </c>
      <c r="D7" s="2">
        <f t="shared" si="0"/>
        <v>5.4277286135693215E-2</v>
      </c>
      <c r="E7">
        <v>123</v>
      </c>
      <c r="F7" s="2">
        <f>E7/B7</f>
        <v>1.8141592920353982E-2</v>
      </c>
      <c r="G7">
        <v>-749</v>
      </c>
      <c r="H7">
        <v>91</v>
      </c>
      <c r="I7" s="1">
        <f t="shared" si="1"/>
        <v>-840</v>
      </c>
      <c r="J7" s="2">
        <f t="shared" si="2"/>
        <v>-0.12389380530973451</v>
      </c>
      <c r="K7" s="2">
        <f>I7/ABS(I7)</f>
        <v>-1</v>
      </c>
      <c r="L7" s="1">
        <v>5432</v>
      </c>
      <c r="M7" s="1">
        <v>2906</v>
      </c>
      <c r="N7" s="1">
        <v>3530</v>
      </c>
      <c r="O7" s="3">
        <f>(L7-M7)/N7</f>
        <v>0.7155807365439093</v>
      </c>
      <c r="P7" s="1">
        <v>4771</v>
      </c>
      <c r="Q7" s="1">
        <v>0</v>
      </c>
      <c r="R7" s="1">
        <v>4450</v>
      </c>
      <c r="S7" s="3">
        <f>(Service!N7+R7)/(Service!L7+Service!P7-Service!M7-Q7)</f>
        <v>1.0936001096340962</v>
      </c>
      <c r="T7" t="s">
        <v>21</v>
      </c>
    </row>
    <row r="8" spans="1:21" x14ac:dyDescent="0.35">
      <c r="A8">
        <v>2016</v>
      </c>
      <c r="B8" s="1">
        <v>8831</v>
      </c>
      <c r="C8">
        <v>437</v>
      </c>
      <c r="D8" s="2">
        <f t="shared" si="0"/>
        <v>4.9484769561771037E-2</v>
      </c>
      <c r="E8">
        <v>187</v>
      </c>
      <c r="F8" s="2">
        <f>E8/B8</f>
        <v>2.117540482391575E-2</v>
      </c>
      <c r="G8" s="1">
        <v>-1474</v>
      </c>
      <c r="H8">
        <v>108</v>
      </c>
      <c r="I8" s="1">
        <f t="shared" si="1"/>
        <v>-1582</v>
      </c>
      <c r="J8" s="2">
        <f t="shared" si="2"/>
        <v>-0.17914166006114823</v>
      </c>
      <c r="K8" s="2">
        <f>I8/ABS(I7)</f>
        <v>-1.8833333333333333</v>
      </c>
      <c r="L8" s="1">
        <v>5720</v>
      </c>
      <c r="M8" s="1">
        <v>3726</v>
      </c>
      <c r="N8" s="1">
        <v>4587</v>
      </c>
      <c r="O8" s="3">
        <f>(L8-M8)/N8</f>
        <v>0.43470678003052104</v>
      </c>
      <c r="P8" s="1">
        <v>7866</v>
      </c>
      <c r="Q8" s="1">
        <v>0</v>
      </c>
      <c r="R8" s="1">
        <v>6320</v>
      </c>
      <c r="S8" s="3">
        <f>(Service!N8+R8)/(Service!L8+Service!P8-Service!M8-Q8)</f>
        <v>1.1061866125760649</v>
      </c>
      <c r="T8" t="s">
        <v>21</v>
      </c>
    </row>
    <row r="9" spans="1:21" x14ac:dyDescent="0.35">
      <c r="A9">
        <v>2017</v>
      </c>
      <c r="B9" s="1">
        <v>11693</v>
      </c>
      <c r="C9">
        <v>911</v>
      </c>
      <c r="D9" s="2">
        <f t="shared" si="0"/>
        <v>7.790986060035919E-2</v>
      </c>
      <c r="E9">
        <v>559</v>
      </c>
      <c r="F9" s="2">
        <f>E9/B9</f>
        <v>4.7806379885401519E-2</v>
      </c>
      <c r="G9" s="1">
        <v>-1786</v>
      </c>
      <c r="H9">
        <v>173</v>
      </c>
      <c r="I9" s="1">
        <f t="shared" si="1"/>
        <v>-1959</v>
      </c>
      <c r="J9" s="2">
        <f t="shared" si="2"/>
        <v>-0.16753613272898316</v>
      </c>
      <c r="K9" s="2">
        <f>I9/ABS(I7)</f>
        <v>-2.3321428571428573</v>
      </c>
      <c r="L9" s="1">
        <v>7670</v>
      </c>
      <c r="M9" s="1">
        <v>4311</v>
      </c>
      <c r="N9" s="1">
        <v>5466</v>
      </c>
      <c r="O9" s="3">
        <f>(L9-M9)/N9</f>
        <v>0.61452616172703989</v>
      </c>
      <c r="P9" s="1">
        <v>11343</v>
      </c>
      <c r="Q9" s="1">
        <v>0</v>
      </c>
      <c r="R9" s="1">
        <v>9964</v>
      </c>
      <c r="S9" s="3">
        <f>(Service!N9+R9)/(Service!L9+Service!P9-Service!M9-Q9)</f>
        <v>1.0495170725071419</v>
      </c>
      <c r="T9" t="s">
        <v>21</v>
      </c>
    </row>
    <row r="10" spans="1:21" x14ac:dyDescent="0.35">
      <c r="A10">
        <v>2018</v>
      </c>
      <c r="B10" s="1">
        <v>15794</v>
      </c>
      <c r="C10" s="1">
        <v>1688</v>
      </c>
      <c r="D10" s="2">
        <f t="shared" si="0"/>
        <v>0.10687602887172344</v>
      </c>
      <c r="E10" s="1">
        <v>1211</v>
      </c>
      <c r="F10" s="2">
        <f>E10/B10</f>
        <v>7.6674686589844249E-2</v>
      </c>
      <c r="G10" s="1">
        <v>-2680</v>
      </c>
      <c r="H10">
        <v>174</v>
      </c>
      <c r="I10" s="1">
        <f t="shared" si="1"/>
        <v>-2854</v>
      </c>
      <c r="J10" s="2">
        <f t="shared" si="2"/>
        <v>-0.18070153222742813</v>
      </c>
      <c r="K10" s="2">
        <f>I10/ABS(I7)</f>
        <v>-3.3976190476190475</v>
      </c>
      <c r="L10" s="1">
        <v>9694</v>
      </c>
      <c r="M10" s="1">
        <v>5151</v>
      </c>
      <c r="N10" s="1">
        <v>6487</v>
      </c>
      <c r="O10" s="3">
        <f>(L10-M10)/N10</f>
        <v>0.70032372437182056</v>
      </c>
      <c r="P10" s="1">
        <v>16280</v>
      </c>
      <c r="Q10" s="1">
        <v>0</v>
      </c>
      <c r="R10" s="1">
        <v>14248</v>
      </c>
      <c r="S10" s="3">
        <f>(Service!N10+R10)/(Service!L10+Service!P10-Service!M10-Q10)</f>
        <v>0.9957739038563127</v>
      </c>
      <c r="T10" t="s">
        <v>21</v>
      </c>
    </row>
    <row r="11" spans="1:21" x14ac:dyDescent="0.35">
      <c r="A11">
        <v>2019</v>
      </c>
      <c r="B11" s="1">
        <v>20156</v>
      </c>
      <c r="C11" s="1">
        <v>2708</v>
      </c>
      <c r="D11" s="2">
        <f t="shared" si="0"/>
        <v>0.13435205397896408</v>
      </c>
      <c r="E11" s="1">
        <v>1867</v>
      </c>
      <c r="F11" s="2">
        <f>E11/B11</f>
        <v>9.2627505457432036E-2</v>
      </c>
      <c r="G11" s="1">
        <v>-2887</v>
      </c>
      <c r="H11">
        <v>253</v>
      </c>
      <c r="I11" s="1">
        <f t="shared" si="1"/>
        <v>-3140</v>
      </c>
      <c r="J11" s="2">
        <f t="shared" si="2"/>
        <v>-0.1557848779519746</v>
      </c>
      <c r="K11" s="2">
        <f>I11/ABS(I7)</f>
        <v>-3.7380952380952381</v>
      </c>
      <c r="L11" s="1">
        <v>6179</v>
      </c>
      <c r="M11">
        <v>0</v>
      </c>
      <c r="N11" s="1">
        <v>6856</v>
      </c>
      <c r="O11" s="3">
        <f>(L11-M11)/N11</f>
        <v>0.90125437572928824</v>
      </c>
      <c r="P11" s="1">
        <v>27797</v>
      </c>
      <c r="Q11" s="1">
        <v>0</v>
      </c>
      <c r="R11" s="1">
        <v>19538</v>
      </c>
      <c r="S11" s="3">
        <f>(Service!N11+R11)/(Service!L11+Service!P11-Service!M11-Q11)</f>
        <v>0.77684247704261833</v>
      </c>
      <c r="T11" t="s">
        <v>21</v>
      </c>
    </row>
    <row r="12" spans="1:21" x14ac:dyDescent="0.35">
      <c r="A12">
        <v>2015</v>
      </c>
      <c r="B12" s="1">
        <v>4192</v>
      </c>
      <c r="C12" s="1">
        <v>1088</v>
      </c>
      <c r="D12" s="2">
        <f t="shared" si="0"/>
        <v>0.25954198473282442</v>
      </c>
      <c r="E12">
        <v>365</v>
      </c>
      <c r="F12" s="2">
        <f t="shared" ref="F12:F16" si="5">E12/B12</f>
        <v>8.7070610687022904E-2</v>
      </c>
      <c r="G12" s="1">
        <v>1504</v>
      </c>
      <c r="H12">
        <v>261</v>
      </c>
      <c r="I12" s="1">
        <f t="shared" si="1"/>
        <v>1243</v>
      </c>
      <c r="J12" s="2">
        <f t="shared" si="2"/>
        <v>0.29651717557251911</v>
      </c>
      <c r="K12" s="2">
        <f>I12/I12</f>
        <v>1</v>
      </c>
      <c r="L12" s="1">
        <v>2560</v>
      </c>
      <c r="M12">
        <v>0</v>
      </c>
      <c r="N12" s="1">
        <v>1744</v>
      </c>
      <c r="O12" s="3">
        <f t="shared" ref="O12:O16" si="6">(L12-M12)/N12</f>
        <v>1.4678899082568808</v>
      </c>
      <c r="P12" s="1">
        <v>2408</v>
      </c>
      <c r="Q12" s="1">
        <v>1353</v>
      </c>
      <c r="R12">
        <v>892</v>
      </c>
      <c r="S12" s="3">
        <f>(Service!N12+R12)/(Service!L12+Service!P12-Service!M12-Q12)</f>
        <v>0.7291839557399723</v>
      </c>
      <c r="T12" t="s">
        <v>87</v>
      </c>
    </row>
    <row r="13" spans="1:21" x14ac:dyDescent="0.35">
      <c r="A13">
        <v>2016</v>
      </c>
      <c r="B13" s="1">
        <v>4694</v>
      </c>
      <c r="C13" s="1">
        <v>1480</v>
      </c>
      <c r="D13" s="2">
        <f t="shared" si="0"/>
        <v>0.31529612270984236</v>
      </c>
      <c r="E13">
        <v>979</v>
      </c>
      <c r="F13" s="2">
        <f t="shared" si="5"/>
        <v>0.20856412441414571</v>
      </c>
      <c r="G13" s="1">
        <v>1401</v>
      </c>
      <c r="H13">
        <v>522</v>
      </c>
      <c r="I13" s="1">
        <f t="shared" si="1"/>
        <v>879</v>
      </c>
      <c r="J13" s="2">
        <f t="shared" si="2"/>
        <v>0.18726033233915637</v>
      </c>
      <c r="K13" s="2">
        <f>I13/I12</f>
        <v>0.7071600965406275</v>
      </c>
      <c r="L13" s="1">
        <v>1614</v>
      </c>
      <c r="M13">
        <v>0</v>
      </c>
      <c r="N13" s="1">
        <v>2251</v>
      </c>
      <c r="O13" s="3">
        <f t="shared" si="6"/>
        <v>0.71701466015104398</v>
      </c>
      <c r="P13" s="1">
        <v>2636</v>
      </c>
      <c r="Q13" s="1">
        <v>1326</v>
      </c>
      <c r="R13">
        <v>838</v>
      </c>
      <c r="S13" s="3">
        <f>(Service!N13+R13)/(Service!L13+Service!P13-Service!M13-Q13)</f>
        <v>1.0564295485636115</v>
      </c>
      <c r="T13" t="s">
        <v>87</v>
      </c>
    </row>
    <row r="14" spans="1:21" x14ac:dyDescent="0.35">
      <c r="A14">
        <v>2017</v>
      </c>
      <c r="B14" s="1">
        <v>5177</v>
      </c>
      <c r="C14" s="1">
        <v>1631</v>
      </c>
      <c r="D14" s="2">
        <f t="shared" si="0"/>
        <v>0.31504732470542784</v>
      </c>
      <c r="E14">
        <v>971</v>
      </c>
      <c r="F14" s="2">
        <f t="shared" si="5"/>
        <v>0.18756036314467839</v>
      </c>
      <c r="G14" s="1">
        <v>1599</v>
      </c>
      <c r="H14" s="1">
        <v>230</v>
      </c>
      <c r="I14" s="1">
        <f t="shared" si="1"/>
        <v>1369</v>
      </c>
      <c r="J14" s="2">
        <f t="shared" si="2"/>
        <v>0.26443886420706975</v>
      </c>
      <c r="K14" s="2">
        <f>I14/I12</f>
        <v>1.1013676588897827</v>
      </c>
      <c r="L14" s="1">
        <v>1415</v>
      </c>
      <c r="M14">
        <v>0</v>
      </c>
      <c r="N14" s="1">
        <v>1944</v>
      </c>
      <c r="O14" s="3">
        <f t="shared" si="6"/>
        <v>0.72788065843621397</v>
      </c>
      <c r="P14" s="1">
        <v>2653</v>
      </c>
      <c r="Q14" s="1">
        <v>1317</v>
      </c>
      <c r="R14">
        <v>770</v>
      </c>
      <c r="S14" s="3">
        <f>(Service!N14+R14)/(Service!L14+Service!P14-Service!M14-Q14)</f>
        <v>0.98655034532897123</v>
      </c>
      <c r="T14" s="1" t="s">
        <v>87</v>
      </c>
      <c r="U14" s="1"/>
    </row>
    <row r="15" spans="1:21" x14ac:dyDescent="0.35">
      <c r="A15">
        <v>2018</v>
      </c>
      <c r="B15" s="1">
        <v>5964</v>
      </c>
      <c r="C15" s="1">
        <v>1831</v>
      </c>
      <c r="D15" s="2">
        <f t="shared" si="0"/>
        <v>0.30700871898054999</v>
      </c>
      <c r="E15" s="1">
        <v>1211</v>
      </c>
      <c r="F15" s="2">
        <f t="shared" si="5"/>
        <v>0.20305164319248825</v>
      </c>
      <c r="G15" s="1">
        <v>2112</v>
      </c>
      <c r="H15" s="1">
        <v>124</v>
      </c>
      <c r="I15" s="1">
        <f t="shared" si="1"/>
        <v>1988</v>
      </c>
      <c r="J15" s="2">
        <f t="shared" si="2"/>
        <v>0.33333333333333331</v>
      </c>
      <c r="K15" s="2">
        <f>I15/I12</f>
        <v>1.5993563958165729</v>
      </c>
      <c r="L15" s="1">
        <v>2404</v>
      </c>
      <c r="M15">
        <v>0</v>
      </c>
      <c r="N15" s="1">
        <v>2116</v>
      </c>
      <c r="O15" s="3">
        <f t="shared" si="6"/>
        <v>1.1361058601134215</v>
      </c>
      <c r="P15" s="1">
        <v>2774</v>
      </c>
      <c r="Q15" s="1">
        <v>1672</v>
      </c>
      <c r="R15">
        <v>708</v>
      </c>
      <c r="S15" s="3">
        <f>(Service!N15+R15)/(Service!L15+Service!P15-Service!M15-Q15)</f>
        <v>0.80547632629777521</v>
      </c>
      <c r="T15" t="s">
        <v>87</v>
      </c>
    </row>
    <row r="16" spans="1:21" x14ac:dyDescent="0.35">
      <c r="A16">
        <v>2019</v>
      </c>
      <c r="B16" s="1">
        <v>6784</v>
      </c>
      <c r="C16" s="1">
        <v>2080</v>
      </c>
      <c r="D16" s="2">
        <f t="shared" si="0"/>
        <v>0.30660377358490565</v>
      </c>
      <c r="E16" s="1">
        <v>1557</v>
      </c>
      <c r="F16" s="2">
        <f t="shared" si="5"/>
        <v>0.22951061320754718</v>
      </c>
      <c r="G16" s="1">
        <v>2324</v>
      </c>
      <c r="H16" s="1">
        <v>155</v>
      </c>
      <c r="I16" s="1">
        <f t="shared" si="1"/>
        <v>2169</v>
      </c>
      <c r="J16" s="2">
        <f t="shared" si="2"/>
        <v>0.31972287735849059</v>
      </c>
      <c r="K16" s="2">
        <f>I16/I12</f>
        <v>1.7449718423169751</v>
      </c>
      <c r="L16" s="1">
        <v>3594</v>
      </c>
      <c r="M16">
        <v>0</v>
      </c>
      <c r="N16" s="1">
        <v>1966</v>
      </c>
      <c r="O16" s="3">
        <f t="shared" si="6"/>
        <v>1.8280773143438453</v>
      </c>
      <c r="P16" s="1">
        <v>2689</v>
      </c>
      <c r="Q16" s="1">
        <v>1709</v>
      </c>
      <c r="R16">
        <v>568</v>
      </c>
      <c r="S16" s="3">
        <f>(Service!N16+R16)/(Service!L16+Service!P16-Service!M16-Q16)</f>
        <v>0.55400087450808921</v>
      </c>
      <c r="T16" t="s">
        <v>87</v>
      </c>
    </row>
    <row r="17" spans="1:20" x14ac:dyDescent="0.35">
      <c r="A17">
        <v>2015</v>
      </c>
      <c r="B17" s="1">
        <v>146801</v>
      </c>
      <c r="C17" s="1">
        <v>47845</v>
      </c>
      <c r="D17" s="2">
        <f t="shared" ref="D17:D36" si="7">C17/B17</f>
        <v>0.32591739838284478</v>
      </c>
      <c r="E17" s="1">
        <v>13345</v>
      </c>
      <c r="F17" s="2">
        <f t="shared" ref="F17:F36" si="8">E17/B17</f>
        <v>9.0905375303982947E-2</v>
      </c>
      <c r="G17" s="1">
        <v>35880</v>
      </c>
      <c r="H17" s="1">
        <v>20015</v>
      </c>
      <c r="I17" s="1">
        <f t="shared" ref="I17:I36" si="9">G17-H17</f>
        <v>15865</v>
      </c>
      <c r="J17" s="2">
        <f t="shared" ref="J17:J36" si="10">I17/B17</f>
        <v>0.10807147090278676</v>
      </c>
      <c r="K17" s="2">
        <f>I17/I17</f>
        <v>1</v>
      </c>
      <c r="L17" s="1">
        <v>35992</v>
      </c>
      <c r="M17" s="1">
        <v>4033</v>
      </c>
      <c r="N17" s="1">
        <v>47816</v>
      </c>
      <c r="O17" s="3">
        <f t="shared" ref="O17:O36" si="11">L17/N17</f>
        <v>0.75271875522837539</v>
      </c>
      <c r="P17" s="1">
        <v>366680</v>
      </c>
      <c r="Q17" s="1">
        <v>225278</v>
      </c>
      <c r="R17" s="1">
        <v>231216</v>
      </c>
      <c r="S17" s="3">
        <f t="shared" ref="S17:S36" si="12">(N17+R17)/(L17+P17-M17-Q17)</f>
        <v>1.6095430921602898</v>
      </c>
      <c r="T17" t="s">
        <v>64</v>
      </c>
    </row>
    <row r="18" spans="1:20" x14ac:dyDescent="0.35">
      <c r="A18">
        <v>2016</v>
      </c>
      <c r="B18" s="1">
        <v>163763</v>
      </c>
      <c r="C18" s="1">
        <v>50162</v>
      </c>
      <c r="D18" s="2">
        <f t="shared" si="7"/>
        <v>0.30630850680556659</v>
      </c>
      <c r="E18" s="1">
        <v>12976</v>
      </c>
      <c r="F18" s="2">
        <f t="shared" si="8"/>
        <v>7.923645756367434E-2</v>
      </c>
      <c r="G18" s="1">
        <v>39344</v>
      </c>
      <c r="H18" s="1">
        <v>22408</v>
      </c>
      <c r="I18" s="1">
        <f t="shared" si="9"/>
        <v>16936</v>
      </c>
      <c r="J18" s="2">
        <f t="shared" si="10"/>
        <v>0.10341774393483265</v>
      </c>
      <c r="K18" s="2">
        <f>I18/I17</f>
        <v>1.0675070910809958</v>
      </c>
      <c r="L18" s="1">
        <v>38369</v>
      </c>
      <c r="M18" s="1">
        <v>2039</v>
      </c>
      <c r="N18" s="1">
        <v>50576</v>
      </c>
      <c r="O18" s="3">
        <f t="shared" si="11"/>
        <v>0.75864046187915213</v>
      </c>
      <c r="P18" s="1">
        <v>365452</v>
      </c>
      <c r="Q18" s="1">
        <v>222067</v>
      </c>
      <c r="R18" s="1">
        <v>229135</v>
      </c>
      <c r="S18" s="3">
        <f t="shared" si="12"/>
        <v>1.5564143226775728</v>
      </c>
      <c r="T18" t="s">
        <v>64</v>
      </c>
    </row>
    <row r="19" spans="1:20" x14ac:dyDescent="0.35">
      <c r="A19">
        <v>2017</v>
      </c>
      <c r="B19" s="1">
        <v>160789</v>
      </c>
      <c r="C19" s="1">
        <v>49361</v>
      </c>
      <c r="D19" s="2">
        <f t="shared" si="7"/>
        <v>0.30699239375827947</v>
      </c>
      <c r="E19" s="1">
        <v>29450</v>
      </c>
      <c r="F19" s="2">
        <f t="shared" si="8"/>
        <v>0.18315929572296613</v>
      </c>
      <c r="G19" s="1">
        <v>39151</v>
      </c>
      <c r="H19" s="1">
        <v>21550</v>
      </c>
      <c r="I19" s="1">
        <f t="shared" si="9"/>
        <v>17601</v>
      </c>
      <c r="J19" s="2">
        <f t="shared" si="10"/>
        <v>0.10946644359999751</v>
      </c>
      <c r="K19" s="2">
        <f>I19/I17</f>
        <v>1.1094232587456665</v>
      </c>
      <c r="L19" s="1">
        <v>79146</v>
      </c>
      <c r="M19" s="1">
        <v>2225</v>
      </c>
      <c r="N19" s="1">
        <v>81389</v>
      </c>
      <c r="O19" s="3">
        <f t="shared" si="11"/>
        <v>0.97244099325461675</v>
      </c>
      <c r="P19" s="1">
        <v>364951</v>
      </c>
      <c r="Q19" s="1">
        <v>219725</v>
      </c>
      <c r="R19" s="1">
        <v>220701</v>
      </c>
      <c r="S19" s="3">
        <f t="shared" si="12"/>
        <v>1.3598653144089274</v>
      </c>
      <c r="T19" t="s">
        <v>64</v>
      </c>
    </row>
    <row r="20" spans="1:20" x14ac:dyDescent="0.35">
      <c r="A20">
        <v>2018</v>
      </c>
      <c r="B20" s="1">
        <v>170805</v>
      </c>
      <c r="C20" s="1">
        <v>56574</v>
      </c>
      <c r="D20" s="2">
        <f t="shared" si="7"/>
        <v>0.33121981206639151</v>
      </c>
      <c r="E20" s="1">
        <v>19370</v>
      </c>
      <c r="F20" s="2">
        <f t="shared" si="8"/>
        <v>0.11340417435086794</v>
      </c>
      <c r="G20" s="1">
        <v>43602</v>
      </c>
      <c r="H20" s="1">
        <v>21251</v>
      </c>
      <c r="I20" s="1">
        <f t="shared" si="9"/>
        <v>22351</v>
      </c>
      <c r="J20" s="2">
        <f t="shared" si="10"/>
        <v>0.13085682503439594</v>
      </c>
      <c r="K20" s="2">
        <f>I20/I17</f>
        <v>1.4088244563504571</v>
      </c>
      <c r="L20" s="1">
        <v>51427</v>
      </c>
      <c r="M20" s="1">
        <v>4015</v>
      </c>
      <c r="N20" s="1">
        <v>64420</v>
      </c>
      <c r="O20" s="3">
        <f t="shared" si="11"/>
        <v>0.79830797888854388</v>
      </c>
      <c r="P20" s="1">
        <v>480437</v>
      </c>
      <c r="Q20" s="1">
        <v>310197</v>
      </c>
      <c r="R20" s="1">
        <v>273560</v>
      </c>
      <c r="S20" s="3">
        <f t="shared" si="12"/>
        <v>1.5528458272839212</v>
      </c>
      <c r="T20" t="s">
        <v>64</v>
      </c>
    </row>
    <row r="21" spans="1:20" x14ac:dyDescent="0.35">
      <c r="A21">
        <v>2019</v>
      </c>
      <c r="B21" s="1">
        <v>181265</v>
      </c>
      <c r="C21" s="1">
        <v>59286</v>
      </c>
      <c r="D21" s="2">
        <f t="shared" si="7"/>
        <v>0.32706810470857584</v>
      </c>
      <c r="E21" s="1">
        <v>13900</v>
      </c>
      <c r="F21" s="2">
        <f t="shared" si="8"/>
        <v>7.6683308967533725E-2</v>
      </c>
      <c r="G21" s="1">
        <v>48668</v>
      </c>
      <c r="H21" s="1">
        <v>19635</v>
      </c>
      <c r="I21" s="1">
        <f t="shared" si="9"/>
        <v>29033</v>
      </c>
      <c r="J21" s="2">
        <f t="shared" si="10"/>
        <v>0.16016881361542493</v>
      </c>
      <c r="K21" s="2">
        <f t="shared" ref="K21" si="13">I21/I17</f>
        <v>1.8300031515915538</v>
      </c>
      <c r="L21" s="1">
        <v>54761</v>
      </c>
      <c r="M21" s="1">
        <v>4475</v>
      </c>
      <c r="N21" s="1">
        <v>68911</v>
      </c>
      <c r="O21" s="3">
        <f t="shared" si="11"/>
        <v>0.79466268084921132</v>
      </c>
      <c r="P21" s="1">
        <v>496908</v>
      </c>
      <c r="Q21" s="1">
        <v>303858</v>
      </c>
      <c r="R21" s="1">
        <v>280824</v>
      </c>
      <c r="S21" s="3">
        <f t="shared" si="12"/>
        <v>1.4372513725876976</v>
      </c>
      <c r="T21" t="s">
        <v>64</v>
      </c>
    </row>
    <row r="22" spans="1:20" x14ac:dyDescent="0.35">
      <c r="A22">
        <v>2015</v>
      </c>
      <c r="B22" s="1">
        <v>131620</v>
      </c>
      <c r="C22" s="1">
        <v>49077</v>
      </c>
      <c r="D22" s="2">
        <f t="shared" si="7"/>
        <v>0.37286886491414678</v>
      </c>
      <c r="E22" s="1">
        <v>17879</v>
      </c>
      <c r="F22" s="2">
        <f t="shared" si="8"/>
        <v>0.13583801853821609</v>
      </c>
      <c r="G22" s="1">
        <v>38930</v>
      </c>
      <c r="H22" s="1">
        <v>17775</v>
      </c>
      <c r="I22" s="1">
        <f t="shared" si="9"/>
        <v>21155</v>
      </c>
      <c r="J22" s="2">
        <f t="shared" si="10"/>
        <v>0.16072785290989211</v>
      </c>
      <c r="K22" s="2">
        <f>I22/I22</f>
        <v>1</v>
      </c>
      <c r="L22" s="1">
        <v>22280</v>
      </c>
      <c r="M22" s="1">
        <v>1252</v>
      </c>
      <c r="N22" s="1">
        <v>35052</v>
      </c>
      <c r="O22" s="3">
        <f t="shared" si="11"/>
        <v>0.63562706835558602</v>
      </c>
      <c r="P22" s="1">
        <v>222360</v>
      </c>
      <c r="Q22" s="1">
        <v>120244</v>
      </c>
      <c r="R22" s="1">
        <v>191746</v>
      </c>
      <c r="S22" s="3">
        <f t="shared" si="12"/>
        <v>1.8417300071461054</v>
      </c>
      <c r="T22" t="s">
        <v>65</v>
      </c>
    </row>
    <row r="23" spans="1:20" x14ac:dyDescent="0.35">
      <c r="A23">
        <v>2016</v>
      </c>
      <c r="B23" s="1">
        <v>125980</v>
      </c>
      <c r="C23" s="1">
        <v>41980</v>
      </c>
      <c r="D23" s="2">
        <f t="shared" si="7"/>
        <v>0.33322749642800442</v>
      </c>
      <c r="E23" s="1">
        <v>13127</v>
      </c>
      <c r="F23" s="2">
        <f t="shared" si="8"/>
        <v>0.10419907921892364</v>
      </c>
      <c r="G23" s="1">
        <v>22715</v>
      </c>
      <c r="H23" s="1">
        <v>17059</v>
      </c>
      <c r="I23" s="1">
        <f t="shared" si="9"/>
        <v>5656</v>
      </c>
      <c r="J23" s="2">
        <f t="shared" si="10"/>
        <v>4.489601524051437E-2</v>
      </c>
      <c r="K23" s="2">
        <f>I23/I22</f>
        <v>0.26735996218388086</v>
      </c>
      <c r="L23" s="1">
        <v>26395</v>
      </c>
      <c r="M23" s="1">
        <v>1202</v>
      </c>
      <c r="N23" s="1">
        <v>30340</v>
      </c>
      <c r="O23" s="3">
        <f t="shared" si="11"/>
        <v>0.86997363216875412</v>
      </c>
      <c r="P23" s="1">
        <v>217785</v>
      </c>
      <c r="Q23" s="1">
        <v>122775</v>
      </c>
      <c r="R23" s="1">
        <v>189808</v>
      </c>
      <c r="S23" s="3">
        <f t="shared" si="12"/>
        <v>1.8314684325682387</v>
      </c>
      <c r="T23" t="s">
        <v>65</v>
      </c>
    </row>
    <row r="24" spans="1:20" x14ac:dyDescent="0.35">
      <c r="A24">
        <v>2017</v>
      </c>
      <c r="B24" s="1">
        <v>126034</v>
      </c>
      <c r="C24" s="1">
        <v>43936</v>
      </c>
      <c r="D24" s="2">
        <f t="shared" si="7"/>
        <v>0.34860434485932368</v>
      </c>
      <c r="E24" s="1">
        <v>30101</v>
      </c>
      <c r="F24" s="2">
        <f t="shared" si="8"/>
        <v>0.23883237856451434</v>
      </c>
      <c r="G24" s="1">
        <v>25305</v>
      </c>
      <c r="H24" s="1">
        <v>17247</v>
      </c>
      <c r="I24" s="1">
        <f t="shared" si="9"/>
        <v>8058</v>
      </c>
      <c r="J24" s="2">
        <f t="shared" si="10"/>
        <v>6.3935128616087716E-2</v>
      </c>
      <c r="K24" s="2">
        <f>I24/I22</f>
        <v>0.38090285984400851</v>
      </c>
      <c r="L24" s="1">
        <v>29913</v>
      </c>
      <c r="M24" s="1">
        <v>1034</v>
      </c>
      <c r="N24" s="1">
        <v>33037</v>
      </c>
      <c r="O24" s="3">
        <f t="shared" si="11"/>
        <v>0.90543935587371738</v>
      </c>
      <c r="P24" s="1">
        <v>227230</v>
      </c>
      <c r="Q24" s="1">
        <v>127836</v>
      </c>
      <c r="R24" s="1">
        <v>179419</v>
      </c>
      <c r="S24" s="3">
        <f t="shared" si="12"/>
        <v>1.6562799653863245</v>
      </c>
      <c r="T24" t="s">
        <v>65</v>
      </c>
    </row>
    <row r="25" spans="1:20" x14ac:dyDescent="0.35">
      <c r="A25">
        <v>2018</v>
      </c>
      <c r="B25" s="1">
        <v>130863</v>
      </c>
      <c r="C25" s="1">
        <v>47171</v>
      </c>
      <c r="D25" s="2">
        <f t="shared" si="7"/>
        <v>0.36046094006709306</v>
      </c>
      <c r="E25" s="1">
        <v>15528</v>
      </c>
      <c r="F25" s="2">
        <f t="shared" si="8"/>
        <v>0.11865844432727356</v>
      </c>
      <c r="G25" s="1">
        <v>34339</v>
      </c>
      <c r="H25" s="1">
        <v>16658</v>
      </c>
      <c r="I25" s="1">
        <f t="shared" si="9"/>
        <v>17681</v>
      </c>
      <c r="J25" s="2">
        <f t="shared" si="10"/>
        <v>0.13511076469284672</v>
      </c>
      <c r="K25" s="2">
        <f>I25/I22</f>
        <v>0.83578350271803359</v>
      </c>
      <c r="L25" s="1">
        <v>34636</v>
      </c>
      <c r="M25" s="1">
        <v>1336</v>
      </c>
      <c r="N25" s="1">
        <v>37930</v>
      </c>
      <c r="O25" s="3">
        <f t="shared" si="11"/>
        <v>0.91315581334036378</v>
      </c>
      <c r="P25" s="1">
        <v>230193</v>
      </c>
      <c r="Q25" s="1">
        <v>128519</v>
      </c>
      <c r="R25" s="1">
        <v>172189</v>
      </c>
      <c r="S25" s="3">
        <f t="shared" si="12"/>
        <v>1.5567368530235453</v>
      </c>
      <c r="T25" t="s">
        <v>65</v>
      </c>
    </row>
    <row r="26" spans="1:20" x14ac:dyDescent="0.35">
      <c r="A26">
        <v>2019</v>
      </c>
      <c r="B26" s="1">
        <v>131868</v>
      </c>
      <c r="C26" s="1">
        <v>46985</v>
      </c>
      <c r="D26" s="2">
        <f t="shared" si="7"/>
        <v>0.35630327296993963</v>
      </c>
      <c r="E26" s="1">
        <v>19265</v>
      </c>
      <c r="F26" s="2">
        <f t="shared" si="8"/>
        <v>0.14609306275972941</v>
      </c>
      <c r="G26" s="1">
        <v>35746</v>
      </c>
      <c r="H26" s="1">
        <v>17939</v>
      </c>
      <c r="I26" s="1">
        <f t="shared" si="9"/>
        <v>17807</v>
      </c>
      <c r="J26" s="2">
        <f t="shared" si="10"/>
        <v>0.13503655170321838</v>
      </c>
      <c r="K26" s="2">
        <f t="shared" ref="K26" si="14">I26/I22</f>
        <v>0.84173954147955565</v>
      </c>
      <c r="L26" s="1">
        <v>37473</v>
      </c>
      <c r="M26" s="1">
        <v>1422</v>
      </c>
      <c r="N26" s="1">
        <v>44868</v>
      </c>
      <c r="O26" s="3">
        <f t="shared" si="11"/>
        <v>0.83518320406525814</v>
      </c>
      <c r="P26" s="1">
        <v>254254</v>
      </c>
      <c r="Q26" s="1">
        <v>128946</v>
      </c>
      <c r="R26" s="1">
        <v>184024</v>
      </c>
      <c r="S26" s="3">
        <f t="shared" si="12"/>
        <v>1.4185263914625152</v>
      </c>
      <c r="T26" t="s">
        <v>65</v>
      </c>
    </row>
    <row r="27" spans="1:20" x14ac:dyDescent="0.35">
      <c r="A27">
        <v>2015</v>
      </c>
      <c r="B27" s="1">
        <v>32053</v>
      </c>
      <c r="C27" s="1">
        <v>6966</v>
      </c>
      <c r="D27" s="2">
        <f t="shared" si="7"/>
        <v>0.21732755124325337</v>
      </c>
      <c r="E27">
        <v>678</v>
      </c>
      <c r="F27" s="2">
        <f t="shared" si="8"/>
        <v>2.1152466227810189E-2</v>
      </c>
      <c r="G27" s="1">
        <v>5414</v>
      </c>
      <c r="H27" s="1">
        <v>4724</v>
      </c>
      <c r="I27" s="1">
        <f t="shared" si="9"/>
        <v>690</v>
      </c>
      <c r="J27" s="2">
        <f t="shared" si="10"/>
        <v>2.1526846161045769E-2</v>
      </c>
      <c r="K27" s="2">
        <f>I27/I27</f>
        <v>1</v>
      </c>
      <c r="L27" s="1">
        <v>14890</v>
      </c>
      <c r="M27" s="1">
        <v>1295</v>
      </c>
      <c r="N27" s="1">
        <v>9528</v>
      </c>
      <c r="O27" s="3">
        <f t="shared" si="11"/>
        <v>1.5627623845507976</v>
      </c>
      <c r="P27" s="1">
        <v>47546</v>
      </c>
      <c r="Q27" s="1">
        <v>26232</v>
      </c>
      <c r="R27" s="1">
        <v>36351</v>
      </c>
      <c r="S27" s="3">
        <f t="shared" si="12"/>
        <v>1.3142456100146094</v>
      </c>
      <c r="T27" t="s">
        <v>66</v>
      </c>
    </row>
    <row r="28" spans="1:20" x14ac:dyDescent="0.35">
      <c r="A28">
        <v>2016</v>
      </c>
      <c r="B28" s="1">
        <v>37242</v>
      </c>
      <c r="C28" s="1">
        <v>9314</v>
      </c>
      <c r="D28" s="2">
        <f t="shared" si="7"/>
        <v>0.25009397991514959</v>
      </c>
      <c r="E28" s="1">
        <v>1405</v>
      </c>
      <c r="F28" s="2">
        <f t="shared" si="8"/>
        <v>3.7726223081467163E-2</v>
      </c>
      <c r="G28" s="1">
        <v>6135</v>
      </c>
      <c r="H28" s="1">
        <v>4702</v>
      </c>
      <c r="I28" s="1">
        <f t="shared" si="9"/>
        <v>1433</v>
      </c>
      <c r="J28" s="2">
        <f t="shared" si="10"/>
        <v>3.847806240266366E-2</v>
      </c>
      <c r="K28" s="2">
        <f>I28/I27</f>
        <v>2.0768115942028986</v>
      </c>
      <c r="L28" s="1">
        <v>14217</v>
      </c>
      <c r="M28" s="1">
        <v>1111</v>
      </c>
      <c r="N28" s="1">
        <v>9022</v>
      </c>
      <c r="O28" s="3">
        <f t="shared" si="11"/>
        <v>1.5758146752383064</v>
      </c>
      <c r="P28" s="1">
        <v>51674</v>
      </c>
      <c r="Q28" s="1">
        <v>29073</v>
      </c>
      <c r="R28" s="1">
        <v>38633</v>
      </c>
      <c r="S28" s="3">
        <f t="shared" si="12"/>
        <v>1.3346122609012239</v>
      </c>
      <c r="T28" t="s">
        <v>66</v>
      </c>
    </row>
    <row r="29" spans="1:20" x14ac:dyDescent="0.35">
      <c r="A29">
        <v>2017</v>
      </c>
      <c r="B29" s="1">
        <v>40660</v>
      </c>
      <c r="C29" s="1">
        <v>10838</v>
      </c>
      <c r="D29" s="2">
        <f t="shared" si="7"/>
        <v>0.26655189375307425</v>
      </c>
      <c r="E29" s="1">
        <v>4481</v>
      </c>
      <c r="F29" s="2">
        <f t="shared" si="8"/>
        <v>0.1102065912444663</v>
      </c>
      <c r="G29" s="1">
        <v>7962</v>
      </c>
      <c r="H29" s="1">
        <v>5237</v>
      </c>
      <c r="I29" s="1">
        <f t="shared" si="9"/>
        <v>2725</v>
      </c>
      <c r="J29" s="2">
        <f t="shared" si="10"/>
        <v>6.7019183472700444E-2</v>
      </c>
      <c r="K29" s="2">
        <f>I29/I27</f>
        <v>3.9492753623188408</v>
      </c>
      <c r="L29" s="1">
        <v>8915</v>
      </c>
      <c r="M29" s="1">
        <v>1566</v>
      </c>
      <c r="N29" s="1">
        <v>11515</v>
      </c>
      <c r="O29" s="3">
        <f t="shared" si="11"/>
        <v>0.77420755536257058</v>
      </c>
      <c r="P29" s="1">
        <v>61648</v>
      </c>
      <c r="Q29" s="1">
        <v>37266</v>
      </c>
      <c r="R29" s="1">
        <v>36489</v>
      </c>
      <c r="S29" s="3">
        <f t="shared" si="12"/>
        <v>1.5128423308436545</v>
      </c>
      <c r="T29" t="s">
        <v>66</v>
      </c>
    </row>
    <row r="30" spans="1:20" x14ac:dyDescent="0.35">
      <c r="A30">
        <v>2018</v>
      </c>
      <c r="B30" s="1">
        <v>43239</v>
      </c>
      <c r="C30" s="1">
        <v>11833</v>
      </c>
      <c r="D30" s="2">
        <f t="shared" si="7"/>
        <v>0.27366497837600312</v>
      </c>
      <c r="E30" s="1">
        <v>2888</v>
      </c>
      <c r="F30" s="2">
        <f t="shared" si="8"/>
        <v>6.6791553921228514E-2</v>
      </c>
      <c r="G30" s="1">
        <v>3899</v>
      </c>
      <c r="H30" s="1">
        <v>5541</v>
      </c>
      <c r="I30" s="1">
        <f t="shared" si="9"/>
        <v>-1642</v>
      </c>
      <c r="J30" s="2">
        <f t="shared" si="10"/>
        <v>-3.79749762945489E-2</v>
      </c>
      <c r="K30" s="2">
        <f>I30/I27</f>
        <v>-2.3797101449275364</v>
      </c>
      <c r="L30" s="1">
        <v>8281</v>
      </c>
      <c r="M30" s="1">
        <v>1084</v>
      </c>
      <c r="N30" s="1">
        <v>10267</v>
      </c>
      <c r="O30" s="3">
        <f t="shared" si="11"/>
        <v>0.80656472192461282</v>
      </c>
      <c r="P30" s="1">
        <v>64187</v>
      </c>
      <c r="Q30" s="1">
        <v>37658</v>
      </c>
      <c r="R30" s="1">
        <v>37483</v>
      </c>
      <c r="S30" s="3">
        <f t="shared" si="12"/>
        <v>1.4158216213010733</v>
      </c>
      <c r="T30" t="s">
        <v>66</v>
      </c>
    </row>
    <row r="31" spans="1:20" x14ac:dyDescent="0.35">
      <c r="A31">
        <v>2019</v>
      </c>
      <c r="B31" s="1">
        <v>44998</v>
      </c>
      <c r="C31" s="1">
        <v>12958</v>
      </c>
      <c r="D31" s="2">
        <f t="shared" si="7"/>
        <v>0.28796835414907329</v>
      </c>
      <c r="E31" s="1">
        <v>3468</v>
      </c>
      <c r="F31" s="2">
        <f t="shared" si="8"/>
        <v>7.7070092004089069E-2</v>
      </c>
      <c r="G31" s="1">
        <v>6824</v>
      </c>
      <c r="H31" s="1">
        <v>6391</v>
      </c>
      <c r="I31" s="1">
        <f t="shared" si="9"/>
        <v>433</v>
      </c>
      <c r="J31" s="2">
        <f t="shared" si="10"/>
        <v>9.6226498955509134E-3</v>
      </c>
      <c r="K31" s="2">
        <f t="shared" ref="K31" si="15">I31/I27</f>
        <v>0.62753623188405794</v>
      </c>
      <c r="L31" s="1">
        <v>9305</v>
      </c>
      <c r="M31">
        <v>964</v>
      </c>
      <c r="N31" s="1">
        <v>12506</v>
      </c>
      <c r="O31" s="3">
        <f t="shared" si="11"/>
        <v>0.74404285942747483</v>
      </c>
      <c r="P31" s="1">
        <v>77616</v>
      </c>
      <c r="Q31" s="1">
        <v>38510</v>
      </c>
      <c r="R31" s="1">
        <v>45626</v>
      </c>
      <c r="S31" s="3">
        <f t="shared" si="12"/>
        <v>1.2251986426960608</v>
      </c>
      <c r="T31" t="s">
        <v>66</v>
      </c>
    </row>
    <row r="32" spans="1:20" x14ac:dyDescent="0.35">
      <c r="A32">
        <v>2014</v>
      </c>
      <c r="B32" s="1">
        <v>1247</v>
      </c>
      <c r="C32">
        <v>201</v>
      </c>
      <c r="D32" s="2">
        <f t="shared" si="7"/>
        <v>0.161186848436247</v>
      </c>
      <c r="E32">
        <v>193</v>
      </c>
      <c r="F32" s="2">
        <f t="shared" si="8"/>
        <v>0.15477145148356056</v>
      </c>
      <c r="G32">
        <v>374</v>
      </c>
      <c r="H32">
        <v>55</v>
      </c>
      <c r="I32" s="1">
        <f t="shared" si="9"/>
        <v>319</v>
      </c>
      <c r="J32" s="2">
        <f t="shared" si="10"/>
        <v>0.2558139534883721</v>
      </c>
      <c r="K32" s="2">
        <f>I32/I32</f>
        <v>1</v>
      </c>
      <c r="L32" s="1">
        <v>1349</v>
      </c>
      <c r="M32">
        <v>24</v>
      </c>
      <c r="N32">
        <v>725</v>
      </c>
      <c r="O32" s="3">
        <f t="shared" si="11"/>
        <v>1.8606896551724137</v>
      </c>
      <c r="P32">
        <v>603</v>
      </c>
      <c r="Q32">
        <v>19</v>
      </c>
      <c r="R32">
        <v>2</v>
      </c>
      <c r="S32" s="3">
        <f t="shared" si="12"/>
        <v>0.38082765845992667</v>
      </c>
      <c r="T32" t="s">
        <v>102</v>
      </c>
    </row>
    <row r="33" spans="1:23" x14ac:dyDescent="0.35">
      <c r="A33">
        <v>2015</v>
      </c>
      <c r="B33" s="1">
        <v>1478</v>
      </c>
      <c r="C33">
        <v>244</v>
      </c>
      <c r="D33" s="2">
        <f t="shared" si="7"/>
        <v>0.16508795669824086</v>
      </c>
      <c r="E33" s="1">
        <v>225</v>
      </c>
      <c r="F33" s="2">
        <f t="shared" si="8"/>
        <v>0.15223274695534506</v>
      </c>
      <c r="G33">
        <v>518</v>
      </c>
      <c r="H33">
        <v>64</v>
      </c>
      <c r="I33" s="1">
        <f t="shared" si="9"/>
        <v>454</v>
      </c>
      <c r="J33" s="2">
        <f t="shared" si="10"/>
        <v>0.30717185385656293</v>
      </c>
      <c r="K33" s="2">
        <f>I33/I32</f>
        <v>1.4231974921630095</v>
      </c>
      <c r="L33" s="1">
        <v>1869</v>
      </c>
      <c r="M33">
        <v>27</v>
      </c>
      <c r="N33">
        <v>918</v>
      </c>
      <c r="O33" s="3">
        <f t="shared" si="11"/>
        <v>2.0359477124183005</v>
      </c>
      <c r="P33">
        <v>485</v>
      </c>
      <c r="Q33">
        <v>17</v>
      </c>
      <c r="R33">
        <v>2</v>
      </c>
      <c r="S33" s="3">
        <f t="shared" si="12"/>
        <v>0.39826839826839827</v>
      </c>
      <c r="T33" t="s">
        <v>102</v>
      </c>
    </row>
    <row r="34" spans="1:23" x14ac:dyDescent="0.35">
      <c r="A34">
        <v>2016</v>
      </c>
      <c r="B34" s="1">
        <v>1800</v>
      </c>
      <c r="C34">
        <v>318</v>
      </c>
      <c r="D34" s="2">
        <f t="shared" si="7"/>
        <v>0.17666666666666667</v>
      </c>
      <c r="E34" s="1">
        <v>274</v>
      </c>
      <c r="F34" s="2">
        <f t="shared" si="8"/>
        <v>0.15222222222222223</v>
      </c>
      <c r="G34">
        <v>618</v>
      </c>
      <c r="H34">
        <v>106</v>
      </c>
      <c r="I34" s="1">
        <f t="shared" si="9"/>
        <v>512</v>
      </c>
      <c r="J34" s="2">
        <f t="shared" si="10"/>
        <v>0.28444444444444444</v>
      </c>
      <c r="K34" s="2">
        <f>I34/I32</f>
        <v>1.6050156739811912</v>
      </c>
      <c r="L34" s="1">
        <v>2326</v>
      </c>
      <c r="M34">
        <v>32</v>
      </c>
      <c r="N34" s="1">
        <v>1203</v>
      </c>
      <c r="O34" s="3">
        <f t="shared" si="11"/>
        <v>1.9334995843724023</v>
      </c>
      <c r="P34">
        <v>599</v>
      </c>
      <c r="Q34" s="1">
        <v>22</v>
      </c>
      <c r="R34">
        <v>2</v>
      </c>
      <c r="S34" s="3">
        <f t="shared" si="12"/>
        <v>0.41971438523162663</v>
      </c>
      <c r="T34" t="s">
        <v>102</v>
      </c>
      <c r="V34" s="1"/>
    </row>
    <row r="35" spans="1:23" x14ac:dyDescent="0.35">
      <c r="A35">
        <v>2017</v>
      </c>
      <c r="B35" s="1">
        <v>2447</v>
      </c>
      <c r="C35">
        <v>342</v>
      </c>
      <c r="D35" s="2">
        <f t="shared" si="7"/>
        <v>0.13976297507151614</v>
      </c>
      <c r="E35" s="1">
        <v>296</v>
      </c>
      <c r="F35" s="2">
        <f t="shared" si="8"/>
        <v>0.12096444626072742</v>
      </c>
      <c r="G35">
        <v>781</v>
      </c>
      <c r="H35">
        <v>214</v>
      </c>
      <c r="I35" s="1">
        <f t="shared" si="9"/>
        <v>567</v>
      </c>
      <c r="J35" s="2">
        <f t="shared" si="10"/>
        <v>0.23171230077646096</v>
      </c>
      <c r="K35" s="2">
        <f>I35/I32</f>
        <v>1.7774294670846396</v>
      </c>
      <c r="L35" s="1">
        <v>2942</v>
      </c>
      <c r="M35">
        <v>40</v>
      </c>
      <c r="N35" s="1">
        <v>1751</v>
      </c>
      <c r="O35" s="3">
        <f t="shared" si="11"/>
        <v>1.6801827527127355</v>
      </c>
      <c r="P35" s="1">
        <v>1036</v>
      </c>
      <c r="Q35" s="1">
        <v>44</v>
      </c>
      <c r="R35" s="1">
        <v>12</v>
      </c>
      <c r="S35" s="3">
        <f t="shared" si="12"/>
        <v>0.45274781715459683</v>
      </c>
      <c r="T35" t="s">
        <v>102</v>
      </c>
      <c r="U35" s="1"/>
      <c r="V35" s="1"/>
      <c r="W35" s="1"/>
    </row>
    <row r="36" spans="1:23" x14ac:dyDescent="0.35">
      <c r="A36">
        <v>2018</v>
      </c>
      <c r="B36" s="1">
        <v>3096</v>
      </c>
      <c r="C36">
        <v>416</v>
      </c>
      <c r="D36" s="2">
        <f t="shared" si="7"/>
        <v>0.13436692506459949</v>
      </c>
      <c r="E36" s="1">
        <v>238</v>
      </c>
      <c r="F36" s="2">
        <f t="shared" si="8"/>
        <v>7.687338501291989E-2</v>
      </c>
      <c r="G36" s="1">
        <v>806</v>
      </c>
      <c r="H36">
        <v>269</v>
      </c>
      <c r="I36" s="1">
        <f t="shared" si="9"/>
        <v>537</v>
      </c>
      <c r="J36" s="2">
        <f t="shared" si="10"/>
        <v>0.17344961240310078</v>
      </c>
      <c r="K36" s="2">
        <f t="shared" ref="K36" si="16">I36/I32</f>
        <v>1.6833855799373041</v>
      </c>
      <c r="L36" s="1">
        <v>3466</v>
      </c>
      <c r="M36">
        <v>29</v>
      </c>
      <c r="N36" s="1">
        <v>2006</v>
      </c>
      <c r="O36" s="3">
        <f t="shared" si="11"/>
        <v>1.7278165503489531</v>
      </c>
      <c r="P36" s="1">
        <v>1180</v>
      </c>
      <c r="Q36" s="1">
        <v>100</v>
      </c>
      <c r="R36" s="1">
        <v>115</v>
      </c>
      <c r="S36" s="3">
        <f t="shared" si="12"/>
        <v>0.46955944210759354</v>
      </c>
      <c r="T36" t="s">
        <v>102</v>
      </c>
      <c r="V36" s="1"/>
    </row>
    <row r="37" spans="1:23" x14ac:dyDescent="0.35">
      <c r="A37">
        <v>2015</v>
      </c>
      <c r="B37" s="1">
        <v>5598</v>
      </c>
      <c r="C37" s="1">
        <v>1650</v>
      </c>
      <c r="D37" s="2">
        <f t="shared" ref="D37:D76" si="17">C37/B37</f>
        <v>0.29474812433011788</v>
      </c>
      <c r="E37">
        <v>848</v>
      </c>
      <c r="F37" s="2">
        <f t="shared" ref="F37:F76" si="18">E37/B37</f>
        <v>0.15148267238299393</v>
      </c>
      <c r="G37" s="1">
        <v>1584</v>
      </c>
      <c r="H37">
        <v>831</v>
      </c>
      <c r="I37" s="1">
        <f t="shared" ref="I37:I76" si="19">G37-H37</f>
        <v>753</v>
      </c>
      <c r="J37" s="2">
        <f t="shared" ref="J37:J76" si="20">I37/B37</f>
        <v>0.13451232583065381</v>
      </c>
      <c r="K37" s="2">
        <f>I37/I37</f>
        <v>1</v>
      </c>
      <c r="L37" s="1">
        <v>1663</v>
      </c>
      <c r="M37">
        <v>51</v>
      </c>
      <c r="N37" s="1">
        <v>1806</v>
      </c>
      <c r="O37" s="3">
        <f>L37/N37</f>
        <v>0.92081949058693247</v>
      </c>
      <c r="P37" s="1">
        <v>4870</v>
      </c>
      <c r="Q37">
        <v>0</v>
      </c>
      <c r="R37" s="1">
        <v>2316</v>
      </c>
      <c r="S37" s="3">
        <f t="shared" ref="S37:S76" si="21">(N37+R37)/(L37+P37-M37-Q37)</f>
        <v>0.63591484109842644</v>
      </c>
      <c r="T37" t="s">
        <v>36</v>
      </c>
    </row>
    <row r="38" spans="1:23" x14ac:dyDescent="0.35">
      <c r="A38">
        <v>2016</v>
      </c>
      <c r="B38" s="1">
        <v>5931</v>
      </c>
      <c r="C38" s="1">
        <v>1829</v>
      </c>
      <c r="D38" s="2">
        <f t="shared" si="17"/>
        <v>0.30837969988197605</v>
      </c>
      <c r="E38" s="1">
        <v>814</v>
      </c>
      <c r="F38" s="2">
        <f t="shared" si="18"/>
        <v>0.13724498398246501</v>
      </c>
      <c r="G38" s="1">
        <v>1386</v>
      </c>
      <c r="H38" s="1">
        <v>678</v>
      </c>
      <c r="I38" s="1">
        <f t="shared" si="19"/>
        <v>708</v>
      </c>
      <c r="J38" s="2">
        <f t="shared" si="20"/>
        <v>0.1193727870510875</v>
      </c>
      <c r="K38" s="2">
        <f>I38/I37</f>
        <v>0.94023904382470125</v>
      </c>
      <c r="L38" s="1">
        <v>2050</v>
      </c>
      <c r="M38">
        <v>47</v>
      </c>
      <c r="N38" s="1">
        <v>2535</v>
      </c>
      <c r="O38" s="3">
        <f>L38/N38</f>
        <v>0.80867850098619332</v>
      </c>
      <c r="P38" s="1">
        <v>7912</v>
      </c>
      <c r="Q38" s="1">
        <v>2077</v>
      </c>
      <c r="R38" s="1">
        <v>4496</v>
      </c>
      <c r="S38" s="3">
        <f t="shared" si="21"/>
        <v>0.89704006124011226</v>
      </c>
      <c r="T38" t="s">
        <v>36</v>
      </c>
    </row>
    <row r="39" spans="1:23" x14ac:dyDescent="0.35">
      <c r="A39">
        <v>2017</v>
      </c>
      <c r="B39" s="1">
        <v>7933</v>
      </c>
      <c r="C39" s="1">
        <v>1750</v>
      </c>
      <c r="D39" s="2">
        <f t="shared" si="17"/>
        <v>0.22059750409681078</v>
      </c>
      <c r="E39" s="1">
        <v>1034</v>
      </c>
      <c r="F39" s="2">
        <f t="shared" si="18"/>
        <v>0.13034161099205849</v>
      </c>
      <c r="G39" s="1">
        <v>1590</v>
      </c>
      <c r="H39" s="1">
        <v>1026</v>
      </c>
      <c r="I39" s="1">
        <f t="shared" si="19"/>
        <v>564</v>
      </c>
      <c r="J39" s="2">
        <f t="shared" si="20"/>
        <v>7.1095424177486446E-2</v>
      </c>
      <c r="K39" s="2">
        <f>I39/I37</f>
        <v>0.74900398406374502</v>
      </c>
      <c r="L39" s="1">
        <v>2146</v>
      </c>
      <c r="M39" s="1">
        <v>57</v>
      </c>
      <c r="N39" s="1">
        <v>2700</v>
      </c>
      <c r="O39" s="3">
        <f>L39/N39</f>
        <v>0.79481481481481486</v>
      </c>
      <c r="P39" s="1">
        <v>8594</v>
      </c>
      <c r="Q39" s="1">
        <v>2076</v>
      </c>
      <c r="R39" s="1">
        <v>4319</v>
      </c>
      <c r="S39" s="3">
        <f t="shared" si="21"/>
        <v>0.81549901243174161</v>
      </c>
      <c r="T39" t="s">
        <v>36</v>
      </c>
    </row>
    <row r="40" spans="1:23" x14ac:dyDescent="0.35">
      <c r="A40">
        <v>2018</v>
      </c>
      <c r="B40" s="1">
        <v>8264</v>
      </c>
      <c r="C40" s="1">
        <v>1173</v>
      </c>
      <c r="D40" s="2">
        <f t="shared" si="17"/>
        <v>0.14194094869312682</v>
      </c>
      <c r="E40" s="1">
        <v>437</v>
      </c>
      <c r="F40" s="2">
        <f t="shared" si="18"/>
        <v>5.2879961277831559E-2</v>
      </c>
      <c r="G40" s="1">
        <v>1195</v>
      </c>
      <c r="H40" s="1">
        <v>960</v>
      </c>
      <c r="I40" s="1">
        <f t="shared" si="19"/>
        <v>235</v>
      </c>
      <c r="J40" s="2">
        <f t="shared" si="20"/>
        <v>2.8436592449177154E-2</v>
      </c>
      <c r="K40" s="2">
        <f>I40/I37</f>
        <v>0.31208499335989376</v>
      </c>
      <c r="L40" s="1">
        <v>1787</v>
      </c>
      <c r="M40" s="1">
        <v>60</v>
      </c>
      <c r="N40" s="1">
        <v>2942</v>
      </c>
      <c r="O40" s="3">
        <f>L40/N40</f>
        <v>0.60740992522093817</v>
      </c>
      <c r="P40" s="1">
        <v>9125</v>
      </c>
      <c r="Q40" s="1">
        <v>2070</v>
      </c>
      <c r="R40" s="1">
        <v>4219</v>
      </c>
      <c r="S40" s="3">
        <f t="shared" si="21"/>
        <v>0.81541790025051242</v>
      </c>
      <c r="T40" t="s">
        <v>36</v>
      </c>
    </row>
    <row r="41" spans="1:23" x14ac:dyDescent="0.35">
      <c r="A41">
        <v>2019</v>
      </c>
      <c r="B41" s="1">
        <v>8781</v>
      </c>
      <c r="C41" s="1">
        <v>1530</v>
      </c>
      <c r="D41" s="2">
        <f t="shared" si="17"/>
        <v>0.17423983600956611</v>
      </c>
      <c r="E41" s="1">
        <v>769</v>
      </c>
      <c r="F41" s="2">
        <f t="shared" si="18"/>
        <v>8.7575446987814595E-2</v>
      </c>
      <c r="G41" s="1">
        <v>1722</v>
      </c>
      <c r="H41" s="1">
        <v>696</v>
      </c>
      <c r="I41" s="1">
        <f t="shared" si="19"/>
        <v>1026</v>
      </c>
      <c r="J41" s="2">
        <f t="shared" si="20"/>
        <v>0.11684318414759139</v>
      </c>
      <c r="K41" s="2">
        <f t="shared" ref="K41" si="22">I41/I37</f>
        <v>1.3625498007968126</v>
      </c>
      <c r="L41" s="1">
        <v>2037</v>
      </c>
      <c r="M41" s="1">
        <v>72</v>
      </c>
      <c r="N41" s="1">
        <v>3201</v>
      </c>
      <c r="O41" s="3">
        <f>L41/N41</f>
        <v>0.63636363636363635</v>
      </c>
      <c r="P41" s="1">
        <v>10956</v>
      </c>
      <c r="Q41" s="1">
        <v>2065</v>
      </c>
      <c r="R41" s="1">
        <v>5461</v>
      </c>
      <c r="S41" s="3">
        <f t="shared" si="21"/>
        <v>0.79789977892409725</v>
      </c>
      <c r="T41" t="s">
        <v>36</v>
      </c>
    </row>
    <row r="42" spans="1:23" x14ac:dyDescent="0.35">
      <c r="A42">
        <v>2015</v>
      </c>
      <c r="B42" s="1">
        <v>37864</v>
      </c>
      <c r="C42" s="1">
        <v>7311</v>
      </c>
      <c r="D42" s="2">
        <f t="shared" si="17"/>
        <v>0.19308578068878091</v>
      </c>
      <c r="E42" s="1">
        <v>7340</v>
      </c>
      <c r="F42" s="2">
        <f t="shared" si="18"/>
        <v>0.19385167969575323</v>
      </c>
      <c r="G42" s="1">
        <v>5992</v>
      </c>
      <c r="H42" s="1">
        <v>2747</v>
      </c>
      <c r="I42" s="1">
        <f t="shared" si="19"/>
        <v>3245</v>
      </c>
      <c r="J42" s="2">
        <f t="shared" si="20"/>
        <v>8.5701457849144305E-2</v>
      </c>
      <c r="K42" s="2">
        <f>I42/I42</f>
        <v>1</v>
      </c>
      <c r="L42" s="1">
        <v>7828</v>
      </c>
      <c r="M42">
        <v>738</v>
      </c>
      <c r="N42" s="1">
        <v>12414</v>
      </c>
      <c r="O42" s="3">
        <f>(L42-M42)/N42</f>
        <v>0.57112937006605446</v>
      </c>
      <c r="P42" s="1">
        <v>33033</v>
      </c>
      <c r="Q42" s="1">
        <v>8659</v>
      </c>
      <c r="R42" s="1">
        <v>19481</v>
      </c>
      <c r="S42" s="3">
        <f t="shared" si="21"/>
        <v>1.0136981947622681</v>
      </c>
      <c r="T42" t="s">
        <v>33</v>
      </c>
    </row>
    <row r="43" spans="1:23" x14ac:dyDescent="0.35">
      <c r="A43">
        <v>2016</v>
      </c>
      <c r="B43" s="1">
        <v>36556</v>
      </c>
      <c r="C43" s="1">
        <v>6953</v>
      </c>
      <c r="D43" s="2">
        <f t="shared" si="17"/>
        <v>0.19020133493817704</v>
      </c>
      <c r="E43" s="1">
        <v>2263</v>
      </c>
      <c r="F43" s="2">
        <f t="shared" si="18"/>
        <v>6.1905022431338219E-2</v>
      </c>
      <c r="G43" s="1">
        <v>5542</v>
      </c>
      <c r="H43" s="1">
        <v>3223</v>
      </c>
      <c r="I43" s="1">
        <f t="shared" si="19"/>
        <v>2319</v>
      </c>
      <c r="J43" s="2">
        <f t="shared" si="20"/>
        <v>6.3436918700076589E-2</v>
      </c>
      <c r="K43" s="2">
        <f>I43/I42</f>
        <v>0.71463790446841291</v>
      </c>
      <c r="L43" s="1">
        <v>7309</v>
      </c>
      <c r="M43">
        <v>873</v>
      </c>
      <c r="N43" s="1">
        <v>12286</v>
      </c>
      <c r="O43" s="3">
        <f>(L43-M43)/N43</f>
        <v>0.52384828259807914</v>
      </c>
      <c r="P43" s="1">
        <v>32831</v>
      </c>
      <c r="Q43" s="1">
        <v>8155</v>
      </c>
      <c r="R43" s="1">
        <v>19195</v>
      </c>
      <c r="S43" s="3">
        <f t="shared" si="21"/>
        <v>1.0118603754178452</v>
      </c>
      <c r="T43" t="s">
        <v>33</v>
      </c>
    </row>
    <row r="44" spans="1:23" x14ac:dyDescent="0.35">
      <c r="A44">
        <v>2017</v>
      </c>
      <c r="B44" s="1">
        <v>37736</v>
      </c>
      <c r="C44" s="1">
        <v>5823</v>
      </c>
      <c r="D44" s="2">
        <f t="shared" si="17"/>
        <v>0.15430888276446894</v>
      </c>
      <c r="E44" s="1">
        <v>2131</v>
      </c>
      <c r="F44" s="2">
        <f t="shared" si="18"/>
        <v>5.647127411490354E-2</v>
      </c>
      <c r="G44" s="1">
        <v>3413</v>
      </c>
      <c r="H44" s="1">
        <v>3998</v>
      </c>
      <c r="I44" s="1">
        <f t="shared" si="19"/>
        <v>-585</v>
      </c>
      <c r="J44" s="2">
        <f t="shared" si="20"/>
        <v>-1.5502437990248039E-2</v>
      </c>
      <c r="K44" s="2">
        <f>I44/I42</f>
        <v>-0.18027734976887519</v>
      </c>
      <c r="L44" s="1">
        <v>7113</v>
      </c>
      <c r="M44">
        <v>924</v>
      </c>
      <c r="N44" s="1">
        <v>12676</v>
      </c>
      <c r="O44" s="3">
        <f>(L44-M44)/N44</f>
        <v>0.48824550331334804</v>
      </c>
      <c r="P44" s="1">
        <v>35213</v>
      </c>
      <c r="Q44" s="1">
        <v>8062</v>
      </c>
      <c r="R44" s="1">
        <v>20844</v>
      </c>
      <c r="S44" s="3">
        <f t="shared" si="21"/>
        <v>1.0053989202159568</v>
      </c>
      <c r="T44" t="s">
        <v>33</v>
      </c>
    </row>
    <row r="45" spans="1:23" x14ac:dyDescent="0.35">
      <c r="A45">
        <v>2018</v>
      </c>
      <c r="B45" s="1">
        <v>41303</v>
      </c>
      <c r="C45" s="1">
        <v>6019</v>
      </c>
      <c r="D45" s="2">
        <f t="shared" si="17"/>
        <v>0.14572791322664214</v>
      </c>
      <c r="E45" s="1">
        <v>2129</v>
      </c>
      <c r="F45" s="2">
        <f t="shared" si="18"/>
        <v>5.1545892550177955E-2</v>
      </c>
      <c r="G45" s="1">
        <v>6181</v>
      </c>
      <c r="H45" s="1">
        <v>4177</v>
      </c>
      <c r="I45" s="1">
        <f t="shared" si="19"/>
        <v>2004</v>
      </c>
      <c r="J45" s="2">
        <f t="shared" si="20"/>
        <v>4.8519478004019082E-2</v>
      </c>
      <c r="K45" s="2">
        <f>I45/I42</f>
        <v>0.61756548536209555</v>
      </c>
      <c r="L45" s="1">
        <v>7194</v>
      </c>
      <c r="M45">
        <v>985</v>
      </c>
      <c r="N45" s="1">
        <v>13212</v>
      </c>
      <c r="O45" s="3">
        <f>(L45-M45)/N45</f>
        <v>0.46995155918861642</v>
      </c>
      <c r="P45" s="1">
        <v>37598</v>
      </c>
      <c r="Q45" s="1">
        <v>7682</v>
      </c>
      <c r="R45" s="1">
        <v>21585</v>
      </c>
      <c r="S45" s="3">
        <f t="shared" si="21"/>
        <v>0.96323875432525952</v>
      </c>
      <c r="T45" t="s">
        <v>33</v>
      </c>
    </row>
    <row r="46" spans="1:23" x14ac:dyDescent="0.35">
      <c r="A46">
        <v>2019</v>
      </c>
      <c r="B46" s="1">
        <v>43259</v>
      </c>
      <c r="C46" s="1">
        <v>6835</v>
      </c>
      <c r="D46" s="2">
        <f t="shared" si="17"/>
        <v>0.15800180309299799</v>
      </c>
      <c r="E46" s="1">
        <v>3009</v>
      </c>
      <c r="F46" s="2">
        <f t="shared" si="18"/>
        <v>6.9557779883954785E-2</v>
      </c>
      <c r="G46" s="1">
        <v>6909</v>
      </c>
      <c r="H46" s="1">
        <v>4528</v>
      </c>
      <c r="I46" s="1">
        <f t="shared" si="19"/>
        <v>2381</v>
      </c>
      <c r="J46" s="2">
        <f t="shared" si="20"/>
        <v>5.5040569592454749E-2</v>
      </c>
      <c r="K46" s="2">
        <f>I46/I42</f>
        <v>0.73374422187981514</v>
      </c>
      <c r="L46" s="1">
        <v>8194</v>
      </c>
      <c r="M46" s="1">
        <v>1072</v>
      </c>
      <c r="N46" s="1">
        <v>14938</v>
      </c>
      <c r="O46" s="3">
        <f>(L46-M46)/N46</f>
        <v>0.47677065202838398</v>
      </c>
      <c r="P46" s="1">
        <v>44417</v>
      </c>
      <c r="Q46" s="1">
        <v>7532</v>
      </c>
      <c r="R46" s="1">
        <v>26142</v>
      </c>
      <c r="S46" s="3">
        <f t="shared" si="21"/>
        <v>0.93348785420501279</v>
      </c>
      <c r="T46" t="s">
        <v>33</v>
      </c>
    </row>
    <row r="47" spans="1:23" x14ac:dyDescent="0.35">
      <c r="A47">
        <v>2015</v>
      </c>
      <c r="B47" s="1">
        <v>40704</v>
      </c>
      <c r="C47" s="1">
        <v>9672</v>
      </c>
      <c r="D47" s="2">
        <f t="shared" si="17"/>
        <v>0.23761792452830188</v>
      </c>
      <c r="E47" s="1">
        <v>4526</v>
      </c>
      <c r="F47" s="2">
        <f t="shared" si="18"/>
        <v>0.11119300314465409</v>
      </c>
      <c r="G47" s="1">
        <v>7927</v>
      </c>
      <c r="H47" s="1">
        <v>2945</v>
      </c>
      <c r="I47" s="1">
        <f t="shared" si="19"/>
        <v>4982</v>
      </c>
      <c r="J47" s="2">
        <f t="shared" si="20"/>
        <v>0.12239583333333333</v>
      </c>
      <c r="K47" s="2">
        <f>I47/I47</f>
        <v>1</v>
      </c>
      <c r="L47" s="1">
        <v>9056</v>
      </c>
      <c r="M47">
        <v>697</v>
      </c>
      <c r="N47" s="1">
        <v>17526</v>
      </c>
      <c r="O47" s="3">
        <f t="shared" ref="O47:O76" si="23">(L47-M47)/N47</f>
        <v>0.47694853360721212</v>
      </c>
      <c r="P47" s="1">
        <v>44078</v>
      </c>
      <c r="Q47" s="1">
        <v>14655</v>
      </c>
      <c r="R47" s="1">
        <v>24758</v>
      </c>
      <c r="S47" s="3">
        <f>(N47+R47)/(L47+P47-M47-Q47)</f>
        <v>1.1191572706579853</v>
      </c>
      <c r="T47" t="s">
        <v>74</v>
      </c>
    </row>
    <row r="48" spans="1:23" x14ac:dyDescent="0.35">
      <c r="A48">
        <v>2016</v>
      </c>
      <c r="B48" s="1">
        <v>39639</v>
      </c>
      <c r="C48" s="1">
        <v>8854</v>
      </c>
      <c r="D48" s="2">
        <f t="shared" si="17"/>
        <v>0.2233658770402886</v>
      </c>
      <c r="E48" s="1">
        <v>4373</v>
      </c>
      <c r="F48" s="2">
        <f t="shared" si="18"/>
        <v>0.11032064381038875</v>
      </c>
      <c r="G48" s="1">
        <v>7205</v>
      </c>
      <c r="H48" s="1">
        <v>3391</v>
      </c>
      <c r="I48" s="1">
        <f t="shared" si="19"/>
        <v>3814</v>
      </c>
      <c r="J48" s="2">
        <f t="shared" si="20"/>
        <v>9.6218370796437858E-2</v>
      </c>
      <c r="K48" s="2">
        <f>I48/I47</f>
        <v>0.76555600160578086</v>
      </c>
      <c r="L48" s="1">
        <v>7451</v>
      </c>
      <c r="M48">
        <v>891</v>
      </c>
      <c r="N48" s="1">
        <v>15239</v>
      </c>
      <c r="O48" s="3">
        <f t="shared" si="23"/>
        <v>0.43047444058009054</v>
      </c>
      <c r="P48" s="1">
        <v>43810</v>
      </c>
      <c r="Q48" s="1">
        <v>14638</v>
      </c>
      <c r="R48" s="1">
        <v>23735</v>
      </c>
      <c r="S48" s="3">
        <f>(N48+R48)/(L48+P48-M48-Q48)</f>
        <v>1.090730997425277</v>
      </c>
      <c r="T48" t="s">
        <v>74</v>
      </c>
    </row>
    <row r="49" spans="1:20" x14ac:dyDescent="0.35">
      <c r="A49">
        <v>2017</v>
      </c>
      <c r="B49" s="1">
        <v>41244</v>
      </c>
      <c r="C49" s="1">
        <v>8349</v>
      </c>
      <c r="D49" s="2">
        <f t="shared" si="17"/>
        <v>0.20242944428280477</v>
      </c>
      <c r="E49" s="1">
        <v>3577</v>
      </c>
      <c r="F49" s="2">
        <f t="shared" si="18"/>
        <v>8.6727766463000677E-2</v>
      </c>
      <c r="G49" s="1">
        <v>5148</v>
      </c>
      <c r="H49" s="1">
        <v>3891</v>
      </c>
      <c r="I49" s="1">
        <f t="shared" si="19"/>
        <v>1257</v>
      </c>
      <c r="J49" s="2">
        <f t="shared" si="20"/>
        <v>3.0477160314227526E-2</v>
      </c>
      <c r="K49" s="2">
        <f>I49/I47</f>
        <v>0.25230830991569653</v>
      </c>
      <c r="L49" s="1">
        <v>7844</v>
      </c>
      <c r="M49" s="1">
        <v>1329</v>
      </c>
      <c r="N49" s="1">
        <v>18573</v>
      </c>
      <c r="O49" s="3">
        <f t="shared" si="23"/>
        <v>0.35077801109136919</v>
      </c>
      <c r="P49" s="1">
        <v>45448</v>
      </c>
      <c r="Q49" s="1">
        <v>14641</v>
      </c>
      <c r="R49" s="1">
        <v>20809</v>
      </c>
      <c r="S49" s="3">
        <f t="shared" si="21"/>
        <v>1.0551953271528858</v>
      </c>
      <c r="T49" t="s">
        <v>74</v>
      </c>
    </row>
    <row r="50" spans="1:20" x14ac:dyDescent="0.35">
      <c r="A50">
        <v>2018</v>
      </c>
      <c r="B50" s="1">
        <v>44438</v>
      </c>
      <c r="C50" s="1">
        <v>7593</v>
      </c>
      <c r="D50" s="2">
        <f t="shared" si="17"/>
        <v>0.17086727575498448</v>
      </c>
      <c r="E50" s="1">
        <v>3935</v>
      </c>
      <c r="F50" s="2">
        <f t="shared" si="18"/>
        <v>8.8550339799270891E-2</v>
      </c>
      <c r="G50" s="1">
        <v>7014</v>
      </c>
      <c r="H50" s="1">
        <v>5168</v>
      </c>
      <c r="I50" s="1">
        <f t="shared" si="19"/>
        <v>1846</v>
      </c>
      <c r="J50" s="2">
        <f t="shared" si="20"/>
        <v>4.1541023448400015E-2</v>
      </c>
      <c r="K50" s="2">
        <f>I50/I47</f>
        <v>0.37053392211963065</v>
      </c>
      <c r="L50" s="1">
        <v>6340</v>
      </c>
      <c r="M50" s="1">
        <v>1055</v>
      </c>
      <c r="N50" s="1">
        <v>18578</v>
      </c>
      <c r="O50" s="3">
        <f t="shared" si="23"/>
        <v>0.28447626224566691</v>
      </c>
      <c r="P50" s="1">
        <v>53926</v>
      </c>
      <c r="Q50" s="1">
        <v>14611</v>
      </c>
      <c r="R50" s="1">
        <v>28001</v>
      </c>
      <c r="S50" s="3">
        <f t="shared" si="21"/>
        <v>1.0443721973094171</v>
      </c>
      <c r="T50" t="s">
        <v>74</v>
      </c>
    </row>
    <row r="51" spans="1:20" x14ac:dyDescent="0.35">
      <c r="A51">
        <v>2019</v>
      </c>
      <c r="B51" s="1">
        <v>47007</v>
      </c>
      <c r="C51" s="1">
        <v>9199</v>
      </c>
      <c r="D51" s="2">
        <f t="shared" si="17"/>
        <v>0.19569425830195503</v>
      </c>
      <c r="E51" s="1">
        <v>4767</v>
      </c>
      <c r="F51" s="2">
        <f t="shared" si="18"/>
        <v>0.1014104282340928</v>
      </c>
      <c r="G51" s="1">
        <v>8425</v>
      </c>
      <c r="H51" s="1">
        <v>4936</v>
      </c>
      <c r="I51" s="1">
        <f t="shared" si="19"/>
        <v>3489</v>
      </c>
      <c r="J51" s="2">
        <f t="shared" si="20"/>
        <v>7.4222988065607245E-2</v>
      </c>
      <c r="K51" s="2">
        <f>I51/I47</f>
        <v>0.70032115616218382</v>
      </c>
      <c r="L51" s="1">
        <v>8249</v>
      </c>
      <c r="M51" s="1">
        <v>1251</v>
      </c>
      <c r="N51" s="1">
        <v>20204</v>
      </c>
      <c r="O51" s="3">
        <f t="shared" si="23"/>
        <v>0.3463670560285092</v>
      </c>
      <c r="P51" s="1">
        <v>56283</v>
      </c>
      <c r="Q51" s="1">
        <v>14944</v>
      </c>
      <c r="R51" s="1">
        <v>28970</v>
      </c>
      <c r="S51" s="3">
        <f t="shared" si="21"/>
        <v>1.0173159277572046</v>
      </c>
      <c r="T51" t="s">
        <v>74</v>
      </c>
    </row>
    <row r="52" spans="1:20" x14ac:dyDescent="0.35">
      <c r="A52">
        <v>2015</v>
      </c>
      <c r="B52" s="1">
        <v>6416</v>
      </c>
      <c r="C52" s="1">
        <v>1546</v>
      </c>
      <c r="D52" s="2">
        <f t="shared" si="17"/>
        <v>0.24096009975062344</v>
      </c>
      <c r="E52">
        <v>677</v>
      </c>
      <c r="F52" s="2">
        <f t="shared" si="18"/>
        <v>0.10551745635910224</v>
      </c>
      <c r="G52" s="1">
        <v>1598</v>
      </c>
      <c r="H52">
        <v>941</v>
      </c>
      <c r="I52" s="1">
        <f t="shared" si="19"/>
        <v>657</v>
      </c>
      <c r="J52" s="2">
        <f t="shared" si="20"/>
        <v>0.1024002493765586</v>
      </c>
      <c r="K52" s="2">
        <f>I52/I52</f>
        <v>1</v>
      </c>
      <c r="L52" s="1">
        <v>1373</v>
      </c>
      <c r="M52">
        <v>44</v>
      </c>
      <c r="N52" s="1">
        <v>2275</v>
      </c>
      <c r="O52" s="3">
        <f t="shared" si="23"/>
        <v>0.58417582417582414</v>
      </c>
      <c r="P52" s="1">
        <v>7287</v>
      </c>
      <c r="Q52">
        <v>232</v>
      </c>
      <c r="R52" s="1">
        <v>3175</v>
      </c>
      <c r="S52" s="3">
        <f t="shared" si="21"/>
        <v>0.65004770992366412</v>
      </c>
      <c r="T52" t="s">
        <v>93</v>
      </c>
    </row>
    <row r="53" spans="1:20" x14ac:dyDescent="0.35">
      <c r="A53">
        <v>2016</v>
      </c>
      <c r="B53" s="1">
        <v>6632</v>
      </c>
      <c r="C53" s="1">
        <v>1705</v>
      </c>
      <c r="D53" s="2">
        <f t="shared" si="17"/>
        <v>0.25708685162846806</v>
      </c>
      <c r="E53">
        <v>759</v>
      </c>
      <c r="F53" s="2">
        <f t="shared" si="18"/>
        <v>0.11444511459589868</v>
      </c>
      <c r="G53" s="1">
        <v>1632</v>
      </c>
      <c r="H53" s="1">
        <v>1011</v>
      </c>
      <c r="I53" s="1">
        <f t="shared" si="19"/>
        <v>621</v>
      </c>
      <c r="J53" s="2">
        <f t="shared" si="20"/>
        <v>9.3636911942098916E-2</v>
      </c>
      <c r="K53" s="2">
        <f>I53/I52</f>
        <v>0.9452054794520548</v>
      </c>
      <c r="L53" s="1">
        <v>1567</v>
      </c>
      <c r="M53">
        <v>47</v>
      </c>
      <c r="N53" s="1">
        <v>2223</v>
      </c>
      <c r="O53" s="3">
        <f t="shared" si="23"/>
        <v>0.68376068376068377</v>
      </c>
      <c r="P53" s="1">
        <v>7920</v>
      </c>
      <c r="Q53">
        <v>236</v>
      </c>
      <c r="R53" s="1">
        <v>3251</v>
      </c>
      <c r="S53" s="3">
        <f t="shared" si="21"/>
        <v>0.59474141677531511</v>
      </c>
      <c r="T53" t="s">
        <v>93</v>
      </c>
    </row>
    <row r="54" spans="1:20" x14ac:dyDescent="0.35">
      <c r="A54">
        <v>2017</v>
      </c>
      <c r="B54" s="1">
        <v>7015</v>
      </c>
      <c r="C54" s="1">
        <v>1446</v>
      </c>
      <c r="D54" s="2">
        <f t="shared" si="17"/>
        <v>0.2061297220242338</v>
      </c>
      <c r="E54" s="1">
        <v>1147</v>
      </c>
      <c r="F54" s="2">
        <f t="shared" si="18"/>
        <v>0.16350677120456164</v>
      </c>
      <c r="G54" s="1">
        <v>1398</v>
      </c>
      <c r="H54" s="1">
        <v>1202</v>
      </c>
      <c r="I54" s="1">
        <f t="shared" si="19"/>
        <v>196</v>
      </c>
      <c r="J54" s="2">
        <f t="shared" si="20"/>
        <v>2.7940128296507483E-2</v>
      </c>
      <c r="K54" s="2">
        <f>I54/I52</f>
        <v>0.29832572298325721</v>
      </c>
      <c r="L54" s="1">
        <v>1206</v>
      </c>
      <c r="M54">
        <v>55</v>
      </c>
      <c r="N54" s="1">
        <v>2395</v>
      </c>
      <c r="O54" s="3">
        <f t="shared" si="23"/>
        <v>0.48058455114822546</v>
      </c>
      <c r="P54" s="1">
        <v>8575</v>
      </c>
      <c r="Q54">
        <v>231</v>
      </c>
      <c r="R54" s="1">
        <v>2552</v>
      </c>
      <c r="S54" s="3">
        <f t="shared" si="21"/>
        <v>0.52101105845181672</v>
      </c>
      <c r="T54" t="s">
        <v>93</v>
      </c>
    </row>
    <row r="55" spans="1:20" x14ac:dyDescent="0.35">
      <c r="A55">
        <v>2018</v>
      </c>
      <c r="B55" s="1">
        <v>7658</v>
      </c>
      <c r="C55" s="1">
        <v>1214</v>
      </c>
      <c r="D55" s="2">
        <f t="shared" si="17"/>
        <v>0.15852703055628101</v>
      </c>
      <c r="E55">
        <v>188</v>
      </c>
      <c r="F55" s="2">
        <f t="shared" si="18"/>
        <v>2.454949072864978E-2</v>
      </c>
      <c r="G55" s="1">
        <v>1217</v>
      </c>
      <c r="H55" s="1">
        <v>1114</v>
      </c>
      <c r="I55" s="1">
        <f t="shared" si="19"/>
        <v>103</v>
      </c>
      <c r="J55" s="2">
        <f t="shared" si="20"/>
        <v>1.344998694176025E-2</v>
      </c>
      <c r="K55" s="2">
        <f>I55/I52</f>
        <v>0.15677321156773211</v>
      </c>
      <c r="L55" s="1">
        <v>1474</v>
      </c>
      <c r="M55">
        <v>78</v>
      </c>
      <c r="N55" s="1">
        <v>2418</v>
      </c>
      <c r="O55" s="3">
        <f t="shared" si="23"/>
        <v>0.57733664185277089</v>
      </c>
      <c r="P55" s="1">
        <v>8952</v>
      </c>
      <c r="Q55">
        <v>235</v>
      </c>
      <c r="R55" s="1">
        <v>3397</v>
      </c>
      <c r="S55" s="3">
        <f t="shared" si="21"/>
        <v>0.57500247206565802</v>
      </c>
      <c r="T55" t="s">
        <v>93</v>
      </c>
    </row>
    <row r="56" spans="1:20" x14ac:dyDescent="0.35">
      <c r="A56">
        <v>2019</v>
      </c>
      <c r="B56" s="1">
        <v>8094</v>
      </c>
      <c r="C56" s="1">
        <v>1339</v>
      </c>
      <c r="D56" s="2">
        <f t="shared" si="17"/>
        <v>0.16543118359278478</v>
      </c>
      <c r="E56">
        <v>569</v>
      </c>
      <c r="F56" s="2">
        <f t="shared" si="18"/>
        <v>7.0298986903879424E-2</v>
      </c>
      <c r="G56" s="1">
        <v>1449</v>
      </c>
      <c r="H56" s="1">
        <v>1156</v>
      </c>
      <c r="I56" s="1">
        <f t="shared" si="19"/>
        <v>293</v>
      </c>
      <c r="J56" s="2">
        <f t="shared" si="20"/>
        <v>3.6199654064739316E-2</v>
      </c>
      <c r="K56" s="2">
        <f>I56/I52</f>
        <v>0.44596651445966512</v>
      </c>
      <c r="L56" s="1">
        <v>1786</v>
      </c>
      <c r="M56">
        <v>81</v>
      </c>
      <c r="N56" s="1">
        <v>2663</v>
      </c>
      <c r="O56" s="3">
        <f t="shared" si="23"/>
        <v>0.64025535110777321</v>
      </c>
      <c r="P56" s="1">
        <v>10132</v>
      </c>
      <c r="Q56">
        <v>241</v>
      </c>
      <c r="R56" s="1">
        <v>4456</v>
      </c>
      <c r="S56" s="3">
        <f t="shared" si="21"/>
        <v>0.61391859261814419</v>
      </c>
      <c r="T56" t="s">
        <v>93</v>
      </c>
    </row>
    <row r="57" spans="1:20" x14ac:dyDescent="0.35">
      <c r="A57">
        <v>2015</v>
      </c>
      <c r="B57" s="1">
        <v>19648</v>
      </c>
      <c r="C57" s="1">
        <v>5295</v>
      </c>
      <c r="D57" s="2">
        <f>C57/B57</f>
        <v>0.26949307817589574</v>
      </c>
      <c r="E57" s="1">
        <v>2185</v>
      </c>
      <c r="F57" s="2">
        <f>E57/B57</f>
        <v>0.11120724755700326</v>
      </c>
      <c r="G57" s="1">
        <v>3238</v>
      </c>
      <c r="H57" s="1">
        <v>2041</v>
      </c>
      <c r="I57" s="1">
        <f>G57-H57</f>
        <v>1197</v>
      </c>
      <c r="J57" s="2">
        <f>I57/B57</f>
        <v>6.0922231270358305E-2</v>
      </c>
      <c r="K57" s="2">
        <f>I57/I57</f>
        <v>1</v>
      </c>
      <c r="L57" s="1">
        <v>4024</v>
      </c>
      <c r="M57">
        <v>311</v>
      </c>
      <c r="N57" s="1">
        <v>7406</v>
      </c>
      <c r="O57" s="3">
        <f>(L57-M57)/N57</f>
        <v>0.50135025654874421</v>
      </c>
      <c r="P57" s="1">
        <v>17288</v>
      </c>
      <c r="Q57" s="1">
        <v>1434</v>
      </c>
      <c r="R57" s="1">
        <v>6548</v>
      </c>
      <c r="S57" s="3">
        <f>(N57+R57)/(L57+P57-M57-Q57)</f>
        <v>0.71313946951499974</v>
      </c>
      <c r="T57" t="s">
        <v>101</v>
      </c>
    </row>
    <row r="58" spans="1:20" x14ac:dyDescent="0.35">
      <c r="A58">
        <v>2016</v>
      </c>
      <c r="B58" s="1">
        <v>20425</v>
      </c>
      <c r="C58" s="1">
        <v>5024</v>
      </c>
      <c r="D58" s="2">
        <f>C58/B58</f>
        <v>0.24597307221542228</v>
      </c>
      <c r="E58" s="1">
        <v>2246</v>
      </c>
      <c r="F58" s="2">
        <f>E58/B58</f>
        <v>0.10996328029375765</v>
      </c>
      <c r="G58" s="1">
        <v>4293</v>
      </c>
      <c r="H58" s="1">
        <v>2147</v>
      </c>
      <c r="I58" s="1">
        <f>G58-H58</f>
        <v>2146</v>
      </c>
      <c r="J58" s="2">
        <f>I58/B58</f>
        <v>0.10506731946144431</v>
      </c>
      <c r="K58" s="2">
        <f>I58/I57</f>
        <v>1.7928153717627402</v>
      </c>
      <c r="L58" s="1">
        <v>4498</v>
      </c>
      <c r="M58">
        <v>337</v>
      </c>
      <c r="N58" s="1">
        <v>6844</v>
      </c>
      <c r="O58" s="3">
        <f>(L58-M58)/N58</f>
        <v>0.60797779076563419</v>
      </c>
      <c r="P58" s="1">
        <v>18788</v>
      </c>
      <c r="Q58" s="1">
        <v>1396</v>
      </c>
      <c r="R58" s="1">
        <v>8001</v>
      </c>
      <c r="S58" s="3">
        <f>(N58+R58)/(L58+P58-M58-Q58)</f>
        <v>0.6887672249802812</v>
      </c>
      <c r="T58" t="s">
        <v>101</v>
      </c>
    </row>
    <row r="59" spans="1:20" x14ac:dyDescent="0.35">
      <c r="A59">
        <v>2017</v>
      </c>
      <c r="B59" s="1">
        <v>21171</v>
      </c>
      <c r="C59" s="1">
        <v>4899</v>
      </c>
      <c r="D59" s="2">
        <f>C59/B59</f>
        <v>0.23140144537338814</v>
      </c>
      <c r="E59" s="1">
        <v>3488</v>
      </c>
      <c r="F59" s="2">
        <f>E59/B59</f>
        <v>0.16475367247650088</v>
      </c>
      <c r="G59" s="1">
        <v>3929</v>
      </c>
      <c r="H59" s="1">
        <v>2249</v>
      </c>
      <c r="I59" s="1">
        <f>G59-H59</f>
        <v>1680</v>
      </c>
      <c r="J59" s="2">
        <f>I59/B59</f>
        <v>7.9353833073544003E-2</v>
      </c>
      <c r="K59" s="2">
        <f>I59/I57</f>
        <v>1.4035087719298245</v>
      </c>
      <c r="L59" s="1">
        <v>4815</v>
      </c>
      <c r="M59">
        <v>420</v>
      </c>
      <c r="N59" s="1">
        <v>6905</v>
      </c>
      <c r="O59" s="3">
        <f>(L59-M59)/N59</f>
        <v>0.6364952932657495</v>
      </c>
      <c r="P59" s="1">
        <v>20295</v>
      </c>
      <c r="Q59" s="1">
        <v>1383</v>
      </c>
      <c r="R59" s="1">
        <v>7775</v>
      </c>
      <c r="S59" s="3">
        <f>(N59+R59)/(L59+P59-M59-Q59)</f>
        <v>0.62985369202385555</v>
      </c>
      <c r="T59" t="s">
        <v>101</v>
      </c>
    </row>
    <row r="60" spans="1:20" x14ac:dyDescent="0.35">
      <c r="A60">
        <v>2018</v>
      </c>
      <c r="B60" s="1">
        <v>21965</v>
      </c>
      <c r="C60" s="1">
        <v>4407</v>
      </c>
      <c r="D60" s="2">
        <f>C60/B60</f>
        <v>0.20063737764625542</v>
      </c>
      <c r="E60" s="1">
        <v>2465</v>
      </c>
      <c r="F60" s="2">
        <f>E60/B60</f>
        <v>0.11222399271568405</v>
      </c>
      <c r="G60" s="1">
        <v>4893</v>
      </c>
      <c r="H60" s="1">
        <v>1976</v>
      </c>
      <c r="I60" s="1">
        <f>G60-H60</f>
        <v>2917</v>
      </c>
      <c r="J60" s="2">
        <f>I60/B60</f>
        <v>0.13280218529478716</v>
      </c>
      <c r="K60" s="2">
        <f>I60/I57</f>
        <v>2.4369256474519632</v>
      </c>
      <c r="L60" s="1">
        <v>5028</v>
      </c>
      <c r="M60">
        <v>461</v>
      </c>
      <c r="N60" s="1">
        <v>7905</v>
      </c>
      <c r="O60" s="3">
        <f>(L60-M60)/N60</f>
        <v>0.57773561037318155</v>
      </c>
      <c r="P60" s="1">
        <v>21215</v>
      </c>
      <c r="Q60" s="1">
        <v>1370</v>
      </c>
      <c r="R60" s="1">
        <v>8485</v>
      </c>
      <c r="S60" s="3">
        <f>(N60+R60)/(L60+P60-M60-Q60)</f>
        <v>0.67139111912174343</v>
      </c>
      <c r="T60" t="s">
        <v>101</v>
      </c>
    </row>
    <row r="61" spans="1:20" x14ac:dyDescent="0.35">
      <c r="A61">
        <v>2019</v>
      </c>
      <c r="B61" s="1">
        <v>22428</v>
      </c>
      <c r="C61" s="1">
        <v>4300</v>
      </c>
      <c r="D61" s="2">
        <f>C61/B61</f>
        <v>0.19172462992687711</v>
      </c>
      <c r="E61" s="1">
        <v>2300</v>
      </c>
      <c r="F61" s="2">
        <f>E61/B61</f>
        <v>0.10255038344925986</v>
      </c>
      <c r="G61" s="1">
        <v>3987</v>
      </c>
      <c r="H61" s="1">
        <v>1027</v>
      </c>
      <c r="I61" s="1">
        <f>G61-H61</f>
        <v>2960</v>
      </c>
      <c r="J61" s="2">
        <f>I61/B61</f>
        <v>0.13197788478687356</v>
      </c>
      <c r="K61" s="2">
        <f>I61/I57</f>
        <v>2.4728487886382622</v>
      </c>
      <c r="L61" s="1">
        <v>5974</v>
      </c>
      <c r="M61">
        <v>529</v>
      </c>
      <c r="N61" s="1">
        <v>8952</v>
      </c>
      <c r="O61" s="3">
        <f>(L61-M61)/N61</f>
        <v>0.60824396782841827</v>
      </c>
      <c r="P61" s="1">
        <v>19921</v>
      </c>
      <c r="Q61" s="1">
        <v>1266</v>
      </c>
      <c r="R61" s="1">
        <v>7111</v>
      </c>
      <c r="S61" s="3">
        <f>(N61+R61)/(L61+P61-M61-Q61)</f>
        <v>0.66651452282157675</v>
      </c>
      <c r="T61" t="s">
        <v>101</v>
      </c>
    </row>
    <row r="62" spans="1:20" x14ac:dyDescent="0.35">
      <c r="A62">
        <v>2015</v>
      </c>
      <c r="B62" s="1">
        <v>8299</v>
      </c>
      <c r="C62" s="1">
        <v>2113</v>
      </c>
      <c r="D62" s="2">
        <f t="shared" si="17"/>
        <v>0.25460898903482349</v>
      </c>
      <c r="E62">
        <v>666</v>
      </c>
      <c r="F62" s="2">
        <f t="shared" si="18"/>
        <v>8.0250632606338107E-2</v>
      </c>
      <c r="G62" s="1">
        <v>1946</v>
      </c>
      <c r="H62" s="1">
        <v>1613</v>
      </c>
      <c r="I62" s="1">
        <f t="shared" si="19"/>
        <v>333</v>
      </c>
      <c r="J62" s="2">
        <f t="shared" si="20"/>
        <v>4.0125316303169054E-2</v>
      </c>
      <c r="K62" s="2">
        <f>I62/I62</f>
        <v>1</v>
      </c>
      <c r="L62">
        <v>837</v>
      </c>
      <c r="M62">
        <v>121</v>
      </c>
      <c r="N62" s="1">
        <v>4293</v>
      </c>
      <c r="O62" s="3">
        <f t="shared" si="23"/>
        <v>0.16678313533659445</v>
      </c>
      <c r="P62" s="1">
        <v>20085</v>
      </c>
      <c r="Q62">
        <v>287</v>
      </c>
      <c r="R62" s="1">
        <v>8566</v>
      </c>
      <c r="S62" s="3">
        <f t="shared" si="21"/>
        <v>0.62684020668811546</v>
      </c>
      <c r="T62" t="s">
        <v>96</v>
      </c>
    </row>
    <row r="63" spans="1:20" x14ac:dyDescent="0.35">
      <c r="A63">
        <v>2016</v>
      </c>
      <c r="B63" s="1">
        <v>8499</v>
      </c>
      <c r="C63" s="1">
        <v>2379</v>
      </c>
      <c r="D63" s="2">
        <f t="shared" si="17"/>
        <v>0.27991528415107658</v>
      </c>
      <c r="E63" s="1">
        <v>1283</v>
      </c>
      <c r="F63" s="2">
        <f t="shared" si="18"/>
        <v>0.1509589363454524</v>
      </c>
      <c r="G63" s="1">
        <v>2517</v>
      </c>
      <c r="H63" s="1">
        <v>2494</v>
      </c>
      <c r="I63" s="1">
        <f t="shared" si="19"/>
        <v>23</v>
      </c>
      <c r="J63" s="2">
        <f t="shared" si="20"/>
        <v>2.706200729497588E-3</v>
      </c>
      <c r="K63" s="2">
        <f>I63/I62</f>
        <v>6.9069069069069067E-2</v>
      </c>
      <c r="L63">
        <v>748</v>
      </c>
      <c r="M63">
        <v>114</v>
      </c>
      <c r="N63" s="1">
        <v>4442</v>
      </c>
      <c r="O63" s="3">
        <f t="shared" si="23"/>
        <v>0.14272850067537146</v>
      </c>
      <c r="P63" s="1">
        <v>21562</v>
      </c>
      <c r="Q63">
        <v>288</v>
      </c>
      <c r="R63" s="1">
        <v>8747</v>
      </c>
      <c r="S63" s="3">
        <f t="shared" si="21"/>
        <v>0.6020175278437101</v>
      </c>
      <c r="T63" t="s">
        <v>96</v>
      </c>
    </row>
    <row r="64" spans="1:20" x14ac:dyDescent="0.35">
      <c r="A64">
        <v>2017</v>
      </c>
      <c r="B64" s="1">
        <v>8778</v>
      </c>
      <c r="C64" s="1">
        <v>2664</v>
      </c>
      <c r="D64" s="2">
        <f t="shared" si="17"/>
        <v>0.30348598769651403</v>
      </c>
      <c r="E64" s="1">
        <v>1625</v>
      </c>
      <c r="F64" s="2">
        <f t="shared" si="18"/>
        <v>0.18512189564821144</v>
      </c>
      <c r="G64" s="1">
        <v>2875</v>
      </c>
      <c r="H64">
        <v>564</v>
      </c>
      <c r="I64" s="1">
        <f t="shared" si="19"/>
        <v>2311</v>
      </c>
      <c r="J64" s="2">
        <f t="shared" si="20"/>
        <v>0.26327181590339482</v>
      </c>
      <c r="K64" s="2">
        <f>I64/I62</f>
        <v>6.93993993993994</v>
      </c>
      <c r="L64">
        <v>843</v>
      </c>
      <c r="M64">
        <v>111</v>
      </c>
      <c r="N64" s="1">
        <v>4790</v>
      </c>
      <c r="O64" s="3">
        <f t="shared" si="23"/>
        <v>0.15281837160751566</v>
      </c>
      <c r="P64" s="1">
        <v>21453</v>
      </c>
      <c r="Q64">
        <v>296</v>
      </c>
      <c r="R64" s="1">
        <v>6804</v>
      </c>
      <c r="S64" s="3">
        <f t="shared" si="21"/>
        <v>0.52967243821097354</v>
      </c>
      <c r="T64" t="s">
        <v>96</v>
      </c>
    </row>
    <row r="65" spans="1:20" x14ac:dyDescent="0.35">
      <c r="A65">
        <v>2018</v>
      </c>
      <c r="B65" s="1">
        <v>9494</v>
      </c>
      <c r="C65" s="1">
        <v>2972</v>
      </c>
      <c r="D65" s="2">
        <f t="shared" si="17"/>
        <v>0.31303981461975983</v>
      </c>
      <c r="E65" s="1">
        <v>1811</v>
      </c>
      <c r="F65" s="2">
        <f t="shared" si="18"/>
        <v>0.19075205392879713</v>
      </c>
      <c r="G65" s="1">
        <v>3479</v>
      </c>
      <c r="H65" s="1">
        <v>3660</v>
      </c>
      <c r="I65" s="1">
        <f t="shared" si="19"/>
        <v>-181</v>
      </c>
      <c r="J65" s="2">
        <f t="shared" si="20"/>
        <v>-1.9064672424689278E-2</v>
      </c>
      <c r="K65" s="2">
        <f>I65/I62</f>
        <v>-0.54354354354354351</v>
      </c>
      <c r="L65" s="1">
        <v>1242</v>
      </c>
      <c r="M65">
        <v>154</v>
      </c>
      <c r="N65" s="1">
        <v>7112</v>
      </c>
      <c r="O65" s="3">
        <f t="shared" si="23"/>
        <v>0.1529808773903262</v>
      </c>
      <c r="P65" s="1">
        <v>26456</v>
      </c>
      <c r="Q65" s="1">
        <v>1880</v>
      </c>
      <c r="R65" s="1">
        <v>8939</v>
      </c>
      <c r="S65" s="3">
        <f t="shared" si="21"/>
        <v>0.6254286159600998</v>
      </c>
      <c r="T65" t="s">
        <v>96</v>
      </c>
    </row>
    <row r="66" spans="1:20" x14ac:dyDescent="0.35">
      <c r="A66">
        <v>2019</v>
      </c>
      <c r="B66" s="1">
        <v>10951</v>
      </c>
      <c r="C66" s="1">
        <v>3357</v>
      </c>
      <c r="D66" s="2">
        <f t="shared" si="17"/>
        <v>0.30654734727422156</v>
      </c>
      <c r="E66" s="1">
        <v>1879</v>
      </c>
      <c r="F66" s="2">
        <f t="shared" si="18"/>
        <v>0.17158250388092411</v>
      </c>
      <c r="G66" s="1">
        <v>3716</v>
      </c>
      <c r="H66" s="1">
        <v>3025</v>
      </c>
      <c r="I66" s="1">
        <f t="shared" si="19"/>
        <v>691</v>
      </c>
      <c r="J66" s="2">
        <f t="shared" si="20"/>
        <v>6.3099260341521315E-2</v>
      </c>
      <c r="K66" s="2">
        <f>I66/I62</f>
        <v>2.075075075075075</v>
      </c>
      <c r="L66" s="1">
        <v>1163</v>
      </c>
      <c r="M66">
        <v>162</v>
      </c>
      <c r="N66" s="1">
        <v>7953</v>
      </c>
      <c r="O66" s="3">
        <f t="shared" si="23"/>
        <v>0.12586445366528354</v>
      </c>
      <c r="P66" s="1">
        <v>29158</v>
      </c>
      <c r="Q66" s="1">
        <v>1888</v>
      </c>
      <c r="R66" s="1">
        <v>9634</v>
      </c>
      <c r="S66" s="3">
        <f t="shared" si="21"/>
        <v>0.62208623677973895</v>
      </c>
      <c r="T66" t="s">
        <v>96</v>
      </c>
    </row>
    <row r="67" spans="1:20" x14ac:dyDescent="0.35">
      <c r="A67">
        <v>2015</v>
      </c>
      <c r="B67" s="1">
        <v>15714</v>
      </c>
      <c r="C67" s="1">
        <v>4205</v>
      </c>
      <c r="D67" s="2">
        <f t="shared" si="17"/>
        <v>0.2675957744686267</v>
      </c>
      <c r="E67" s="1">
        <v>1757</v>
      </c>
      <c r="F67" s="2">
        <f t="shared" si="18"/>
        <v>0.11181112383861525</v>
      </c>
      <c r="G67" s="1">
        <v>4545</v>
      </c>
      <c r="H67" s="1">
        <v>2294</v>
      </c>
      <c r="I67" s="1">
        <f t="shared" si="19"/>
        <v>2251</v>
      </c>
      <c r="J67" s="2">
        <f t="shared" si="20"/>
        <v>0.14324805905561919</v>
      </c>
      <c r="K67" s="2">
        <f>I67/I67</f>
        <v>1</v>
      </c>
      <c r="L67" s="1">
        <v>2451</v>
      </c>
      <c r="M67">
        <v>330</v>
      </c>
      <c r="N67" s="1">
        <v>6956</v>
      </c>
      <c r="O67" s="3">
        <f t="shared" si="23"/>
        <v>0.30491661874640597</v>
      </c>
      <c r="P67" s="1">
        <v>36786</v>
      </c>
      <c r="Q67" s="1">
        <v>4248</v>
      </c>
      <c r="R67" s="1">
        <v>8510</v>
      </c>
      <c r="S67" s="3">
        <f t="shared" si="21"/>
        <v>0.4462333015955452</v>
      </c>
      <c r="T67" t="s">
        <v>97</v>
      </c>
    </row>
    <row r="68" spans="1:20" x14ac:dyDescent="0.35">
      <c r="A68">
        <v>2016</v>
      </c>
      <c r="B68" s="1">
        <v>16389</v>
      </c>
      <c r="C68" s="1">
        <v>4811</v>
      </c>
      <c r="D68" s="2">
        <f t="shared" si="17"/>
        <v>0.2935505521996461</v>
      </c>
      <c r="E68" s="1">
        <v>2779</v>
      </c>
      <c r="F68" s="2">
        <f t="shared" si="18"/>
        <v>0.16956495210201963</v>
      </c>
      <c r="G68" s="1">
        <v>5134</v>
      </c>
      <c r="H68" s="1">
        <v>3062</v>
      </c>
      <c r="I68" s="1">
        <f t="shared" si="19"/>
        <v>2072</v>
      </c>
      <c r="J68" s="2">
        <f t="shared" si="20"/>
        <v>0.12642626151687109</v>
      </c>
      <c r="K68" s="2">
        <f>I68/I67</f>
        <v>0.92047978676143938</v>
      </c>
      <c r="L68" s="1">
        <v>1689</v>
      </c>
      <c r="M68">
        <v>322</v>
      </c>
      <c r="N68" s="1">
        <v>7072</v>
      </c>
      <c r="O68" s="3">
        <f t="shared" si="23"/>
        <v>0.1932975113122172</v>
      </c>
      <c r="P68" s="1">
        <v>37247</v>
      </c>
      <c r="Q68" s="1">
        <v>4185</v>
      </c>
      <c r="R68" s="1">
        <v>9267</v>
      </c>
      <c r="S68" s="3">
        <f t="shared" si="21"/>
        <v>0.47457085596444859</v>
      </c>
      <c r="T68" t="s">
        <v>97</v>
      </c>
    </row>
    <row r="69" spans="1:20" x14ac:dyDescent="0.35">
      <c r="A69">
        <v>2017</v>
      </c>
      <c r="B69" s="1">
        <v>17510</v>
      </c>
      <c r="C69" s="1">
        <v>4747</v>
      </c>
      <c r="D69" s="2">
        <f t="shared" si="17"/>
        <v>0.27110222729868644</v>
      </c>
      <c r="E69" s="1">
        <v>2606</v>
      </c>
      <c r="F69" s="2">
        <f t="shared" si="18"/>
        <v>0.1488292404340377</v>
      </c>
      <c r="G69" s="1">
        <v>5322</v>
      </c>
      <c r="H69" s="1">
        <v>2944</v>
      </c>
      <c r="I69" s="1">
        <f t="shared" si="19"/>
        <v>2378</v>
      </c>
      <c r="J69" s="2">
        <f t="shared" si="20"/>
        <v>0.13580810965162765</v>
      </c>
      <c r="K69" s="2">
        <f>I69/I67</f>
        <v>1.056419369169258</v>
      </c>
      <c r="L69" s="1">
        <v>1596</v>
      </c>
      <c r="M69">
        <v>387</v>
      </c>
      <c r="N69" s="1">
        <v>8800</v>
      </c>
      <c r="O69" s="3">
        <f t="shared" si="23"/>
        <v>0.13738636363636364</v>
      </c>
      <c r="P69" s="1">
        <v>39182</v>
      </c>
      <c r="Q69" s="1">
        <v>4167</v>
      </c>
      <c r="R69" s="1">
        <v>7762</v>
      </c>
      <c r="S69" s="3">
        <f t="shared" si="21"/>
        <v>0.45721068904593637</v>
      </c>
      <c r="T69" t="s">
        <v>97</v>
      </c>
    </row>
    <row r="70" spans="1:20" x14ac:dyDescent="0.35">
      <c r="A70">
        <v>2018</v>
      </c>
      <c r="B70" s="1">
        <v>18881</v>
      </c>
      <c r="C70" s="1">
        <v>5343</v>
      </c>
      <c r="D70" s="2">
        <f t="shared" si="17"/>
        <v>0.2829828928552513</v>
      </c>
      <c r="E70" s="1">
        <v>3152</v>
      </c>
      <c r="F70" s="2">
        <f t="shared" si="18"/>
        <v>0.1669403103649171</v>
      </c>
      <c r="G70" s="1">
        <v>5550</v>
      </c>
      <c r="H70" s="1">
        <v>3750</v>
      </c>
      <c r="I70" s="1">
        <f t="shared" si="19"/>
        <v>1800</v>
      </c>
      <c r="J70" s="2">
        <f t="shared" si="20"/>
        <v>9.5333933584026267E-2</v>
      </c>
      <c r="K70" s="2">
        <f>I70/I67</f>
        <v>0.79964460239893376</v>
      </c>
      <c r="L70" s="1">
        <v>2225</v>
      </c>
      <c r="M70">
        <v>450</v>
      </c>
      <c r="N70" s="1">
        <v>9204</v>
      </c>
      <c r="O70" s="3">
        <f t="shared" si="23"/>
        <v>0.19285093437635811</v>
      </c>
      <c r="P70" s="1">
        <v>40176</v>
      </c>
      <c r="Q70" s="1">
        <v>4101</v>
      </c>
      <c r="R70" s="1">
        <v>8754</v>
      </c>
      <c r="S70" s="3">
        <f t="shared" si="21"/>
        <v>0.47445178335535004</v>
      </c>
      <c r="T70" t="s">
        <v>97</v>
      </c>
    </row>
    <row r="71" spans="1:20" x14ac:dyDescent="0.35">
      <c r="A71">
        <v>2019</v>
      </c>
      <c r="B71" s="1">
        <v>20825</v>
      </c>
      <c r="C71" s="1">
        <v>5445</v>
      </c>
      <c r="D71" s="2">
        <f t="shared" si="17"/>
        <v>0.26146458583433374</v>
      </c>
      <c r="E71" s="1">
        <v>2990</v>
      </c>
      <c r="F71" s="2">
        <f t="shared" si="18"/>
        <v>0.14357743097238895</v>
      </c>
      <c r="G71" s="1">
        <v>5476</v>
      </c>
      <c r="H71" s="1">
        <v>5429</v>
      </c>
      <c r="I71" s="1">
        <f t="shared" si="19"/>
        <v>47</v>
      </c>
      <c r="J71" s="2">
        <f t="shared" si="20"/>
        <v>2.2569027611044419E-3</v>
      </c>
      <c r="K71" s="2">
        <f>I71/I67</f>
        <v>2.0879609062638829E-2</v>
      </c>
      <c r="L71" s="1">
        <v>2059</v>
      </c>
      <c r="M71">
        <v>427</v>
      </c>
      <c r="N71" s="1">
        <v>9127</v>
      </c>
      <c r="O71" s="3">
        <f t="shared" si="23"/>
        <v>0.17881012380848033</v>
      </c>
      <c r="P71" s="1">
        <v>42999</v>
      </c>
      <c r="Q71" s="1">
        <v>4086</v>
      </c>
      <c r="R71" s="1">
        <v>10566</v>
      </c>
      <c r="S71" s="3">
        <f t="shared" si="21"/>
        <v>0.48570723887039091</v>
      </c>
      <c r="T71" t="s">
        <v>97</v>
      </c>
    </row>
    <row r="72" spans="1:20" x14ac:dyDescent="0.35">
      <c r="A72">
        <v>2015</v>
      </c>
      <c r="B72">
        <v>205</v>
      </c>
      <c r="C72">
        <v>-11</v>
      </c>
      <c r="D72" s="2">
        <f t="shared" si="17"/>
        <v>-5.3658536585365853E-2</v>
      </c>
      <c r="E72">
        <v>-19</v>
      </c>
      <c r="F72" s="2">
        <f t="shared" si="18"/>
        <v>-9.2682926829268292E-2</v>
      </c>
      <c r="G72" s="1">
        <v>16</v>
      </c>
      <c r="H72" s="1">
        <v>17</v>
      </c>
      <c r="I72" s="1">
        <f t="shared" si="19"/>
        <v>-1</v>
      </c>
      <c r="J72" s="2">
        <f t="shared" si="20"/>
        <v>-4.8780487804878049E-3</v>
      </c>
      <c r="K72" s="2">
        <f>I72/ABS(I72)</f>
        <v>-1</v>
      </c>
      <c r="L72">
        <v>202</v>
      </c>
      <c r="M72">
        <v>0</v>
      </c>
      <c r="N72">
        <v>37</v>
      </c>
      <c r="O72" s="3">
        <f t="shared" si="23"/>
        <v>5.4594594594594597</v>
      </c>
      <c r="P72">
        <v>41</v>
      </c>
      <c r="Q72">
        <v>8</v>
      </c>
      <c r="R72">
        <v>11</v>
      </c>
      <c r="S72" s="3">
        <f t="shared" si="21"/>
        <v>0.20425531914893616</v>
      </c>
      <c r="T72" t="s">
        <v>103</v>
      </c>
    </row>
    <row r="73" spans="1:20" x14ac:dyDescent="0.35">
      <c r="A73">
        <v>2016</v>
      </c>
      <c r="B73">
        <v>389</v>
      </c>
      <c r="C73">
        <v>-23</v>
      </c>
      <c r="D73" s="2">
        <f t="shared" si="17"/>
        <v>-5.9125964010282778E-2</v>
      </c>
      <c r="E73">
        <v>-35</v>
      </c>
      <c r="F73" s="2">
        <f t="shared" si="18"/>
        <v>-8.9974293059125965E-2</v>
      </c>
      <c r="G73" s="1">
        <v>14</v>
      </c>
      <c r="H73" s="1">
        <v>24</v>
      </c>
      <c r="I73" s="1">
        <f t="shared" si="19"/>
        <v>-10</v>
      </c>
      <c r="J73" s="2">
        <f t="shared" si="20"/>
        <v>-2.570694087403599E-2</v>
      </c>
      <c r="K73" s="2">
        <f>I73/ABS(I72)</f>
        <v>-10</v>
      </c>
      <c r="L73">
        <v>423</v>
      </c>
      <c r="M73">
        <v>0</v>
      </c>
      <c r="N73">
        <v>67</v>
      </c>
      <c r="O73" s="3">
        <f t="shared" si="23"/>
        <v>6.3134328358208958</v>
      </c>
      <c r="P73">
        <v>68</v>
      </c>
      <c r="Q73">
        <v>22</v>
      </c>
      <c r="R73">
        <v>14</v>
      </c>
      <c r="S73" s="3">
        <f t="shared" si="21"/>
        <v>0.17270788912579957</v>
      </c>
      <c r="T73" t="s">
        <v>103</v>
      </c>
    </row>
    <row r="74" spans="1:20" x14ac:dyDescent="0.35">
      <c r="A74">
        <v>2017</v>
      </c>
      <c r="B74">
        <v>673</v>
      </c>
      <c r="C74">
        <v>-26</v>
      </c>
      <c r="D74" s="2">
        <f t="shared" si="17"/>
        <v>-3.8632986627043092E-2</v>
      </c>
      <c r="E74" s="1">
        <v>-40</v>
      </c>
      <c r="F74" s="2">
        <f t="shared" si="18"/>
        <v>-5.9435364041604752E-2</v>
      </c>
      <c r="G74" s="1">
        <v>8</v>
      </c>
      <c r="H74" s="1">
        <v>20</v>
      </c>
      <c r="I74" s="1">
        <f t="shared" si="19"/>
        <v>-12</v>
      </c>
      <c r="J74" s="2">
        <f t="shared" si="20"/>
        <v>-1.7830609212481426E-2</v>
      </c>
      <c r="K74" s="2">
        <f>I74/ABS(I72)</f>
        <v>-12</v>
      </c>
      <c r="L74" s="1">
        <v>1026</v>
      </c>
      <c r="M74">
        <v>0</v>
      </c>
      <c r="N74">
        <v>95</v>
      </c>
      <c r="O74" s="3">
        <f t="shared" si="23"/>
        <v>10.8</v>
      </c>
      <c r="P74">
        <v>88</v>
      </c>
      <c r="Q74">
        <v>38</v>
      </c>
      <c r="R74">
        <v>18</v>
      </c>
      <c r="S74" s="3">
        <f t="shared" si="21"/>
        <v>0.1050185873605948</v>
      </c>
      <c r="T74" t="s">
        <v>103</v>
      </c>
    </row>
    <row r="75" spans="1:20" x14ac:dyDescent="0.35">
      <c r="A75">
        <v>2018</v>
      </c>
      <c r="B75" s="1">
        <v>1073</v>
      </c>
      <c r="C75">
        <v>-65</v>
      </c>
      <c r="D75" s="2">
        <f t="shared" si="17"/>
        <v>-6.0577819198508853E-2</v>
      </c>
      <c r="E75" s="1">
        <v>-65</v>
      </c>
      <c r="F75" s="2">
        <f t="shared" si="18"/>
        <v>-6.0577819198508853E-2</v>
      </c>
      <c r="G75" s="1">
        <v>9</v>
      </c>
      <c r="H75" s="1">
        <v>28</v>
      </c>
      <c r="I75" s="1">
        <f t="shared" si="19"/>
        <v>-19</v>
      </c>
      <c r="J75" s="2">
        <f t="shared" si="20"/>
        <v>-1.7707362534948742E-2</v>
      </c>
      <c r="K75" s="2">
        <f>I75/ABS(I72)</f>
        <v>-19</v>
      </c>
      <c r="L75" s="1">
        <v>2129</v>
      </c>
      <c r="M75">
        <v>0</v>
      </c>
      <c r="N75">
        <v>139</v>
      </c>
      <c r="O75" s="3">
        <f t="shared" si="23"/>
        <v>15.316546762589928</v>
      </c>
      <c r="P75">
        <v>126</v>
      </c>
      <c r="Q75">
        <v>64</v>
      </c>
      <c r="R75">
        <v>25</v>
      </c>
      <c r="S75" s="3">
        <f t="shared" si="21"/>
        <v>7.4851665905979012E-2</v>
      </c>
      <c r="T75" t="s">
        <v>103</v>
      </c>
    </row>
    <row r="76" spans="1:20" x14ac:dyDescent="0.35">
      <c r="A76">
        <v>2019</v>
      </c>
      <c r="B76" s="1">
        <v>1578</v>
      </c>
      <c r="C76">
        <v>-105</v>
      </c>
      <c r="D76" s="2">
        <f t="shared" si="17"/>
        <v>-6.6539923954372623E-2</v>
      </c>
      <c r="E76" s="1">
        <v>-125</v>
      </c>
      <c r="F76" s="2">
        <f t="shared" si="18"/>
        <v>-7.9214195183776939E-2</v>
      </c>
      <c r="G76" s="1">
        <v>71</v>
      </c>
      <c r="H76" s="1">
        <v>57</v>
      </c>
      <c r="I76" s="1">
        <f t="shared" si="19"/>
        <v>14</v>
      </c>
      <c r="J76" s="2">
        <f t="shared" si="20"/>
        <v>8.8719898605830166E-3</v>
      </c>
      <c r="K76" s="2">
        <f>I76/ABS(I72)</f>
        <v>14</v>
      </c>
      <c r="L76" s="1">
        <v>2745</v>
      </c>
      <c r="M76">
        <v>0</v>
      </c>
      <c r="N76">
        <v>316</v>
      </c>
      <c r="O76" s="3">
        <f t="shared" si="23"/>
        <v>8.6867088607594933</v>
      </c>
      <c r="P76">
        <v>745</v>
      </c>
      <c r="Q76">
        <v>479</v>
      </c>
      <c r="R76">
        <v>157</v>
      </c>
      <c r="S76" s="3">
        <f t="shared" si="21"/>
        <v>0.15709066755230822</v>
      </c>
      <c r="T76" t="s">
        <v>103</v>
      </c>
    </row>
    <row r="77" spans="1:20" x14ac:dyDescent="0.35">
      <c r="F77" s="1"/>
      <c r="G77" s="1"/>
      <c r="H77" s="1"/>
      <c r="I77" s="1"/>
      <c r="J77" s="1"/>
      <c r="K77" s="1"/>
      <c r="L77" s="1"/>
      <c r="M77" s="1"/>
    </row>
    <row r="78" spans="1:20" x14ac:dyDescent="0.35">
      <c r="F78" s="1"/>
      <c r="G78" s="1"/>
      <c r="H78" s="1"/>
      <c r="I78" s="1"/>
      <c r="J78" s="1"/>
      <c r="K78" s="1"/>
      <c r="L78" s="1"/>
      <c r="M78" s="1"/>
      <c r="N78" s="1"/>
    </row>
    <row r="79" spans="1:20" x14ac:dyDescent="0.35">
      <c r="F79" s="1"/>
      <c r="G79" s="1"/>
      <c r="H79" s="1"/>
      <c r="I79" s="1"/>
      <c r="J79" s="1"/>
      <c r="K79" s="1"/>
      <c r="L79" s="1"/>
      <c r="M79" s="1"/>
    </row>
    <row r="80" spans="1:20" x14ac:dyDescent="0.35">
      <c r="F80" s="1"/>
      <c r="G80" s="1"/>
      <c r="H80" s="1"/>
      <c r="I80" s="1"/>
      <c r="J80" s="1"/>
    </row>
    <row r="81" spans="6:10" x14ac:dyDescent="0.35">
      <c r="F81" s="1"/>
      <c r="G81" s="1"/>
      <c r="H81" s="1"/>
      <c r="I81" s="1"/>
      <c r="J81" s="1"/>
    </row>
    <row r="83" spans="6:10" x14ac:dyDescent="0.35">
      <c r="F83" s="1"/>
      <c r="G83" s="1"/>
      <c r="H83" s="1"/>
      <c r="I83" s="1"/>
      <c r="J83" s="1"/>
    </row>
    <row r="84" spans="6:10" x14ac:dyDescent="0.35">
      <c r="F84" s="1"/>
      <c r="G84" s="1"/>
      <c r="H84" s="1"/>
      <c r="I84" s="1"/>
      <c r="J84" s="1"/>
    </row>
    <row r="85" spans="6:10" x14ac:dyDescent="0.35">
      <c r="F85" s="1"/>
      <c r="G85" s="1"/>
      <c r="H85" s="1"/>
      <c r="I85" s="1"/>
      <c r="J85" s="1"/>
    </row>
    <row r="86" spans="6:10" x14ac:dyDescent="0.35">
      <c r="F86" s="1"/>
      <c r="G86" s="1"/>
      <c r="H86" s="1"/>
      <c r="I86" s="1"/>
      <c r="J86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1DEF-980C-4085-AFC9-42A0509FCF84}">
  <dimension ref="A1:T57"/>
  <sheetViews>
    <sheetView topLeftCell="F9" zoomScaleNormal="100" workbookViewId="0">
      <selection activeCell="A2" sqref="A2:S26"/>
    </sheetView>
  </sheetViews>
  <sheetFormatPr defaultRowHeight="14.5" x14ac:dyDescent="0.35"/>
  <cols>
    <col min="6" max="6" width="11.54296875" customWidth="1"/>
    <col min="7" max="7" width="12.453125" customWidth="1"/>
    <col min="8" max="8" width="8.6328125" customWidth="1"/>
    <col min="9" max="9" width="12.36328125" customWidth="1"/>
    <col min="10" max="10" width="14.1796875" customWidth="1"/>
    <col min="11" max="11" width="14.26953125" customWidth="1"/>
    <col min="12" max="12" width="12.81640625" customWidth="1"/>
  </cols>
  <sheetData>
    <row r="1" spans="1:20" x14ac:dyDescent="0.35">
      <c r="A1" t="s">
        <v>1</v>
      </c>
      <c r="B1" t="s">
        <v>2</v>
      </c>
      <c r="C1" t="s">
        <v>3</v>
      </c>
      <c r="D1" t="s">
        <v>11</v>
      </c>
      <c r="E1" t="s">
        <v>4</v>
      </c>
      <c r="F1" t="s">
        <v>73</v>
      </c>
      <c r="G1" t="s">
        <v>6</v>
      </c>
      <c r="H1" s="1" t="s">
        <v>14</v>
      </c>
      <c r="I1" t="s">
        <v>5</v>
      </c>
      <c r="J1" t="s">
        <v>12</v>
      </c>
      <c r="K1" t="s">
        <v>13</v>
      </c>
      <c r="L1" t="s">
        <v>25</v>
      </c>
      <c r="M1" t="s">
        <v>39</v>
      </c>
      <c r="N1" t="s">
        <v>22</v>
      </c>
      <c r="O1" t="s">
        <v>26</v>
      </c>
      <c r="P1" t="s">
        <v>37</v>
      </c>
      <c r="Q1" t="s">
        <v>40</v>
      </c>
      <c r="R1" t="s">
        <v>27</v>
      </c>
      <c r="S1" t="s">
        <v>45</v>
      </c>
      <c r="T1" t="s">
        <v>0</v>
      </c>
    </row>
    <row r="2" spans="1:20" x14ac:dyDescent="0.35">
      <c r="A2">
        <v>2015</v>
      </c>
      <c r="B2" s="1">
        <v>16192</v>
      </c>
      <c r="C2" s="1">
        <v>5623</v>
      </c>
      <c r="D2" s="2">
        <f t="shared" ref="D2:D41" si="0">C2/B2</f>
        <v>0.34727025691699603</v>
      </c>
      <c r="E2" s="1">
        <v>2899</v>
      </c>
      <c r="F2" s="2">
        <f>E2/B2</f>
        <v>0.17903903162055335</v>
      </c>
      <c r="G2" s="1">
        <v>5208</v>
      </c>
      <c r="H2" s="1">
        <v>4021</v>
      </c>
      <c r="I2" s="1">
        <f>G2-H2</f>
        <v>1187</v>
      </c>
      <c r="J2" s="2">
        <f>I2/B2</f>
        <v>7.3307806324110672E-2</v>
      </c>
      <c r="K2" s="2">
        <f>I2/I2</f>
        <v>1</v>
      </c>
      <c r="L2" s="1">
        <v>8596</v>
      </c>
      <c r="M2" s="1">
        <v>2340</v>
      </c>
      <c r="N2" s="1">
        <v>3905</v>
      </c>
      <c r="O2">
        <f>(L2-M2)/N2</f>
        <v>1.6020486555697824</v>
      </c>
      <c r="P2" s="1">
        <v>15547</v>
      </c>
      <c r="Q2">
        <v>449</v>
      </c>
      <c r="R2" s="1">
        <v>6950</v>
      </c>
      <c r="S2" s="3">
        <f>(N2+R2)/(L2+P2-M2-Q2)</f>
        <v>0.50833567481502295</v>
      </c>
      <c r="T2" t="s">
        <v>41</v>
      </c>
    </row>
    <row r="3" spans="1:20" x14ac:dyDescent="0.35">
      <c r="A3">
        <v>2016</v>
      </c>
      <c r="B3" s="1">
        <v>12399</v>
      </c>
      <c r="C3" s="1">
        <v>3212</v>
      </c>
      <c r="D3" s="2">
        <f t="shared" si="0"/>
        <v>0.2590531494475361</v>
      </c>
      <c r="E3">
        <v>-276</v>
      </c>
      <c r="F3" s="2">
        <f t="shared" ref="F3:F41" si="1">E3/B3</f>
        <v>-2.2259859666102104E-2</v>
      </c>
      <c r="G3" s="1">
        <v>3168</v>
      </c>
      <c r="H3" s="1">
        <v>5817</v>
      </c>
      <c r="I3" s="1">
        <f t="shared" ref="I3:I41" si="2">G3-H3</f>
        <v>-2649</v>
      </c>
      <c r="J3" s="2">
        <f t="shared" ref="J3:J41" si="3">I3/B3</f>
        <v>-0.21364626179530607</v>
      </c>
      <c r="K3" s="2">
        <f>I3/I2</f>
        <v>-2.2316764953664703</v>
      </c>
      <c r="L3" s="1">
        <v>9495</v>
      </c>
      <c r="M3" s="1">
        <v>2889</v>
      </c>
      <c r="N3" s="1">
        <v>4835</v>
      </c>
      <c r="O3">
        <f t="shared" ref="O3:O41" si="4">(L3-M3)/N3</f>
        <v>1.366287487073423</v>
      </c>
      <c r="P3" s="1">
        <v>18045</v>
      </c>
      <c r="Q3">
        <v>568</v>
      </c>
      <c r="R3" s="1">
        <v>9777</v>
      </c>
      <c r="S3" s="3">
        <f t="shared" ref="S3:S41" si="5">(N3+R3)/(L3+P3-M3-Q3)</f>
        <v>0.60673504131545075</v>
      </c>
      <c r="T3" t="s">
        <v>41</v>
      </c>
    </row>
    <row r="4" spans="1:20" x14ac:dyDescent="0.35">
      <c r="A4">
        <v>2017</v>
      </c>
      <c r="B4" s="1">
        <v>20322</v>
      </c>
      <c r="C4" s="1">
        <v>9855</v>
      </c>
      <c r="D4" s="2">
        <f t="shared" si="0"/>
        <v>0.48494242692648359</v>
      </c>
      <c r="E4" s="1">
        <v>5089</v>
      </c>
      <c r="F4" s="2">
        <f t="shared" si="1"/>
        <v>0.2504182659187088</v>
      </c>
      <c r="G4" s="1">
        <v>8153</v>
      </c>
      <c r="H4" s="1">
        <v>4734</v>
      </c>
      <c r="I4" s="1">
        <f t="shared" si="2"/>
        <v>3419</v>
      </c>
      <c r="J4" s="2">
        <f t="shared" si="3"/>
        <v>0.1682413148312174</v>
      </c>
      <c r="K4" s="2">
        <f>I4/I2</f>
        <v>2.8803706823925865</v>
      </c>
      <c r="L4" s="1">
        <v>12457</v>
      </c>
      <c r="M4" s="1">
        <v>3123</v>
      </c>
      <c r="N4" s="1">
        <v>5334</v>
      </c>
      <c r="O4">
        <f t="shared" si="4"/>
        <v>1.7499062617172854</v>
      </c>
      <c r="P4" s="1">
        <v>22879</v>
      </c>
      <c r="Q4" s="1">
        <v>1615</v>
      </c>
      <c r="R4" s="1">
        <v>10511</v>
      </c>
      <c r="S4" s="3">
        <f t="shared" si="5"/>
        <v>0.51784430354925159</v>
      </c>
      <c r="T4" t="s">
        <v>41</v>
      </c>
    </row>
    <row r="5" spans="1:20" x14ac:dyDescent="0.35">
      <c r="A5">
        <v>2018</v>
      </c>
      <c r="B5" s="1">
        <v>30391</v>
      </c>
      <c r="C5" s="1">
        <v>19597</v>
      </c>
      <c r="D5" s="2">
        <f t="shared" si="0"/>
        <v>0.64482906123523409</v>
      </c>
      <c r="E5" s="1">
        <v>14135</v>
      </c>
      <c r="F5" s="2">
        <f t="shared" si="1"/>
        <v>0.4651048007633839</v>
      </c>
      <c r="G5" s="1">
        <v>17400</v>
      </c>
      <c r="H5" s="1">
        <v>8879</v>
      </c>
      <c r="I5" s="1">
        <f t="shared" si="2"/>
        <v>8521</v>
      </c>
      <c r="J5" s="2">
        <f t="shared" si="3"/>
        <v>0.28037905959001019</v>
      </c>
      <c r="K5" s="2">
        <f>I5/I2</f>
        <v>7.1786015164279693</v>
      </c>
      <c r="L5" s="1">
        <v>16039</v>
      </c>
      <c r="M5" s="1">
        <v>3595</v>
      </c>
      <c r="N5" s="1">
        <v>5754</v>
      </c>
      <c r="O5">
        <f t="shared" si="4"/>
        <v>2.16266944734098</v>
      </c>
      <c r="P5" s="1">
        <v>27337</v>
      </c>
      <c r="Q5" s="1">
        <v>1559</v>
      </c>
      <c r="R5" s="1">
        <v>4358</v>
      </c>
      <c r="S5" s="3">
        <f t="shared" si="5"/>
        <v>0.26455967767254462</v>
      </c>
      <c r="T5" t="s">
        <v>41</v>
      </c>
    </row>
    <row r="6" spans="1:20" x14ac:dyDescent="0.35">
      <c r="A6">
        <v>2019</v>
      </c>
      <c r="B6" s="1">
        <v>23406</v>
      </c>
      <c r="C6" s="1">
        <v>12765</v>
      </c>
      <c r="D6" s="2">
        <f t="shared" si="0"/>
        <v>0.54537298128684952</v>
      </c>
      <c r="E6" s="1">
        <v>6313</v>
      </c>
      <c r="F6" s="2">
        <f t="shared" si="1"/>
        <v>0.26971716653849442</v>
      </c>
      <c r="G6" s="1">
        <v>13189</v>
      </c>
      <c r="H6" s="1">
        <v>9780</v>
      </c>
      <c r="I6" s="1">
        <f t="shared" si="2"/>
        <v>3409</v>
      </c>
      <c r="J6" s="2">
        <f t="shared" si="3"/>
        <v>0.14564641544903018</v>
      </c>
      <c r="K6" s="2">
        <f>I6/I2</f>
        <v>2.8719460825610783</v>
      </c>
      <c r="L6" s="1">
        <v>16503</v>
      </c>
      <c r="M6" s="1">
        <v>5118</v>
      </c>
      <c r="N6" s="1">
        <v>6390</v>
      </c>
      <c r="O6">
        <f t="shared" si="4"/>
        <v>1.7816901408450705</v>
      </c>
      <c r="P6" s="1">
        <v>32384</v>
      </c>
      <c r="Q6" s="1">
        <v>1568</v>
      </c>
      <c r="R6" s="1">
        <v>5629</v>
      </c>
      <c r="S6" s="3">
        <f t="shared" si="5"/>
        <v>0.28480367763797065</v>
      </c>
      <c r="T6" t="s">
        <v>41</v>
      </c>
    </row>
    <row r="7" spans="1:20" x14ac:dyDescent="0.35">
      <c r="A7">
        <v>2015</v>
      </c>
      <c r="B7" s="1">
        <v>96114</v>
      </c>
      <c r="C7" s="1">
        <v>8815</v>
      </c>
      <c r="D7" s="2">
        <f t="shared" si="0"/>
        <v>9.1714006284204175E-2</v>
      </c>
      <c r="E7" s="1">
        <v>5172</v>
      </c>
      <c r="F7" s="2">
        <f t="shared" si="1"/>
        <v>5.3811099319558027E-2</v>
      </c>
      <c r="G7" s="1">
        <v>9363</v>
      </c>
      <c r="H7" s="1">
        <v>2450</v>
      </c>
      <c r="I7" s="1">
        <f t="shared" si="2"/>
        <v>6913</v>
      </c>
      <c r="J7" s="2">
        <f t="shared" si="3"/>
        <v>7.1925005722371357E-2</v>
      </c>
      <c r="K7" s="2">
        <f>I7/I7</f>
        <v>1</v>
      </c>
      <c r="L7" s="1">
        <v>68234</v>
      </c>
      <c r="M7" s="1">
        <v>47257</v>
      </c>
      <c r="N7" s="1">
        <v>50412</v>
      </c>
      <c r="O7">
        <f t="shared" si="4"/>
        <v>0.4161112433547568</v>
      </c>
      <c r="P7" s="1">
        <v>26174</v>
      </c>
      <c r="Q7" s="1">
        <v>7783</v>
      </c>
      <c r="R7" s="1">
        <v>37599</v>
      </c>
      <c r="S7" s="3">
        <f t="shared" si="5"/>
        <v>2.2355974395448079</v>
      </c>
      <c r="T7" t="s">
        <v>42</v>
      </c>
    </row>
    <row r="8" spans="1:20" x14ac:dyDescent="0.35">
      <c r="A8">
        <v>2016</v>
      </c>
      <c r="B8" s="1">
        <v>94571</v>
      </c>
      <c r="C8" s="1">
        <v>8470</v>
      </c>
      <c r="D8" s="2">
        <f t="shared" si="0"/>
        <v>8.9562339406371927E-2</v>
      </c>
      <c r="E8" s="1">
        <v>4892</v>
      </c>
      <c r="F8" s="2">
        <f t="shared" si="1"/>
        <v>5.1728331095156017E-2</v>
      </c>
      <c r="G8" s="1">
        <v>10499</v>
      </c>
      <c r="H8" s="1">
        <v>2613</v>
      </c>
      <c r="I8" s="1">
        <f t="shared" si="2"/>
        <v>7886</v>
      </c>
      <c r="J8" s="2">
        <f t="shared" si="3"/>
        <v>8.3387084835731887E-2</v>
      </c>
      <c r="K8" s="2">
        <f>I8/I7</f>
        <v>1.1407493128887602</v>
      </c>
      <c r="L8" s="1">
        <v>62488</v>
      </c>
      <c r="M8" s="1">
        <v>43199</v>
      </c>
      <c r="N8" s="1">
        <v>50134</v>
      </c>
      <c r="O8">
        <f t="shared" si="4"/>
        <v>0.38474887302030558</v>
      </c>
      <c r="P8" s="1">
        <v>27509</v>
      </c>
      <c r="Q8" s="1">
        <v>7864</v>
      </c>
      <c r="R8" s="1">
        <v>38986</v>
      </c>
      <c r="S8" s="3">
        <f t="shared" si="5"/>
        <v>2.2890019006523863</v>
      </c>
      <c r="T8" t="s">
        <v>42</v>
      </c>
    </row>
    <row r="9" spans="1:20" x14ac:dyDescent="0.35">
      <c r="A9">
        <v>2017</v>
      </c>
      <c r="B9" s="1">
        <v>93392</v>
      </c>
      <c r="C9" s="1">
        <v>11911</v>
      </c>
      <c r="D9" s="2">
        <f t="shared" si="0"/>
        <v>0.12753769059448347</v>
      </c>
      <c r="E9" s="1">
        <v>8191</v>
      </c>
      <c r="F9" s="2">
        <f t="shared" si="1"/>
        <v>8.7705585060818908E-2</v>
      </c>
      <c r="G9" s="1">
        <v>13344</v>
      </c>
      <c r="H9" s="1">
        <v>1739</v>
      </c>
      <c r="I9" s="1">
        <f t="shared" si="2"/>
        <v>11605</v>
      </c>
      <c r="J9" s="2">
        <f t="shared" si="3"/>
        <v>0.12426117868768202</v>
      </c>
      <c r="K9" s="2">
        <f>I9/I7</f>
        <v>1.6787212498191812</v>
      </c>
      <c r="L9" s="1">
        <v>65161</v>
      </c>
      <c r="M9" s="1">
        <v>44344</v>
      </c>
      <c r="N9" s="1">
        <v>56269</v>
      </c>
      <c r="O9">
        <f t="shared" si="4"/>
        <v>0.36995503740958607</v>
      </c>
      <c r="P9" s="1">
        <v>27172</v>
      </c>
      <c r="Q9" s="1">
        <v>8132</v>
      </c>
      <c r="R9" s="1">
        <v>35652</v>
      </c>
      <c r="S9" s="3">
        <f t="shared" si="5"/>
        <v>2.3062699149459318</v>
      </c>
      <c r="T9" t="s">
        <v>42</v>
      </c>
    </row>
    <row r="10" spans="1:20" x14ac:dyDescent="0.35">
      <c r="A10">
        <v>2018</v>
      </c>
      <c r="B10" s="1">
        <v>101127</v>
      </c>
      <c r="C10" s="1">
        <v>13698</v>
      </c>
      <c r="D10" s="2">
        <f t="shared" si="0"/>
        <v>0.1354534397341956</v>
      </c>
      <c r="E10" s="1">
        <v>10453</v>
      </c>
      <c r="F10" s="2">
        <f t="shared" si="1"/>
        <v>0.10336507559801042</v>
      </c>
      <c r="G10" s="1">
        <v>15322</v>
      </c>
      <c r="H10" s="1">
        <v>1722</v>
      </c>
      <c r="I10" s="1">
        <f t="shared" si="2"/>
        <v>13600</v>
      </c>
      <c r="J10" s="2">
        <f t="shared" si="3"/>
        <v>0.13448436124872684</v>
      </c>
      <c r="K10" s="2">
        <f>I10/I7</f>
        <v>1.9673079704903804</v>
      </c>
      <c r="L10" s="1">
        <v>87830</v>
      </c>
      <c r="M10" s="1">
        <v>62567</v>
      </c>
      <c r="N10" s="1">
        <v>81590</v>
      </c>
      <c r="O10">
        <f t="shared" si="4"/>
        <v>0.30963353352126488</v>
      </c>
      <c r="P10" s="1">
        <v>29529</v>
      </c>
      <c r="Q10" s="1">
        <v>11269</v>
      </c>
      <c r="R10" s="1">
        <v>35359</v>
      </c>
      <c r="S10" s="3">
        <f t="shared" si="5"/>
        <v>2.6870620131884291</v>
      </c>
      <c r="T10" t="s">
        <v>42</v>
      </c>
    </row>
    <row r="11" spans="1:20" x14ac:dyDescent="0.35">
      <c r="A11">
        <v>2019</v>
      </c>
      <c r="B11" s="1">
        <v>84818</v>
      </c>
      <c r="C11" s="1">
        <v>7850</v>
      </c>
      <c r="D11" s="2">
        <f t="shared" si="0"/>
        <v>9.2551109434318185E-2</v>
      </c>
      <c r="E11">
        <v>-636</v>
      </c>
      <c r="F11" s="2">
        <f t="shared" si="1"/>
        <v>-7.498408356716735E-3</v>
      </c>
      <c r="G11" s="1">
        <v>-2446</v>
      </c>
      <c r="H11" s="1">
        <v>1834</v>
      </c>
      <c r="I11" s="1">
        <f t="shared" si="2"/>
        <v>-4280</v>
      </c>
      <c r="J11" s="2">
        <f t="shared" si="3"/>
        <v>-5.0460987054634629E-2</v>
      </c>
      <c r="K11" s="2">
        <f t="shared" ref="K11:K16" si="6">I11/I7</f>
        <v>-0.61912339071314915</v>
      </c>
      <c r="L11" s="1">
        <v>102229</v>
      </c>
      <c r="M11" s="1">
        <v>76622</v>
      </c>
      <c r="N11" s="1">
        <v>97312</v>
      </c>
      <c r="O11">
        <f t="shared" si="4"/>
        <v>0.26314329168036832</v>
      </c>
      <c r="P11" s="1">
        <v>31396</v>
      </c>
      <c r="Q11" s="1">
        <v>11398</v>
      </c>
      <c r="R11" s="1">
        <v>44613</v>
      </c>
      <c r="S11" s="3">
        <f t="shared" si="5"/>
        <v>3.1120491174213352</v>
      </c>
      <c r="T11" t="s">
        <v>42</v>
      </c>
    </row>
    <row r="12" spans="1:20" x14ac:dyDescent="0.35">
      <c r="A12">
        <v>2015</v>
      </c>
      <c r="B12" s="1">
        <v>115158</v>
      </c>
      <c r="C12" s="1">
        <v>16591</v>
      </c>
      <c r="D12" s="2">
        <f t="shared" si="0"/>
        <v>0.1440716233348964</v>
      </c>
      <c r="E12" s="1">
        <v>-6135</v>
      </c>
      <c r="F12" s="2">
        <f t="shared" si="1"/>
        <v>-5.3274631376022508E-2</v>
      </c>
      <c r="G12" s="1">
        <v>19891</v>
      </c>
      <c r="H12" s="1">
        <v>7309</v>
      </c>
      <c r="I12" s="1">
        <f t="shared" si="2"/>
        <v>12582</v>
      </c>
      <c r="J12" s="2">
        <f t="shared" si="3"/>
        <v>0.10925858385869848</v>
      </c>
      <c r="K12" s="2">
        <f>I12/I12</f>
        <v>1</v>
      </c>
      <c r="L12" s="1">
        <v>151550</v>
      </c>
      <c r="M12" s="1">
        <v>22515</v>
      </c>
      <c r="N12" s="1">
        <v>128963</v>
      </c>
      <c r="O12">
        <f t="shared" si="4"/>
        <v>1.0005582996673466</v>
      </c>
      <c r="P12" s="1">
        <v>492692</v>
      </c>
      <c r="Q12" s="1">
        <v>82270</v>
      </c>
      <c r="R12" s="1">
        <v>260619</v>
      </c>
      <c r="S12" s="3">
        <f t="shared" si="5"/>
        <v>0.72217433456234692</v>
      </c>
      <c r="T12" t="s">
        <v>43</v>
      </c>
    </row>
    <row r="13" spans="1:20" x14ac:dyDescent="0.35">
      <c r="A13">
        <v>2016</v>
      </c>
      <c r="B13" s="1">
        <v>119688</v>
      </c>
      <c r="C13" s="1">
        <v>20460</v>
      </c>
      <c r="D13" s="2">
        <f t="shared" si="0"/>
        <v>0.17094445558451976</v>
      </c>
      <c r="E13" s="1">
        <v>8163</v>
      </c>
      <c r="F13" s="2">
        <f t="shared" si="1"/>
        <v>6.8202326047724082E-2</v>
      </c>
      <c r="G13">
        <v>-244</v>
      </c>
      <c r="H13" s="1">
        <v>7199</v>
      </c>
      <c r="I13" s="1">
        <f t="shared" si="2"/>
        <v>-7443</v>
      </c>
      <c r="J13" s="2">
        <f t="shared" si="3"/>
        <v>-6.2186685381993186E-2</v>
      </c>
      <c r="K13" s="2">
        <f>I13/I12</f>
        <v>-0.59155937052932761</v>
      </c>
      <c r="L13" s="1">
        <v>121525</v>
      </c>
      <c r="M13" s="1">
        <v>22354</v>
      </c>
      <c r="N13" s="1">
        <v>103454</v>
      </c>
      <c r="O13">
        <f t="shared" si="4"/>
        <v>0.95859995746902005</v>
      </c>
      <c r="P13" s="1">
        <v>365183</v>
      </c>
      <c r="Q13" s="1">
        <v>86875</v>
      </c>
      <c r="R13" s="1">
        <v>181213</v>
      </c>
      <c r="S13" s="3">
        <f t="shared" si="5"/>
        <v>0.75412671963208544</v>
      </c>
      <c r="T13" t="s">
        <v>43</v>
      </c>
    </row>
    <row r="14" spans="1:20" x14ac:dyDescent="0.35">
      <c r="A14">
        <v>2017</v>
      </c>
      <c r="B14" s="1">
        <v>120468</v>
      </c>
      <c r="C14" s="1">
        <v>18012</v>
      </c>
      <c r="D14" s="2">
        <f t="shared" si="0"/>
        <v>0.14951688415180794</v>
      </c>
      <c r="E14" s="1">
        <v>-6246</v>
      </c>
      <c r="F14" s="2">
        <f t="shared" si="1"/>
        <v>-5.1847793604940733E-2</v>
      </c>
      <c r="G14" s="1">
        <v>10426</v>
      </c>
      <c r="H14" s="1">
        <v>7371</v>
      </c>
      <c r="I14" s="1">
        <f t="shared" si="2"/>
        <v>3055</v>
      </c>
      <c r="J14" s="2">
        <f t="shared" si="3"/>
        <v>2.5359431550287213E-2</v>
      </c>
      <c r="K14" s="2">
        <f>I14/I12</f>
        <v>0.24280718486727071</v>
      </c>
      <c r="L14" s="1">
        <v>112645</v>
      </c>
      <c r="M14" s="1">
        <v>21923</v>
      </c>
      <c r="N14" s="1">
        <v>111142</v>
      </c>
      <c r="O14">
        <f t="shared" si="4"/>
        <v>0.81627107664069387</v>
      </c>
      <c r="P14" s="1">
        <v>377945</v>
      </c>
      <c r="Q14" s="1">
        <v>104242</v>
      </c>
      <c r="R14" s="1">
        <v>181418</v>
      </c>
      <c r="S14" s="3">
        <f t="shared" si="5"/>
        <v>0.8027989298209508</v>
      </c>
      <c r="T14" t="s">
        <v>43</v>
      </c>
    </row>
    <row r="15" spans="1:20" x14ac:dyDescent="0.35">
      <c r="A15">
        <v>2018</v>
      </c>
      <c r="B15" s="1">
        <v>121615</v>
      </c>
      <c r="C15" s="1">
        <v>19767</v>
      </c>
      <c r="D15" s="2">
        <f t="shared" si="0"/>
        <v>0.16253751593142293</v>
      </c>
      <c r="E15" s="1">
        <v>-22809</v>
      </c>
      <c r="F15" s="2">
        <f t="shared" si="1"/>
        <v>-0.18755087777001192</v>
      </c>
      <c r="G15" s="1">
        <v>4246</v>
      </c>
      <c r="H15" s="1">
        <v>7695</v>
      </c>
      <c r="I15" s="1">
        <f t="shared" si="2"/>
        <v>-3449</v>
      </c>
      <c r="J15" s="2">
        <f t="shared" si="3"/>
        <v>-2.8359988488262138E-2</v>
      </c>
      <c r="K15" s="2">
        <f>I15/I12</f>
        <v>-0.27412176124622478</v>
      </c>
      <c r="L15" s="1">
        <v>88618</v>
      </c>
      <c r="M15" s="1">
        <v>19271</v>
      </c>
      <c r="N15" s="1">
        <v>97890</v>
      </c>
      <c r="O15">
        <f t="shared" si="4"/>
        <v>0.70841761160486261</v>
      </c>
      <c r="P15" s="1">
        <v>309129</v>
      </c>
      <c r="Q15" s="1">
        <v>77772</v>
      </c>
      <c r="R15" s="1">
        <v>159376</v>
      </c>
      <c r="S15" s="3">
        <f t="shared" si="5"/>
        <v>0.8555456528679366</v>
      </c>
      <c r="T15" t="s">
        <v>43</v>
      </c>
    </row>
    <row r="16" spans="1:20" x14ac:dyDescent="0.35">
      <c r="A16">
        <v>2019</v>
      </c>
      <c r="B16" s="1">
        <v>95214</v>
      </c>
      <c r="C16" s="1">
        <v>14497</v>
      </c>
      <c r="D16" s="2">
        <f t="shared" si="0"/>
        <v>0.15225702102631966</v>
      </c>
      <c r="E16" s="1">
        <v>-5440</v>
      </c>
      <c r="F16" s="2">
        <f t="shared" si="1"/>
        <v>-5.7134455017119334E-2</v>
      </c>
      <c r="G16" s="1">
        <v>8772</v>
      </c>
      <c r="H16" s="1">
        <v>5813</v>
      </c>
      <c r="I16" s="1">
        <f t="shared" si="2"/>
        <v>2959</v>
      </c>
      <c r="J16" s="2">
        <f t="shared" si="3"/>
        <v>3.1077362572730902E-2</v>
      </c>
      <c r="K16" s="2">
        <f t="shared" si="6"/>
        <v>0.23517723732316007</v>
      </c>
      <c r="L16" s="1">
        <v>78789</v>
      </c>
      <c r="M16" s="1">
        <v>14104</v>
      </c>
      <c r="N16" s="1">
        <v>110123</v>
      </c>
      <c r="O16">
        <f t="shared" si="4"/>
        <v>0.58738864723990447</v>
      </c>
      <c r="P16" s="1">
        <v>266048</v>
      </c>
      <c r="Q16" s="1">
        <v>37387</v>
      </c>
      <c r="R16" s="1">
        <v>125625</v>
      </c>
      <c r="S16" s="3">
        <f t="shared" si="5"/>
        <v>0.80365166049647851</v>
      </c>
      <c r="T16" t="s">
        <v>43</v>
      </c>
    </row>
    <row r="17" spans="1:20" x14ac:dyDescent="0.35">
      <c r="A17">
        <v>2015</v>
      </c>
      <c r="B17" s="1">
        <v>30274</v>
      </c>
      <c r="C17" s="1">
        <v>8495</v>
      </c>
      <c r="D17" s="2">
        <f t="shared" si="0"/>
        <v>0.28060381845808285</v>
      </c>
      <c r="E17" s="1">
        <v>4833</v>
      </c>
      <c r="F17" s="2">
        <f t="shared" si="1"/>
        <v>0.15964193697562265</v>
      </c>
      <c r="G17" s="1">
        <v>6420</v>
      </c>
      <c r="H17" s="1">
        <v>1461</v>
      </c>
      <c r="I17" s="1">
        <f t="shared" si="2"/>
        <v>4959</v>
      </c>
      <c r="J17" s="2">
        <f t="shared" si="3"/>
        <v>0.16380392415934467</v>
      </c>
      <c r="K17" s="2">
        <f>I17/I17</f>
        <v>1</v>
      </c>
      <c r="L17" s="1">
        <v>10986</v>
      </c>
      <c r="M17" s="1">
        <v>3518</v>
      </c>
      <c r="N17" s="1">
        <v>7118</v>
      </c>
      <c r="O17">
        <f t="shared" si="4"/>
        <v>1.049171115481877</v>
      </c>
      <c r="P17" s="1">
        <v>21732</v>
      </c>
      <c r="Q17" s="1">
        <v>11850</v>
      </c>
      <c r="R17" s="1">
        <v>13853</v>
      </c>
      <c r="S17" s="3">
        <f t="shared" si="5"/>
        <v>1.2087031700288184</v>
      </c>
      <c r="T17" t="s">
        <v>58</v>
      </c>
    </row>
    <row r="18" spans="1:20" x14ac:dyDescent="0.35">
      <c r="A18">
        <v>2016</v>
      </c>
      <c r="B18" s="1">
        <v>30109</v>
      </c>
      <c r="C18" s="1">
        <v>8697</v>
      </c>
      <c r="D18" s="2">
        <f t="shared" si="0"/>
        <v>0.28885050981434124</v>
      </c>
      <c r="E18" s="1">
        <v>5050</v>
      </c>
      <c r="F18" s="2">
        <f t="shared" si="1"/>
        <v>0.16772393636454216</v>
      </c>
      <c r="G18" s="1">
        <v>6662</v>
      </c>
      <c r="H18" s="1">
        <v>1420</v>
      </c>
      <c r="I18" s="1">
        <f t="shared" si="2"/>
        <v>5242</v>
      </c>
      <c r="J18" s="2">
        <f t="shared" si="3"/>
        <v>0.1741007672124614</v>
      </c>
      <c r="K18" s="2">
        <f>I18/I17</f>
        <v>1.0570679572494455</v>
      </c>
      <c r="L18" s="1">
        <v>11726</v>
      </c>
      <c r="M18" s="1">
        <v>3385</v>
      </c>
      <c r="N18" s="1">
        <v>6219</v>
      </c>
      <c r="O18">
        <f t="shared" si="4"/>
        <v>1.3412124135713137</v>
      </c>
      <c r="P18" s="1">
        <v>21180</v>
      </c>
      <c r="Q18" s="1">
        <v>11486</v>
      </c>
      <c r="R18" s="1">
        <v>16344</v>
      </c>
      <c r="S18" s="3">
        <f t="shared" si="5"/>
        <v>1.2510673690047132</v>
      </c>
      <c r="T18" t="s">
        <v>58</v>
      </c>
    </row>
    <row r="19" spans="1:20" x14ac:dyDescent="0.35">
      <c r="A19">
        <v>2017</v>
      </c>
      <c r="B19" s="1">
        <v>31657</v>
      </c>
      <c r="C19" s="1">
        <v>8877</v>
      </c>
      <c r="D19" s="2">
        <f t="shared" si="0"/>
        <v>0.28041191521622388</v>
      </c>
      <c r="E19" s="1">
        <v>4858</v>
      </c>
      <c r="F19" s="2">
        <f t="shared" si="1"/>
        <v>0.15345737119752345</v>
      </c>
      <c r="G19" s="1">
        <v>6240</v>
      </c>
      <c r="H19" s="1">
        <v>1373</v>
      </c>
      <c r="I19" s="1">
        <f t="shared" si="2"/>
        <v>4867</v>
      </c>
      <c r="J19" s="2">
        <f t="shared" si="3"/>
        <v>0.15374166850933443</v>
      </c>
      <c r="K19" s="2">
        <f>I19/I17</f>
        <v>0.98144787255495058</v>
      </c>
      <c r="L19" s="1">
        <v>14277</v>
      </c>
      <c r="M19" s="1">
        <v>4034</v>
      </c>
      <c r="N19" s="1">
        <v>7687</v>
      </c>
      <c r="O19">
        <f t="shared" si="4"/>
        <v>1.3325094315077404</v>
      </c>
      <c r="P19" s="1">
        <v>23710</v>
      </c>
      <c r="Q19" s="1">
        <v>13449</v>
      </c>
      <c r="R19" s="1">
        <v>18678</v>
      </c>
      <c r="S19" s="3">
        <f t="shared" si="5"/>
        <v>1.2858466640655482</v>
      </c>
      <c r="T19" t="s">
        <v>58</v>
      </c>
    </row>
    <row r="20" spans="1:20" x14ac:dyDescent="0.35">
      <c r="A20">
        <v>2018</v>
      </c>
      <c r="B20" s="1">
        <v>32765</v>
      </c>
      <c r="C20" s="1">
        <v>9172</v>
      </c>
      <c r="D20" s="2">
        <f t="shared" si="0"/>
        <v>0.27993285518083322</v>
      </c>
      <c r="E20" s="1">
        <v>5349</v>
      </c>
      <c r="F20" s="2">
        <f t="shared" si="1"/>
        <v>0.16325347169235466</v>
      </c>
      <c r="G20" s="1">
        <v>6439</v>
      </c>
      <c r="H20" s="1">
        <v>1577</v>
      </c>
      <c r="I20" s="1">
        <f t="shared" si="2"/>
        <v>4862</v>
      </c>
      <c r="J20" s="2">
        <f t="shared" si="3"/>
        <v>0.14839005035861438</v>
      </c>
      <c r="K20" s="2">
        <f>I20/I17</f>
        <v>0.98043960475902403</v>
      </c>
      <c r="L20" s="1">
        <v>13709</v>
      </c>
      <c r="M20" s="1">
        <v>4366</v>
      </c>
      <c r="N20" s="1">
        <v>7244</v>
      </c>
      <c r="O20">
        <f t="shared" si="4"/>
        <v>1.2897570403092213</v>
      </c>
      <c r="P20" s="1">
        <v>22791</v>
      </c>
      <c r="Q20" s="1">
        <v>12708</v>
      </c>
      <c r="R20" s="1">
        <v>19408</v>
      </c>
      <c r="S20" s="3">
        <f t="shared" si="5"/>
        <v>1.3719757026665294</v>
      </c>
      <c r="T20" t="s">
        <v>58</v>
      </c>
    </row>
    <row r="21" spans="1:20" x14ac:dyDescent="0.35">
      <c r="A21">
        <v>2019</v>
      </c>
      <c r="B21" s="1">
        <v>32136</v>
      </c>
      <c r="C21" s="1">
        <v>8661</v>
      </c>
      <c r="D21" s="2">
        <f t="shared" si="0"/>
        <v>0.26951082897684842</v>
      </c>
      <c r="E21" s="1">
        <v>4570</v>
      </c>
      <c r="F21" s="2">
        <f t="shared" si="1"/>
        <v>0.14220811550908638</v>
      </c>
      <c r="G21" s="1">
        <v>7070</v>
      </c>
      <c r="H21" s="1">
        <v>1699</v>
      </c>
      <c r="I21" s="1">
        <f t="shared" si="2"/>
        <v>5371</v>
      </c>
      <c r="J21" s="2">
        <f t="shared" si="3"/>
        <v>0.16713343291013194</v>
      </c>
      <c r="K21" s="2">
        <f>I21/I17</f>
        <v>1.0830812663843516</v>
      </c>
      <c r="L21" s="1">
        <v>12971</v>
      </c>
      <c r="M21" s="1">
        <v>4134</v>
      </c>
      <c r="N21" s="1">
        <v>9222</v>
      </c>
      <c r="O21">
        <f t="shared" si="4"/>
        <v>0.95825200607243544</v>
      </c>
      <c r="P21" s="1">
        <v>31688</v>
      </c>
      <c r="Q21" s="1">
        <v>19823</v>
      </c>
      <c r="R21" s="1">
        <v>25311</v>
      </c>
      <c r="S21" s="3">
        <f t="shared" si="5"/>
        <v>1.6680997005120277</v>
      </c>
      <c r="T21" t="s">
        <v>58</v>
      </c>
    </row>
    <row r="22" spans="1:20" x14ac:dyDescent="0.35">
      <c r="A22">
        <v>2015</v>
      </c>
      <c r="B22" s="1">
        <v>76279</v>
      </c>
      <c r="C22" s="1">
        <v>17904</v>
      </c>
      <c r="D22" s="2">
        <f t="shared" si="0"/>
        <v>0.2347172878511779</v>
      </c>
      <c r="E22" s="1">
        <v>6777</v>
      </c>
      <c r="F22" s="2">
        <f t="shared" si="1"/>
        <v>8.8844898333748479E-2</v>
      </c>
      <c r="G22" s="1">
        <v>14608</v>
      </c>
      <c r="H22" s="1">
        <v>3736</v>
      </c>
      <c r="I22" s="1">
        <f t="shared" si="2"/>
        <v>10872</v>
      </c>
      <c r="J22" s="2">
        <f t="shared" si="3"/>
        <v>0.1425293986549378</v>
      </c>
      <c r="K22" s="2">
        <f>I22/I22</f>
        <v>1</v>
      </c>
      <c r="L22" s="1">
        <v>29646</v>
      </c>
      <c r="M22" s="1">
        <v>5454</v>
      </c>
      <c r="N22" s="1">
        <v>29790</v>
      </c>
      <c r="O22">
        <f t="shared" si="4"/>
        <v>0.81208459214501516</v>
      </c>
      <c r="P22" s="1">
        <v>99849</v>
      </c>
      <c r="Q22" s="1">
        <v>74145</v>
      </c>
      <c r="R22" s="1">
        <v>36655</v>
      </c>
      <c r="S22" s="3">
        <f t="shared" si="5"/>
        <v>1.33166987333654</v>
      </c>
      <c r="T22" t="s">
        <v>59</v>
      </c>
    </row>
    <row r="23" spans="1:20" x14ac:dyDescent="0.35">
      <c r="A23">
        <v>2016</v>
      </c>
      <c r="B23" s="1">
        <v>65299</v>
      </c>
      <c r="C23" s="1">
        <v>17439</v>
      </c>
      <c r="D23" s="2">
        <f t="shared" si="0"/>
        <v>0.26706381414723041</v>
      </c>
      <c r="E23" s="1">
        <v>10253</v>
      </c>
      <c r="F23" s="2">
        <f t="shared" si="1"/>
        <v>0.15701618707790319</v>
      </c>
      <c r="G23" s="1">
        <v>15435</v>
      </c>
      <c r="H23" s="1">
        <v>3314</v>
      </c>
      <c r="I23" s="1">
        <f t="shared" si="2"/>
        <v>12121</v>
      </c>
      <c r="J23" s="2">
        <f t="shared" si="3"/>
        <v>0.18562305701465567</v>
      </c>
      <c r="K23" s="2">
        <f>I23/I22</f>
        <v>1.1148822663723326</v>
      </c>
      <c r="L23" s="1">
        <v>33782</v>
      </c>
      <c r="M23" s="1">
        <v>4716</v>
      </c>
      <c r="N23" s="1">
        <v>30770</v>
      </c>
      <c r="O23">
        <f t="shared" si="4"/>
        <v>0.94462138446538835</v>
      </c>
      <c r="P23" s="1">
        <v>93354</v>
      </c>
      <c r="Q23" s="1">
        <v>68877</v>
      </c>
      <c r="R23" s="1">
        <v>38383</v>
      </c>
      <c r="S23" s="3">
        <f t="shared" si="5"/>
        <v>1.291541377957903</v>
      </c>
      <c r="T23" t="s">
        <v>59</v>
      </c>
    </row>
    <row r="24" spans="1:20" x14ac:dyDescent="0.35">
      <c r="A24">
        <v>2017</v>
      </c>
      <c r="B24" s="1">
        <v>65058</v>
      </c>
      <c r="C24" s="1">
        <v>17505</v>
      </c>
      <c r="D24" s="2">
        <f t="shared" si="0"/>
        <v>0.26906760121737527</v>
      </c>
      <c r="E24" s="1">
        <v>15079</v>
      </c>
      <c r="F24" s="2">
        <f t="shared" si="1"/>
        <v>0.23177779827231085</v>
      </c>
      <c r="G24" s="1">
        <v>12753</v>
      </c>
      <c r="H24" s="1">
        <v>3384</v>
      </c>
      <c r="I24" s="1">
        <f t="shared" si="2"/>
        <v>9369</v>
      </c>
      <c r="J24" s="2">
        <f t="shared" si="3"/>
        <v>0.14400996034307847</v>
      </c>
      <c r="K24" s="2">
        <f>I24/I22</f>
        <v>0.86175496688741726</v>
      </c>
      <c r="L24" s="1">
        <v>26494</v>
      </c>
      <c r="M24" s="1">
        <v>4624</v>
      </c>
      <c r="N24" s="1">
        <v>30210</v>
      </c>
      <c r="O24">
        <f t="shared" si="4"/>
        <v>0.7239324726911619</v>
      </c>
      <c r="P24" s="1">
        <v>93912</v>
      </c>
      <c r="Q24" s="1">
        <v>68886</v>
      </c>
      <c r="R24" s="1">
        <v>34418</v>
      </c>
      <c r="S24" s="3">
        <f t="shared" si="5"/>
        <v>1.3781132719208462</v>
      </c>
      <c r="T24" t="s">
        <v>59</v>
      </c>
    </row>
    <row r="25" spans="1:20" x14ac:dyDescent="0.35">
      <c r="A25">
        <v>2018</v>
      </c>
      <c r="B25" s="1">
        <v>66832</v>
      </c>
      <c r="C25" s="1">
        <v>17615</v>
      </c>
      <c r="D25" s="2">
        <f t="shared" si="0"/>
        <v>0.26357134306918839</v>
      </c>
      <c r="E25" s="1">
        <v>9485</v>
      </c>
      <c r="F25" s="2">
        <f t="shared" si="1"/>
        <v>0.14192303088340916</v>
      </c>
      <c r="G25" s="1">
        <v>14867</v>
      </c>
      <c r="H25" s="1">
        <v>3717</v>
      </c>
      <c r="I25" s="1">
        <f t="shared" si="2"/>
        <v>11150</v>
      </c>
      <c r="J25" s="2">
        <f t="shared" si="3"/>
        <v>0.16683624610964806</v>
      </c>
      <c r="K25" s="2">
        <f>I25/I22</f>
        <v>1.0255702722590139</v>
      </c>
      <c r="L25" s="1">
        <v>23320</v>
      </c>
      <c r="M25" s="1">
        <v>4738</v>
      </c>
      <c r="N25" s="1">
        <v>28237</v>
      </c>
      <c r="O25">
        <f t="shared" si="4"/>
        <v>0.65807274143853811</v>
      </c>
      <c r="P25" s="1">
        <v>94990</v>
      </c>
      <c r="Q25" s="1">
        <v>69077</v>
      </c>
      <c r="R25" s="1">
        <v>37190</v>
      </c>
      <c r="S25" s="3">
        <f t="shared" si="5"/>
        <v>1.4704348803236318</v>
      </c>
      <c r="T25" t="s">
        <v>59</v>
      </c>
    </row>
    <row r="26" spans="1:20" x14ac:dyDescent="0.35">
      <c r="A26">
        <v>2019</v>
      </c>
      <c r="B26" s="1">
        <v>67684</v>
      </c>
      <c r="C26" s="1">
        <v>17390</v>
      </c>
      <c r="D26" s="2">
        <f t="shared" si="0"/>
        <v>0.25692925950002954</v>
      </c>
      <c r="E26" s="1">
        <v>3634</v>
      </c>
      <c r="F26" s="2">
        <f t="shared" si="1"/>
        <v>5.369068021984516E-2</v>
      </c>
      <c r="G26" s="1">
        <v>15242</v>
      </c>
      <c r="H26" s="1">
        <v>3347</v>
      </c>
      <c r="I26" s="1">
        <f t="shared" si="2"/>
        <v>11895</v>
      </c>
      <c r="J26" s="2">
        <f t="shared" si="3"/>
        <v>0.17574315938774304</v>
      </c>
      <c r="K26" s="2">
        <f t="shared" ref="K26" si="7">I26/I22</f>
        <v>1.0940949227373069</v>
      </c>
      <c r="L26" s="1">
        <v>22473</v>
      </c>
      <c r="M26" s="1">
        <v>5017</v>
      </c>
      <c r="N26" s="1">
        <v>30011</v>
      </c>
      <c r="O26">
        <f t="shared" si="4"/>
        <v>0.58165339375562297</v>
      </c>
      <c r="P26" s="1">
        <v>92622</v>
      </c>
      <c r="Q26" s="1">
        <v>64488</v>
      </c>
      <c r="R26" s="1">
        <v>37505</v>
      </c>
      <c r="S26" s="3">
        <f t="shared" si="5"/>
        <v>1.4809388023689405</v>
      </c>
      <c r="T26" t="s">
        <v>59</v>
      </c>
    </row>
    <row r="32" spans="1:20" x14ac:dyDescent="0.35">
      <c r="A32">
        <v>2015</v>
      </c>
      <c r="B32" s="1">
        <v>149558</v>
      </c>
      <c r="C32" s="1">
        <v>18094</v>
      </c>
      <c r="D32" s="2">
        <f t="shared" si="0"/>
        <v>0.12098316372243545</v>
      </c>
      <c r="E32" s="1">
        <v>7373</v>
      </c>
      <c r="F32" s="2">
        <f t="shared" si="1"/>
        <v>4.9298599874296259E-2</v>
      </c>
      <c r="G32" s="1">
        <v>16170</v>
      </c>
      <c r="H32" s="1">
        <v>7196</v>
      </c>
      <c r="I32" s="1">
        <f t="shared" si="2"/>
        <v>8974</v>
      </c>
      <c r="J32" s="2">
        <f t="shared" si="3"/>
        <v>6.0003476911967266E-2</v>
      </c>
      <c r="K32" s="2">
        <f>I32/I32</f>
        <v>1</v>
      </c>
      <c r="L32" s="1">
        <v>148262</v>
      </c>
      <c r="M32" s="1">
        <v>8319</v>
      </c>
      <c r="N32" s="1">
        <v>81262</v>
      </c>
      <c r="O32">
        <f t="shared" si="4"/>
        <v>1.7221210405847751</v>
      </c>
      <c r="P32" s="1">
        <v>224925</v>
      </c>
      <c r="Q32">
        <v>124</v>
      </c>
      <c r="R32" s="1">
        <v>114912</v>
      </c>
      <c r="S32" s="3">
        <f t="shared" si="5"/>
        <v>0.53784023863312347</v>
      </c>
      <c r="T32" t="s">
        <v>79</v>
      </c>
    </row>
    <row r="33" spans="1:20" x14ac:dyDescent="0.35">
      <c r="A33">
        <v>2016</v>
      </c>
      <c r="B33" s="1">
        <v>151800</v>
      </c>
      <c r="C33" s="1">
        <v>15947</v>
      </c>
      <c r="D33" s="2">
        <f t="shared" si="0"/>
        <v>0.10505270092226614</v>
      </c>
      <c r="E33" s="1">
        <v>4596</v>
      </c>
      <c r="F33" s="2">
        <f t="shared" si="1"/>
        <v>3.0276679841897233E-2</v>
      </c>
      <c r="G33" s="1">
        <v>19792</v>
      </c>
      <c r="H33" s="1">
        <v>6992</v>
      </c>
      <c r="I33" s="1">
        <f t="shared" si="2"/>
        <v>12800</v>
      </c>
      <c r="J33" s="2">
        <f t="shared" si="3"/>
        <v>8.4321475625823455E-2</v>
      </c>
      <c r="K33" s="2">
        <f>I33/I32</f>
        <v>1.4263427679964342</v>
      </c>
      <c r="L33" s="1">
        <v>108461</v>
      </c>
      <c r="M33" s="1">
        <v>8898</v>
      </c>
      <c r="N33" s="1">
        <v>90281</v>
      </c>
      <c r="O33">
        <f t="shared" si="4"/>
        <v>1.1028123303906692</v>
      </c>
      <c r="P33" s="1">
        <v>129490</v>
      </c>
      <c r="Q33">
        <v>248</v>
      </c>
      <c r="R33" s="1">
        <v>118387</v>
      </c>
      <c r="S33" s="3">
        <f t="shared" si="5"/>
        <v>0.91199055964686082</v>
      </c>
      <c r="T33" t="s">
        <v>79</v>
      </c>
    </row>
    <row r="34" spans="1:20" x14ac:dyDescent="0.35">
      <c r="A34">
        <v>2017</v>
      </c>
      <c r="B34" s="1">
        <v>156776</v>
      </c>
      <c r="C34" s="1">
        <v>17166</v>
      </c>
      <c r="D34" s="2">
        <f t="shared" si="0"/>
        <v>0.10949380007143951</v>
      </c>
      <c r="E34" s="1">
        <v>7602</v>
      </c>
      <c r="F34" s="2">
        <f t="shared" si="1"/>
        <v>4.8489564729295304E-2</v>
      </c>
      <c r="G34" s="1">
        <v>18096</v>
      </c>
      <c r="H34" s="1">
        <v>7049</v>
      </c>
      <c r="I34" s="1">
        <f t="shared" si="2"/>
        <v>11047</v>
      </c>
      <c r="J34" s="2">
        <f t="shared" si="3"/>
        <v>7.046359136602541E-2</v>
      </c>
      <c r="K34" s="2">
        <f>I34/I32</f>
        <v>1.2310006685981725</v>
      </c>
      <c r="L34" s="1">
        <v>115902</v>
      </c>
      <c r="M34" s="1">
        <v>10277</v>
      </c>
      <c r="N34" s="1">
        <v>94600</v>
      </c>
      <c r="O34">
        <f t="shared" si="4"/>
        <v>1.1165433403805496</v>
      </c>
      <c r="P34" s="1">
        <v>141906</v>
      </c>
      <c r="Q34">
        <v>288</v>
      </c>
      <c r="R34" s="1">
        <v>128192</v>
      </c>
      <c r="S34" s="3">
        <f t="shared" si="5"/>
        <v>0.90110539024360647</v>
      </c>
      <c r="T34" t="s">
        <v>79</v>
      </c>
    </row>
    <row r="35" spans="1:20" x14ac:dyDescent="0.35">
      <c r="A35">
        <v>2018</v>
      </c>
      <c r="B35" s="1">
        <v>160338</v>
      </c>
      <c r="C35" s="1">
        <v>17187</v>
      </c>
      <c r="D35" s="2">
        <f t="shared" si="0"/>
        <v>0.10719230625304045</v>
      </c>
      <c r="E35" s="1">
        <v>3677</v>
      </c>
      <c r="F35" s="2">
        <f t="shared" si="1"/>
        <v>2.2932804450598112E-2</v>
      </c>
      <c r="G35" s="1">
        <v>15022</v>
      </c>
      <c r="H35" s="1">
        <v>7785</v>
      </c>
      <c r="I35" s="1">
        <f t="shared" si="2"/>
        <v>7237</v>
      </c>
      <c r="J35" s="2">
        <f t="shared" si="3"/>
        <v>4.5135900410383067E-2</v>
      </c>
      <c r="K35" s="2">
        <f>I35/I32</f>
        <v>0.80644082906173387</v>
      </c>
      <c r="L35" s="1">
        <v>114649</v>
      </c>
      <c r="M35" s="1">
        <v>11220</v>
      </c>
      <c r="N35" s="1">
        <v>95569</v>
      </c>
      <c r="O35">
        <f t="shared" si="4"/>
        <v>1.0822442423798513</v>
      </c>
      <c r="P35" s="1">
        <v>141891</v>
      </c>
      <c r="Q35">
        <v>442</v>
      </c>
      <c r="R35" s="1">
        <v>124905</v>
      </c>
      <c r="S35" s="3">
        <f t="shared" si="5"/>
        <v>0.90034221122354807</v>
      </c>
      <c r="T35" t="s">
        <v>79</v>
      </c>
    </row>
    <row r="36" spans="1:20" x14ac:dyDescent="0.35">
      <c r="A36">
        <v>2019</v>
      </c>
      <c r="B36" s="1">
        <v>155900</v>
      </c>
      <c r="C36" s="1">
        <v>16260</v>
      </c>
      <c r="D36" s="2">
        <f t="shared" si="0"/>
        <v>0.10429762668377165</v>
      </c>
      <c r="E36">
        <v>47</v>
      </c>
      <c r="F36" s="2">
        <f t="shared" si="1"/>
        <v>3.0147530468248876E-4</v>
      </c>
      <c r="G36" s="1">
        <v>17639</v>
      </c>
      <c r="H36" s="1">
        <v>7632</v>
      </c>
      <c r="I36" s="1">
        <f t="shared" si="2"/>
        <v>10007</v>
      </c>
      <c r="J36" s="2">
        <f t="shared" si="3"/>
        <v>6.4188582424631171E-2</v>
      </c>
      <c r="K36" s="2">
        <f t="shared" ref="K36" si="8">I36/I32</f>
        <v>1.1151103186984623</v>
      </c>
      <c r="L36" s="1">
        <v>114047</v>
      </c>
      <c r="M36" s="1">
        <v>10786</v>
      </c>
      <c r="N36" s="1">
        <v>98132</v>
      </c>
      <c r="O36">
        <f t="shared" si="4"/>
        <v>1.0522663351404231</v>
      </c>
      <c r="P36" s="1">
        <v>144490</v>
      </c>
      <c r="Q36">
        <v>466</v>
      </c>
      <c r="R36" s="1">
        <v>127175</v>
      </c>
      <c r="S36" s="3">
        <f t="shared" si="5"/>
        <v>0.91112279353782077</v>
      </c>
      <c r="T36" t="s">
        <v>79</v>
      </c>
    </row>
    <row r="37" spans="1:20" x14ac:dyDescent="0.35">
      <c r="A37">
        <v>2015</v>
      </c>
      <c r="B37" s="1">
        <v>152356</v>
      </c>
      <c r="C37" s="1">
        <v>17026</v>
      </c>
      <c r="D37" s="2">
        <f t="shared" si="0"/>
        <v>0.11175142429572843</v>
      </c>
      <c r="E37" s="1">
        <v>9687</v>
      </c>
      <c r="F37" s="2">
        <f t="shared" si="1"/>
        <v>6.358134894588989E-2</v>
      </c>
      <c r="G37" s="1">
        <v>11978</v>
      </c>
      <c r="H37" s="1">
        <v>23032</v>
      </c>
      <c r="I37" s="1">
        <f t="shared" si="2"/>
        <v>-11054</v>
      </c>
      <c r="J37" s="2">
        <f t="shared" si="3"/>
        <v>-7.2553755677492185E-2</v>
      </c>
      <c r="K37" s="2">
        <f>I37/ABS(I37)</f>
        <v>-1</v>
      </c>
      <c r="L37" s="1">
        <v>78007</v>
      </c>
      <c r="M37" s="1">
        <v>13764</v>
      </c>
      <c r="N37" s="1">
        <v>71466</v>
      </c>
      <c r="O37">
        <f t="shared" si="4"/>
        <v>0.89893096017686736</v>
      </c>
      <c r="P37" s="1">
        <v>116513</v>
      </c>
      <c r="Q37" s="1">
        <v>5947</v>
      </c>
      <c r="R37" s="1">
        <v>82731</v>
      </c>
      <c r="S37" s="3">
        <f t="shared" si="5"/>
        <v>0.8820884508234702</v>
      </c>
      <c r="T37" t="s">
        <v>80</v>
      </c>
    </row>
    <row r="38" spans="1:20" x14ac:dyDescent="0.35">
      <c r="A38">
        <v>2016</v>
      </c>
      <c r="B38" s="1">
        <v>166380</v>
      </c>
      <c r="C38" s="1">
        <v>22063</v>
      </c>
      <c r="D38" s="2">
        <f t="shared" si="0"/>
        <v>0.13260608246183436</v>
      </c>
      <c r="E38" s="1">
        <v>9427</v>
      </c>
      <c r="F38" s="2">
        <f t="shared" si="1"/>
        <v>5.6659454261329484E-2</v>
      </c>
      <c r="G38" s="1">
        <v>16545</v>
      </c>
      <c r="H38" s="1">
        <v>29166</v>
      </c>
      <c r="I38" s="1">
        <f t="shared" si="2"/>
        <v>-12621</v>
      </c>
      <c r="J38" s="2">
        <f t="shared" si="3"/>
        <v>-7.5856473133790125E-2</v>
      </c>
      <c r="K38" s="2">
        <f>I38/ABS(I37)</f>
        <v>-1.1417586394065498</v>
      </c>
      <c r="L38" s="1">
        <v>76203</v>
      </c>
      <c r="M38" s="1">
        <v>13788</v>
      </c>
      <c r="N38" s="1">
        <v>85181</v>
      </c>
      <c r="O38">
        <f t="shared" si="4"/>
        <v>0.73273382561838907</v>
      </c>
      <c r="P38" s="1">
        <v>145487</v>
      </c>
      <c r="Q38" s="1">
        <v>6259</v>
      </c>
      <c r="R38" s="1">
        <v>92434</v>
      </c>
      <c r="S38" s="3">
        <f t="shared" si="5"/>
        <v>0.88083890836775891</v>
      </c>
      <c r="T38" t="s">
        <v>80</v>
      </c>
    </row>
    <row r="39" spans="1:20" x14ac:dyDescent="0.35">
      <c r="A39">
        <v>2017</v>
      </c>
      <c r="B39" s="1">
        <v>145588</v>
      </c>
      <c r="C39" s="1">
        <v>25123</v>
      </c>
      <c r="D39" s="2">
        <f t="shared" si="0"/>
        <v>0.17256229909058438</v>
      </c>
      <c r="E39" s="1">
        <v>-3880</v>
      </c>
      <c r="F39" s="2">
        <f t="shared" si="1"/>
        <v>-2.6650548122097974E-2</v>
      </c>
      <c r="G39" s="1">
        <v>17328</v>
      </c>
      <c r="H39" s="1">
        <v>27633</v>
      </c>
      <c r="I39" s="1">
        <f t="shared" si="2"/>
        <v>-10305</v>
      </c>
      <c r="J39" s="2">
        <f t="shared" si="3"/>
        <v>-7.0781932576860732E-2</v>
      </c>
      <c r="K39" s="2">
        <f>I39/ABS(I37)</f>
        <v>-0.93224172245341053</v>
      </c>
      <c r="L39" s="1">
        <v>68744</v>
      </c>
      <c r="M39" s="1">
        <v>10663</v>
      </c>
      <c r="N39" s="1">
        <v>76890</v>
      </c>
      <c r="O39">
        <f t="shared" si="4"/>
        <v>0.75537781245935753</v>
      </c>
      <c r="P39" s="1">
        <v>143738</v>
      </c>
      <c r="Q39" s="1">
        <v>5849</v>
      </c>
      <c r="R39" s="1">
        <v>99392</v>
      </c>
      <c r="S39" s="3">
        <f t="shared" si="5"/>
        <v>0.89953564321069557</v>
      </c>
      <c r="T39" t="s">
        <v>80</v>
      </c>
    </row>
    <row r="40" spans="1:20" x14ac:dyDescent="0.35">
      <c r="A40">
        <v>2018</v>
      </c>
      <c r="B40" s="1">
        <v>147049</v>
      </c>
      <c r="C40" s="1">
        <v>20492</v>
      </c>
      <c r="D40" s="2">
        <f t="shared" si="0"/>
        <v>0.13935490890791505</v>
      </c>
      <c r="E40" s="1">
        <v>7916</v>
      </c>
      <c r="F40" s="2">
        <f t="shared" si="1"/>
        <v>5.3832396004053068E-2</v>
      </c>
      <c r="G40" s="1">
        <v>15256</v>
      </c>
      <c r="H40" s="1">
        <v>25497</v>
      </c>
      <c r="I40" s="1">
        <f t="shared" si="2"/>
        <v>-10241</v>
      </c>
      <c r="J40" s="2">
        <f t="shared" si="3"/>
        <v>-6.96434521826058E-2</v>
      </c>
      <c r="K40" s="2">
        <f>I40/ABS(I37)</f>
        <v>-0.9264519630902841</v>
      </c>
      <c r="L40" s="1">
        <v>75293</v>
      </c>
      <c r="M40" s="1">
        <v>9816</v>
      </c>
      <c r="N40" s="1">
        <v>82237</v>
      </c>
      <c r="O40">
        <f t="shared" si="4"/>
        <v>0.79619879129832072</v>
      </c>
      <c r="P40" s="1">
        <v>152046</v>
      </c>
      <c r="Q40" s="1">
        <v>5579</v>
      </c>
      <c r="R40" s="1">
        <v>102325</v>
      </c>
      <c r="S40" s="3">
        <f t="shared" si="5"/>
        <v>0.87080549579134114</v>
      </c>
      <c r="T40" t="s">
        <v>80</v>
      </c>
    </row>
    <row r="41" spans="1:20" x14ac:dyDescent="0.35">
      <c r="A41">
        <v>2019</v>
      </c>
      <c r="B41" s="1">
        <v>137237</v>
      </c>
      <c r="C41" s="1">
        <v>18716</v>
      </c>
      <c r="D41" s="2">
        <f t="shared" si="0"/>
        <v>0.13637721605689429</v>
      </c>
      <c r="E41" s="1">
        <v>6581</v>
      </c>
      <c r="F41" s="2">
        <f t="shared" si="1"/>
        <v>4.7953540226032342E-2</v>
      </c>
      <c r="G41" s="1">
        <v>15021</v>
      </c>
      <c r="H41" s="1">
        <v>23996</v>
      </c>
      <c r="I41" s="1">
        <f t="shared" si="2"/>
        <v>-8975</v>
      </c>
      <c r="J41" s="2">
        <f t="shared" si="3"/>
        <v>-6.5397815457930442E-2</v>
      </c>
      <c r="K41" s="2">
        <f>I41/ABS(I37)</f>
        <v>-0.81192328568843852</v>
      </c>
      <c r="L41" s="1">
        <v>74992</v>
      </c>
      <c r="M41" s="1">
        <v>10398</v>
      </c>
      <c r="N41" s="1">
        <v>84905</v>
      </c>
      <c r="O41">
        <f t="shared" si="4"/>
        <v>0.76077969495318298</v>
      </c>
      <c r="P41" s="1">
        <v>153045</v>
      </c>
      <c r="Q41" s="1">
        <v>5337</v>
      </c>
      <c r="R41" s="1">
        <v>97175</v>
      </c>
      <c r="S41" s="3">
        <f t="shared" si="5"/>
        <v>0.85764618326723252</v>
      </c>
      <c r="T41" t="s">
        <v>80</v>
      </c>
    </row>
    <row r="42" spans="1:20" x14ac:dyDescent="0.35">
      <c r="F42" s="1"/>
    </row>
    <row r="43" spans="1:20" x14ac:dyDescent="0.35">
      <c r="F43" s="1"/>
      <c r="J43" s="1"/>
      <c r="K43" s="1"/>
      <c r="L43" s="1"/>
      <c r="M43" s="1"/>
      <c r="N43" s="1"/>
    </row>
    <row r="44" spans="1:20" x14ac:dyDescent="0.35">
      <c r="A44">
        <v>2015</v>
      </c>
      <c r="B44" s="1">
        <v>56450</v>
      </c>
      <c r="C44" s="1">
        <v>10415</v>
      </c>
      <c r="D44" s="2">
        <f>C44/B44</f>
        <v>0.18449955713020372</v>
      </c>
      <c r="E44" s="1">
        <v>7608</v>
      </c>
      <c r="F44" s="2">
        <f>E44/B44</f>
        <v>0.13477413640389727</v>
      </c>
      <c r="G44" s="1">
        <v>6326</v>
      </c>
      <c r="H44" s="1">
        <v>1652</v>
      </c>
      <c r="I44" s="1">
        <f>G44-H44</f>
        <v>4674</v>
      </c>
      <c r="J44" s="2">
        <f>I44/B44</f>
        <v>8.2798937112488924E-2</v>
      </c>
      <c r="K44" s="2">
        <f>I44/I44</f>
        <v>1</v>
      </c>
      <c r="L44" s="1">
        <v>26706</v>
      </c>
      <c r="M44" s="1">
        <v>8135</v>
      </c>
      <c r="N44" s="1">
        <v>22618</v>
      </c>
      <c r="O44">
        <f>(L44-M44)/N44</f>
        <v>0.82107171279511892</v>
      </c>
      <c r="P44" s="1">
        <v>60778</v>
      </c>
      <c r="Q44" s="1">
        <v>42904</v>
      </c>
      <c r="R44" s="1">
        <v>35900</v>
      </c>
      <c r="S44" s="3">
        <f>(N44+R44)/(L44+P44-M44-Q44)</f>
        <v>1.6056523528604747</v>
      </c>
      <c r="T44" t="s">
        <v>92</v>
      </c>
    </row>
    <row r="45" spans="1:20" x14ac:dyDescent="0.35">
      <c r="A45">
        <v>2016</v>
      </c>
      <c r="B45" s="1">
        <v>57244</v>
      </c>
      <c r="C45" s="1">
        <v>9535</v>
      </c>
      <c r="D45" s="2">
        <f>C45/B45</f>
        <v>0.16656767521486968</v>
      </c>
      <c r="E45" s="1">
        <v>5055</v>
      </c>
      <c r="F45" s="2">
        <f>E45/B45</f>
        <v>8.8306198029487804E-2</v>
      </c>
      <c r="G45" s="1">
        <v>3880</v>
      </c>
      <c r="H45" s="1">
        <v>1699</v>
      </c>
      <c r="I45" s="1">
        <f>G45-H45</f>
        <v>2181</v>
      </c>
      <c r="J45" s="2">
        <f>I45/B45</f>
        <v>3.8100062888687024E-2</v>
      </c>
      <c r="K45" s="2">
        <f>I45/I44</f>
        <v>0.46662387676508343</v>
      </c>
      <c r="L45" s="1">
        <v>28550</v>
      </c>
      <c r="M45" s="1">
        <v>8704</v>
      </c>
      <c r="N45" s="1">
        <v>21906</v>
      </c>
      <c r="O45">
        <f>(L45-M45)/N45</f>
        <v>0.90596183693965127</v>
      </c>
      <c r="P45" s="1">
        <v>61156</v>
      </c>
      <c r="Q45" s="1">
        <v>42743</v>
      </c>
      <c r="R45" s="1">
        <v>38335</v>
      </c>
      <c r="S45" s="3">
        <f>(N45+R45)/(L45+P45-M45-Q45)</f>
        <v>1.57455762042918</v>
      </c>
      <c r="T45" t="s">
        <v>92</v>
      </c>
    </row>
    <row r="46" spans="1:20" x14ac:dyDescent="0.35">
      <c r="A46">
        <v>2017</v>
      </c>
      <c r="B46" s="1">
        <v>59837</v>
      </c>
      <c r="C46" s="1">
        <v>9740</v>
      </c>
      <c r="D46" s="2">
        <f>C46/B46</f>
        <v>0.16277554021759114</v>
      </c>
      <c r="E46" s="1">
        <v>4552</v>
      </c>
      <c r="F46" s="2">
        <f>E46/B46</f>
        <v>7.6073332553436832E-2</v>
      </c>
      <c r="G46" s="1">
        <v>5631</v>
      </c>
      <c r="H46" s="1">
        <v>2014</v>
      </c>
      <c r="I46" s="1">
        <f>G46-H46</f>
        <v>3617</v>
      </c>
      <c r="J46" s="2">
        <f>I46/B46</f>
        <v>6.0447549175259456E-2</v>
      </c>
      <c r="K46" s="2">
        <f>I46/I44</f>
        <v>0.77385537013264871</v>
      </c>
      <c r="L46" s="1">
        <v>32858</v>
      </c>
      <c r="M46" s="1">
        <v>9881</v>
      </c>
      <c r="N46" s="1">
        <v>24391</v>
      </c>
      <c r="O46">
        <f>(L46-M46)/N46</f>
        <v>0.94202779713828866</v>
      </c>
      <c r="P46" s="1">
        <v>64062</v>
      </c>
      <c r="Q46" s="1">
        <v>43793</v>
      </c>
      <c r="R46" s="1">
        <v>40977</v>
      </c>
      <c r="S46" s="3">
        <f>(N46+R46)/(L46+P46-M46-Q46)</f>
        <v>1.5115386394117376</v>
      </c>
      <c r="T46" t="s">
        <v>92</v>
      </c>
    </row>
    <row r="47" spans="1:20" x14ac:dyDescent="0.35">
      <c r="A47">
        <v>2018</v>
      </c>
      <c r="B47" s="1">
        <v>66501</v>
      </c>
      <c r="C47" s="1">
        <v>9760</v>
      </c>
      <c r="D47" s="2">
        <f>C47/B47</f>
        <v>0.14676471030510818</v>
      </c>
      <c r="E47" s="1">
        <v>5269</v>
      </c>
      <c r="F47" s="2">
        <f>E47/B47</f>
        <v>7.9231891249755645E-2</v>
      </c>
      <c r="G47" s="1">
        <v>6322</v>
      </c>
      <c r="H47" s="1">
        <v>1902</v>
      </c>
      <c r="I47" s="1">
        <f>G47-H47</f>
        <v>4420</v>
      </c>
      <c r="J47" s="2">
        <f>I47/B47</f>
        <v>6.6465165937354326E-2</v>
      </c>
      <c r="K47" s="2">
        <f>I47/I44</f>
        <v>0.94565682498930248</v>
      </c>
      <c r="L47" s="1">
        <v>35503</v>
      </c>
      <c r="M47" s="1">
        <v>10083</v>
      </c>
      <c r="N47" s="1">
        <v>31368</v>
      </c>
      <c r="O47">
        <f>(L47-M47)/N47</f>
        <v>0.8103800051007396</v>
      </c>
      <c r="P47" s="1">
        <v>98708</v>
      </c>
      <c r="Q47" s="1">
        <v>74536</v>
      </c>
      <c r="R47" s="1">
        <v>62124</v>
      </c>
      <c r="S47" s="3">
        <f>(N47+R47)/(L47+P47-M47-Q47)</f>
        <v>1.8852234231327634</v>
      </c>
      <c r="T47" t="s">
        <v>92</v>
      </c>
    </row>
    <row r="48" spans="1:20" x14ac:dyDescent="0.35">
      <c r="A48">
        <v>2019</v>
      </c>
      <c r="B48" s="1">
        <v>77046</v>
      </c>
      <c r="C48" s="1">
        <v>13329</v>
      </c>
      <c r="D48" s="2">
        <f>C48/B48</f>
        <v>0.17300054512888405</v>
      </c>
      <c r="E48" s="1">
        <v>5537</v>
      </c>
      <c r="F48" s="2">
        <f>E48/B48</f>
        <v>7.1866157879708223E-2</v>
      </c>
      <c r="G48" s="1">
        <v>8883</v>
      </c>
      <c r="H48" s="1">
        <v>2256</v>
      </c>
      <c r="I48" s="1">
        <f>G48-H48</f>
        <v>6627</v>
      </c>
      <c r="J48" s="2">
        <f>I48/B48</f>
        <v>8.6013550346546216E-2</v>
      </c>
      <c r="K48" s="2">
        <f t="shared" ref="K48" si="9">I48/I44</f>
        <v>1.4178433889602053</v>
      </c>
      <c r="L48" s="1">
        <v>37497</v>
      </c>
      <c r="M48" s="1">
        <v>10950</v>
      </c>
      <c r="N48" s="1">
        <v>34586</v>
      </c>
      <c r="O48">
        <f>(L48-M48)/N48</f>
        <v>0.76756491065749144</v>
      </c>
      <c r="P48" s="1">
        <v>102219</v>
      </c>
      <c r="Q48" s="1">
        <v>74109</v>
      </c>
      <c r="R48" s="1">
        <v>60804</v>
      </c>
      <c r="S48" s="3">
        <f>(N48+R48)/(L48+P48-M48-Q48)</f>
        <v>1.7452476352525752</v>
      </c>
      <c r="T48" t="s">
        <v>92</v>
      </c>
    </row>
    <row r="49" spans="4:12" x14ac:dyDescent="0.35">
      <c r="G49" s="1"/>
      <c r="H49" s="1"/>
      <c r="I49" s="1"/>
      <c r="J49" s="1"/>
      <c r="K49" s="1"/>
    </row>
    <row r="50" spans="4:12" x14ac:dyDescent="0.35">
      <c r="G50" s="1"/>
      <c r="H50" s="1"/>
      <c r="I50" s="1"/>
      <c r="J50" s="1"/>
      <c r="K50" s="1"/>
    </row>
    <row r="51" spans="4:12" x14ac:dyDescent="0.35">
      <c r="D51" s="1"/>
      <c r="E51" s="1"/>
      <c r="F51" s="1"/>
      <c r="G51" s="1"/>
      <c r="H51" s="1"/>
      <c r="I51" s="1"/>
      <c r="J51" s="1"/>
      <c r="K51" s="1"/>
    </row>
    <row r="52" spans="4:12" x14ac:dyDescent="0.35">
      <c r="D52" s="1"/>
      <c r="E52" s="1"/>
      <c r="F52" s="1"/>
      <c r="G52" s="1"/>
      <c r="H52" s="1"/>
      <c r="I52" s="1"/>
      <c r="J52" s="1"/>
      <c r="K52" s="1"/>
      <c r="L52" s="1"/>
    </row>
    <row r="53" spans="4:12" x14ac:dyDescent="0.35">
      <c r="G53" s="1"/>
      <c r="H53" s="1"/>
      <c r="I53" s="1"/>
      <c r="J53" s="1"/>
      <c r="K53" s="1"/>
      <c r="L53" s="1"/>
    </row>
    <row r="54" spans="4:12" x14ac:dyDescent="0.35">
      <c r="G54" s="1"/>
      <c r="H54" s="1"/>
      <c r="I54" s="1"/>
      <c r="J54" s="1"/>
      <c r="K54" s="1"/>
      <c r="L54" s="1"/>
    </row>
    <row r="55" spans="4:12" x14ac:dyDescent="0.35">
      <c r="H55" s="1"/>
      <c r="I55" s="1"/>
      <c r="J55" s="1"/>
      <c r="K55" s="1"/>
      <c r="L55" s="1"/>
    </row>
    <row r="56" spans="4:12" x14ac:dyDescent="0.35">
      <c r="H56" s="1"/>
      <c r="I56" s="1"/>
      <c r="J56" s="1"/>
      <c r="K56" s="1"/>
      <c r="L56" s="1"/>
    </row>
    <row r="57" spans="4:12" x14ac:dyDescent="0.35">
      <c r="H57" s="1"/>
      <c r="I57" s="1"/>
      <c r="J57" s="1"/>
      <c r="K57" s="1"/>
      <c r="L57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3480-D0D5-4C2B-978D-09D3FC241DD7}">
  <dimension ref="A1:T20"/>
  <sheetViews>
    <sheetView topLeftCell="D1" workbookViewId="0">
      <selection activeCell="A2" sqref="A2:S16"/>
    </sheetView>
  </sheetViews>
  <sheetFormatPr defaultRowHeight="14.5" x14ac:dyDescent="0.35"/>
  <cols>
    <col min="11" max="11" width="14.08984375" customWidth="1"/>
    <col min="12" max="12" width="11.26953125" customWidth="1"/>
  </cols>
  <sheetData>
    <row r="1" spans="1:20" x14ac:dyDescent="0.35">
      <c r="A1" t="s">
        <v>1</v>
      </c>
      <c r="B1" t="s">
        <v>2</v>
      </c>
      <c r="C1" t="s">
        <v>3</v>
      </c>
      <c r="D1" t="s">
        <v>11</v>
      </c>
      <c r="E1" t="s">
        <v>4</v>
      </c>
      <c r="F1" t="s">
        <v>73</v>
      </c>
      <c r="G1" t="s">
        <v>6</v>
      </c>
      <c r="H1" s="1" t="s">
        <v>14</v>
      </c>
      <c r="I1" t="s">
        <v>5</v>
      </c>
      <c r="J1" t="s">
        <v>12</v>
      </c>
      <c r="K1" t="s">
        <v>13</v>
      </c>
      <c r="L1" t="s">
        <v>25</v>
      </c>
      <c r="M1" t="s">
        <v>39</v>
      </c>
      <c r="N1" t="s">
        <v>22</v>
      </c>
      <c r="O1" t="s">
        <v>26</v>
      </c>
      <c r="P1" t="s">
        <v>37</v>
      </c>
      <c r="Q1" t="s">
        <v>40</v>
      </c>
      <c r="R1" t="s">
        <v>27</v>
      </c>
      <c r="S1" t="s">
        <v>45</v>
      </c>
      <c r="T1" t="s">
        <v>0</v>
      </c>
    </row>
    <row r="2" spans="1:20" x14ac:dyDescent="0.35">
      <c r="A2">
        <v>2015</v>
      </c>
      <c r="B2" s="1">
        <v>2334</v>
      </c>
      <c r="C2">
        <v>306</v>
      </c>
      <c r="D2" s="2">
        <f t="shared" ref="D2:D16" si="0">C2/B2</f>
        <v>0.13110539845758354</v>
      </c>
      <c r="E2">
        <v>174</v>
      </c>
      <c r="F2" s="2">
        <f>E2/B2</f>
        <v>7.4550128534704371E-2</v>
      </c>
      <c r="G2">
        <v>95</v>
      </c>
      <c r="H2">
        <v>70</v>
      </c>
      <c r="I2" s="1">
        <f t="shared" ref="I2:I16" si="1">G2-H2</f>
        <v>25</v>
      </c>
      <c r="J2" s="2">
        <f>I2/B2</f>
        <v>1.0711225364181662E-2</v>
      </c>
      <c r="K2" s="2">
        <f>I2/I2</f>
        <v>1</v>
      </c>
      <c r="L2" s="1">
        <v>1249</v>
      </c>
      <c r="M2">
        <v>474</v>
      </c>
      <c r="N2">
        <v>366</v>
      </c>
      <c r="O2" s="3">
        <f t="shared" ref="O2:O16" si="2">(L2-M2)/N2</f>
        <v>2.1174863387978142</v>
      </c>
      <c r="P2">
        <v>597</v>
      </c>
      <c r="Q2">
        <v>207</v>
      </c>
      <c r="R2">
        <v>64</v>
      </c>
      <c r="S2" s="3">
        <f>(N2+R2)/(L2+P2-M2-Q2)</f>
        <v>0.36909871244635195</v>
      </c>
      <c r="T2" t="s">
        <v>76</v>
      </c>
    </row>
    <row r="3" spans="1:20" x14ac:dyDescent="0.35">
      <c r="A3">
        <v>2016</v>
      </c>
      <c r="B3" s="1">
        <v>2387</v>
      </c>
      <c r="C3">
        <v>317</v>
      </c>
      <c r="D3" s="2">
        <f t="shared" si="0"/>
        <v>0.13280268118977798</v>
      </c>
      <c r="E3">
        <v>192</v>
      </c>
      <c r="F3" s="2">
        <f t="shared" ref="F3:F16" si="3">E3/B3</f>
        <v>8.0435693338919145E-2</v>
      </c>
      <c r="G3">
        <v>275</v>
      </c>
      <c r="H3">
        <v>50</v>
      </c>
      <c r="I3" s="1">
        <f t="shared" si="1"/>
        <v>225</v>
      </c>
      <c r="J3" s="2">
        <f t="shared" ref="J3:J16" si="4">I3/B3</f>
        <v>9.4260578131545869E-2</v>
      </c>
      <c r="K3" s="2">
        <f>I3/I2</f>
        <v>9</v>
      </c>
      <c r="L3" s="1">
        <v>1412</v>
      </c>
      <c r="M3">
        <v>488</v>
      </c>
      <c r="N3">
        <v>363</v>
      </c>
      <c r="O3" s="3">
        <f t="shared" si="2"/>
        <v>2.5454545454545454</v>
      </c>
      <c r="P3">
        <v>602</v>
      </c>
      <c r="Q3">
        <v>202</v>
      </c>
      <c r="R3">
        <v>70</v>
      </c>
      <c r="S3" s="3">
        <f t="shared" ref="S3:S16" si="5">(N3+R3)/(L3+P3-M3-Q3)</f>
        <v>0.32703927492447132</v>
      </c>
      <c r="T3" t="s">
        <v>76</v>
      </c>
    </row>
    <row r="4" spans="1:20" x14ac:dyDescent="0.35">
      <c r="A4">
        <v>2017</v>
      </c>
      <c r="B4" s="1">
        <v>2480</v>
      </c>
      <c r="C4">
        <v>338</v>
      </c>
      <c r="D4" s="2">
        <f t="shared" si="0"/>
        <v>0.13629032258064516</v>
      </c>
      <c r="E4">
        <v>105</v>
      </c>
      <c r="F4" s="2">
        <f t="shared" si="3"/>
        <v>4.2338709677419352E-2</v>
      </c>
      <c r="G4">
        <v>341</v>
      </c>
      <c r="H4">
        <v>53</v>
      </c>
      <c r="I4" s="1">
        <f t="shared" si="1"/>
        <v>288</v>
      </c>
      <c r="J4" s="2">
        <f t="shared" si="4"/>
        <v>0.11612903225806452</v>
      </c>
      <c r="K4" s="2">
        <f>I4/I2</f>
        <v>11.52</v>
      </c>
      <c r="L4" s="1">
        <v>1649</v>
      </c>
      <c r="M4">
        <v>458</v>
      </c>
      <c r="N4">
        <v>454</v>
      </c>
      <c r="O4" s="3">
        <f t="shared" si="2"/>
        <v>2.6233480176211454</v>
      </c>
      <c r="P4">
        <v>563</v>
      </c>
      <c r="Q4">
        <v>198</v>
      </c>
      <c r="R4">
        <v>107</v>
      </c>
      <c r="S4" s="3">
        <f t="shared" si="5"/>
        <v>0.36053984575835474</v>
      </c>
      <c r="T4" t="s">
        <v>76</v>
      </c>
    </row>
    <row r="5" spans="1:20" x14ac:dyDescent="0.35">
      <c r="A5">
        <v>2018</v>
      </c>
      <c r="B5" s="1">
        <v>2818</v>
      </c>
      <c r="C5">
        <v>421</v>
      </c>
      <c r="D5" s="2">
        <f t="shared" si="0"/>
        <v>0.14939673527324343</v>
      </c>
      <c r="E5">
        <v>268</v>
      </c>
      <c r="F5" s="2">
        <f t="shared" si="3"/>
        <v>9.5102909865152588E-2</v>
      </c>
      <c r="G5">
        <v>290</v>
      </c>
      <c r="H5">
        <v>66</v>
      </c>
      <c r="I5" s="1">
        <f t="shared" si="1"/>
        <v>224</v>
      </c>
      <c r="J5" s="2">
        <f t="shared" si="4"/>
        <v>7.9488999290276793E-2</v>
      </c>
      <c r="K5" s="2">
        <f>I5/I2</f>
        <v>8.9600000000000009</v>
      </c>
      <c r="L5" s="1">
        <v>1765</v>
      </c>
      <c r="M5">
        <v>522</v>
      </c>
      <c r="N5">
        <v>573</v>
      </c>
      <c r="O5" s="3">
        <f t="shared" si="2"/>
        <v>2.169284467713787</v>
      </c>
      <c r="P5">
        <v>603</v>
      </c>
      <c r="Q5">
        <v>195</v>
      </c>
      <c r="R5">
        <v>106</v>
      </c>
      <c r="S5" s="3">
        <f t="shared" si="5"/>
        <v>0.41126589945487585</v>
      </c>
      <c r="T5" t="s">
        <v>76</v>
      </c>
    </row>
    <row r="6" spans="1:20" x14ac:dyDescent="0.35">
      <c r="A6">
        <v>2019</v>
      </c>
      <c r="B6" s="1">
        <v>3058</v>
      </c>
      <c r="C6">
        <v>455</v>
      </c>
      <c r="D6" s="2">
        <f t="shared" si="0"/>
        <v>0.14879005886200131</v>
      </c>
      <c r="E6">
        <v>330</v>
      </c>
      <c r="F6" s="2">
        <f t="shared" si="3"/>
        <v>0.1079136690647482</v>
      </c>
      <c r="G6">
        <v>285</v>
      </c>
      <c r="H6">
        <v>124</v>
      </c>
      <c r="I6" s="1">
        <f t="shared" si="1"/>
        <v>161</v>
      </c>
      <c r="J6" s="2">
        <f t="shared" si="4"/>
        <v>5.2648790058861999E-2</v>
      </c>
      <c r="K6" s="2">
        <f>I6/I2</f>
        <v>6.44</v>
      </c>
      <c r="L6" s="1">
        <v>1876</v>
      </c>
      <c r="M6">
        <v>606</v>
      </c>
      <c r="N6">
        <v>631</v>
      </c>
      <c r="O6" s="3">
        <f t="shared" si="2"/>
        <v>2.0126782884310619</v>
      </c>
      <c r="P6" s="1">
        <v>1056</v>
      </c>
      <c r="Q6">
        <v>192</v>
      </c>
      <c r="R6">
        <v>451</v>
      </c>
      <c r="S6" s="3">
        <f t="shared" si="5"/>
        <v>0.50702905342080595</v>
      </c>
      <c r="T6" t="s">
        <v>76</v>
      </c>
    </row>
    <row r="7" spans="1:20" x14ac:dyDescent="0.35">
      <c r="A7">
        <v>2015</v>
      </c>
      <c r="B7" s="1">
        <v>30601</v>
      </c>
      <c r="C7" s="1">
        <v>4781</v>
      </c>
      <c r="D7" s="2">
        <f t="shared" si="0"/>
        <v>0.15623672429005589</v>
      </c>
      <c r="E7" s="1">
        <v>3273</v>
      </c>
      <c r="F7" s="2">
        <f t="shared" si="3"/>
        <v>0.1069572889774844</v>
      </c>
      <c r="G7" s="1">
        <v>4680</v>
      </c>
      <c r="H7">
        <v>963</v>
      </c>
      <c r="I7" s="1">
        <f t="shared" si="1"/>
        <v>3717</v>
      </c>
      <c r="J7" s="2">
        <f t="shared" si="4"/>
        <v>0.12146661873794974</v>
      </c>
      <c r="K7" s="2">
        <f>I7/I7</f>
        <v>1</v>
      </c>
      <c r="L7" s="1">
        <v>15976</v>
      </c>
      <c r="M7" s="1">
        <v>4337</v>
      </c>
      <c r="N7" s="1">
        <v>6334</v>
      </c>
      <c r="O7" s="3">
        <f t="shared" si="2"/>
        <v>1.8375434164824755</v>
      </c>
      <c r="P7" s="1">
        <v>5624</v>
      </c>
      <c r="Q7">
        <v>412</v>
      </c>
      <c r="R7" s="1">
        <v>2559</v>
      </c>
      <c r="S7" s="3">
        <f t="shared" si="5"/>
        <v>0.5277431606432853</v>
      </c>
      <c r="T7" t="s">
        <v>77</v>
      </c>
    </row>
    <row r="8" spans="1:20" x14ac:dyDescent="0.35">
      <c r="A8">
        <v>2016</v>
      </c>
      <c r="B8" s="1">
        <v>32376</v>
      </c>
      <c r="C8" s="1">
        <v>5151</v>
      </c>
      <c r="D8" s="2">
        <f t="shared" si="0"/>
        <v>0.1590993328391401</v>
      </c>
      <c r="E8" s="1">
        <v>3760</v>
      </c>
      <c r="F8" s="2">
        <f t="shared" si="3"/>
        <v>0.11613540894489746</v>
      </c>
      <c r="G8" s="1">
        <v>3096</v>
      </c>
      <c r="H8" s="1">
        <v>1143</v>
      </c>
      <c r="I8" s="1">
        <f t="shared" si="1"/>
        <v>1953</v>
      </c>
      <c r="J8" s="2">
        <f t="shared" si="4"/>
        <v>6.0322461082283174E-2</v>
      </c>
      <c r="K8" s="2">
        <f>I8/I7</f>
        <v>0.52542372881355937</v>
      </c>
      <c r="L8" s="1">
        <v>15025</v>
      </c>
      <c r="M8" s="1">
        <v>4838</v>
      </c>
      <c r="N8" s="1">
        <v>5358</v>
      </c>
      <c r="O8" s="3">
        <f t="shared" si="2"/>
        <v>1.9012691302724898</v>
      </c>
      <c r="P8" s="1">
        <v>6371</v>
      </c>
      <c r="Q8">
        <v>412</v>
      </c>
      <c r="R8" s="1">
        <v>3780</v>
      </c>
      <c r="S8" s="3">
        <f t="shared" si="5"/>
        <v>0.56596060943887028</v>
      </c>
      <c r="T8" t="s">
        <v>77</v>
      </c>
    </row>
    <row r="9" spans="1:20" x14ac:dyDescent="0.35">
      <c r="A9">
        <v>2017</v>
      </c>
      <c r="B9" s="1">
        <v>34350</v>
      </c>
      <c r="C9" s="1">
        <v>5455</v>
      </c>
      <c r="D9" s="2">
        <f t="shared" si="0"/>
        <v>0.15880640465793305</v>
      </c>
      <c r="E9" s="1">
        <v>4240</v>
      </c>
      <c r="F9" s="2">
        <f t="shared" si="3"/>
        <v>0.12343522561863174</v>
      </c>
      <c r="G9" s="1">
        <v>3640</v>
      </c>
      <c r="H9" s="1">
        <v>1105</v>
      </c>
      <c r="I9" s="1">
        <f t="shared" si="1"/>
        <v>2535</v>
      </c>
      <c r="J9" s="2">
        <f t="shared" si="4"/>
        <v>7.3799126637554585E-2</v>
      </c>
      <c r="K9" s="2">
        <f>I9/I7</f>
        <v>0.68200161420500405</v>
      </c>
      <c r="L9" s="1">
        <v>16061</v>
      </c>
      <c r="M9" s="1">
        <v>5055</v>
      </c>
      <c r="N9" s="1">
        <v>5474</v>
      </c>
      <c r="O9" s="3">
        <f t="shared" si="2"/>
        <v>2.0105955425648521</v>
      </c>
      <c r="P9" s="1">
        <v>7198</v>
      </c>
      <c r="Q9">
        <v>422</v>
      </c>
      <c r="R9" s="1">
        <v>5378</v>
      </c>
      <c r="S9" s="3">
        <f t="shared" si="5"/>
        <v>0.61028005848610956</v>
      </c>
      <c r="T9" t="s">
        <v>77</v>
      </c>
    </row>
    <row r="10" spans="1:20" x14ac:dyDescent="0.35">
      <c r="A10">
        <v>2018</v>
      </c>
      <c r="B10" s="1">
        <v>36397</v>
      </c>
      <c r="C10" s="1">
        <v>5192</v>
      </c>
      <c r="D10" s="2">
        <f t="shared" si="0"/>
        <v>0.1426491194329203</v>
      </c>
      <c r="E10" s="1">
        <v>1933</v>
      </c>
      <c r="F10" s="2">
        <f t="shared" si="3"/>
        <v>5.3108772701046789E-2</v>
      </c>
      <c r="G10" s="1">
        <v>4955</v>
      </c>
      <c r="H10" s="1">
        <v>1028</v>
      </c>
      <c r="I10" s="1">
        <f t="shared" si="1"/>
        <v>3927</v>
      </c>
      <c r="J10" s="2">
        <f t="shared" si="4"/>
        <v>0.10789350770667912</v>
      </c>
      <c r="K10" s="2">
        <f>I10/I7</f>
        <v>1.0564971751412429</v>
      </c>
      <c r="L10" s="1">
        <v>15134</v>
      </c>
      <c r="M10" s="1">
        <v>5261</v>
      </c>
      <c r="N10" s="1">
        <v>6040</v>
      </c>
      <c r="O10" s="3">
        <f t="shared" si="2"/>
        <v>1.6346026490066226</v>
      </c>
      <c r="P10" s="1">
        <v>7402</v>
      </c>
      <c r="Q10">
        <v>439</v>
      </c>
      <c r="R10" s="1">
        <v>6684</v>
      </c>
      <c r="S10" s="3">
        <f t="shared" si="5"/>
        <v>0.75576146353052986</v>
      </c>
      <c r="T10" t="s">
        <v>77</v>
      </c>
    </row>
    <row r="11" spans="1:20" x14ac:dyDescent="0.35">
      <c r="A11">
        <v>2019</v>
      </c>
      <c r="B11" s="1">
        <v>39117</v>
      </c>
      <c r="C11" s="1">
        <v>5477</v>
      </c>
      <c r="D11" s="2">
        <f t="shared" si="0"/>
        <v>0.14001584988623872</v>
      </c>
      <c r="E11" s="1">
        <v>4029</v>
      </c>
      <c r="F11" s="2">
        <f t="shared" si="3"/>
        <v>0.10299869621903521</v>
      </c>
      <c r="G11" s="1">
        <v>5903</v>
      </c>
      <c r="H11" s="1">
        <v>1119</v>
      </c>
      <c r="I11" s="1">
        <f t="shared" si="1"/>
        <v>4784</v>
      </c>
      <c r="J11" s="2">
        <f t="shared" si="4"/>
        <v>0.12229976736457294</v>
      </c>
      <c r="K11" s="2">
        <f>I11/I7</f>
        <v>1.2870594565509821</v>
      </c>
      <c r="L11" s="1">
        <v>16525</v>
      </c>
      <c r="M11" s="1">
        <v>5622</v>
      </c>
      <c r="N11" s="1">
        <v>7866</v>
      </c>
      <c r="O11" s="3">
        <f t="shared" si="2"/>
        <v>1.386092041698449</v>
      </c>
      <c r="P11" s="1">
        <v>7192</v>
      </c>
      <c r="Q11">
        <v>437</v>
      </c>
      <c r="R11" s="1">
        <v>6811</v>
      </c>
      <c r="S11" s="3">
        <f t="shared" si="5"/>
        <v>0.83118133423943819</v>
      </c>
      <c r="T11" t="s">
        <v>77</v>
      </c>
    </row>
    <row r="12" spans="1:20" x14ac:dyDescent="0.35">
      <c r="A12">
        <v>2015</v>
      </c>
      <c r="B12" s="1">
        <v>1797</v>
      </c>
      <c r="C12" s="1">
        <v>434</v>
      </c>
      <c r="D12" s="2">
        <f t="shared" si="0"/>
        <v>0.24151363383416805</v>
      </c>
      <c r="E12">
        <v>239</v>
      </c>
      <c r="F12" s="2">
        <f t="shared" si="3"/>
        <v>0.13299944351697274</v>
      </c>
      <c r="G12">
        <v>314</v>
      </c>
      <c r="H12">
        <v>120</v>
      </c>
      <c r="I12" s="1">
        <f t="shared" si="1"/>
        <v>194</v>
      </c>
      <c r="J12" s="2">
        <f t="shared" si="4"/>
        <v>0.10795770728992765</v>
      </c>
      <c r="K12" s="2">
        <f>I12/I12</f>
        <v>1</v>
      </c>
      <c r="L12">
        <v>951</v>
      </c>
      <c r="M12">
        <v>208</v>
      </c>
      <c r="N12">
        <v>160</v>
      </c>
      <c r="O12" s="3">
        <f t="shared" si="2"/>
        <v>4.6437499999999998</v>
      </c>
      <c r="P12">
        <v>345</v>
      </c>
      <c r="Q12">
        <v>26</v>
      </c>
      <c r="R12">
        <v>47</v>
      </c>
      <c r="S12" s="3">
        <f t="shared" si="5"/>
        <v>0.19491525423728814</v>
      </c>
      <c r="T12" t="s">
        <v>78</v>
      </c>
    </row>
    <row r="13" spans="1:20" x14ac:dyDescent="0.35">
      <c r="A13">
        <v>2016</v>
      </c>
      <c r="B13" s="1">
        <v>2061</v>
      </c>
      <c r="C13" s="1">
        <v>442</v>
      </c>
      <c r="D13" s="2">
        <f t="shared" si="0"/>
        <v>0.21445900048520136</v>
      </c>
      <c r="E13">
        <v>266</v>
      </c>
      <c r="F13" s="2">
        <f t="shared" si="3"/>
        <v>0.12906356137797187</v>
      </c>
      <c r="G13">
        <v>299</v>
      </c>
      <c r="H13">
        <v>143</v>
      </c>
      <c r="I13" s="1">
        <f t="shared" si="1"/>
        <v>156</v>
      </c>
      <c r="J13" s="2">
        <f t="shared" si="4"/>
        <v>7.5691411935953426E-2</v>
      </c>
      <c r="K13" s="2">
        <f>I13/I12</f>
        <v>0.80412371134020622</v>
      </c>
      <c r="L13">
        <v>917</v>
      </c>
      <c r="M13">
        <v>284</v>
      </c>
      <c r="N13">
        <v>226</v>
      </c>
      <c r="O13" s="3">
        <f t="shared" si="2"/>
        <v>2.8008849557522124</v>
      </c>
      <c r="P13">
        <v>397</v>
      </c>
      <c r="Q13">
        <v>25</v>
      </c>
      <c r="R13">
        <v>61</v>
      </c>
      <c r="S13" s="3">
        <f t="shared" si="5"/>
        <v>0.28557213930348258</v>
      </c>
      <c r="T13" t="s">
        <v>78</v>
      </c>
    </row>
    <row r="14" spans="1:20" x14ac:dyDescent="0.35">
      <c r="A14">
        <v>2017</v>
      </c>
      <c r="B14" s="1">
        <v>2344</v>
      </c>
      <c r="C14">
        <v>509</v>
      </c>
      <c r="D14" s="2">
        <f t="shared" si="0"/>
        <v>0.21715017064846417</v>
      </c>
      <c r="E14">
        <v>303</v>
      </c>
      <c r="F14" s="2">
        <f t="shared" si="3"/>
        <v>0.12926621160409557</v>
      </c>
      <c r="G14">
        <v>385</v>
      </c>
      <c r="H14">
        <v>150</v>
      </c>
      <c r="I14" s="1">
        <f t="shared" si="1"/>
        <v>235</v>
      </c>
      <c r="J14" s="2">
        <f t="shared" si="4"/>
        <v>0.10025597269624574</v>
      </c>
      <c r="K14" s="2">
        <f>I14/I12</f>
        <v>1.2113402061855669</v>
      </c>
      <c r="L14" s="1">
        <v>1163</v>
      </c>
      <c r="M14">
        <v>298</v>
      </c>
      <c r="N14">
        <v>241</v>
      </c>
      <c r="O14" s="3">
        <f t="shared" si="2"/>
        <v>3.5892116182572615</v>
      </c>
      <c r="P14">
        <v>495</v>
      </c>
      <c r="Q14">
        <v>25</v>
      </c>
      <c r="R14">
        <v>56</v>
      </c>
      <c r="S14" s="3">
        <f t="shared" si="5"/>
        <v>0.22247191011235956</v>
      </c>
      <c r="T14" t="s">
        <v>78</v>
      </c>
    </row>
    <row r="15" spans="1:20" x14ac:dyDescent="0.35">
      <c r="A15">
        <v>2018</v>
      </c>
      <c r="B15" s="1">
        <v>2649</v>
      </c>
      <c r="C15">
        <v>608</v>
      </c>
      <c r="D15" s="2">
        <f t="shared" si="0"/>
        <v>0.22952057380143451</v>
      </c>
      <c r="E15">
        <v>259</v>
      </c>
      <c r="F15" s="2">
        <f t="shared" si="3"/>
        <v>9.7772744431861083E-2</v>
      </c>
      <c r="G15">
        <v>489</v>
      </c>
      <c r="H15">
        <v>158</v>
      </c>
      <c r="I15" s="1">
        <f t="shared" si="1"/>
        <v>331</v>
      </c>
      <c r="J15" s="2">
        <f t="shared" si="4"/>
        <v>0.12495281238203096</v>
      </c>
      <c r="K15" s="2">
        <f>I15/I12</f>
        <v>1.7061855670103092</v>
      </c>
      <c r="L15" s="1">
        <v>1436</v>
      </c>
      <c r="M15">
        <v>330</v>
      </c>
      <c r="N15">
        <v>293</v>
      </c>
      <c r="O15" s="3">
        <f t="shared" si="2"/>
        <v>3.7747440273037545</v>
      </c>
      <c r="P15">
        <v>562</v>
      </c>
      <c r="Q15">
        <v>25</v>
      </c>
      <c r="R15">
        <v>109</v>
      </c>
      <c r="S15" s="3">
        <f t="shared" si="5"/>
        <v>0.2446743761412051</v>
      </c>
      <c r="T15" t="s">
        <v>78</v>
      </c>
    </row>
    <row r="16" spans="1:20" x14ac:dyDescent="0.35">
      <c r="A16">
        <v>2019</v>
      </c>
      <c r="B16" s="1">
        <v>3288</v>
      </c>
      <c r="C16">
        <v>828</v>
      </c>
      <c r="D16" s="2">
        <f t="shared" si="0"/>
        <v>0.2518248175182482</v>
      </c>
      <c r="E16">
        <v>484</v>
      </c>
      <c r="F16" s="2">
        <f t="shared" si="3"/>
        <v>0.14720194647201945</v>
      </c>
      <c r="G16">
        <v>743</v>
      </c>
      <c r="H16">
        <v>226</v>
      </c>
      <c r="I16" s="1">
        <f t="shared" si="1"/>
        <v>517</v>
      </c>
      <c r="J16" s="2">
        <f t="shared" si="4"/>
        <v>0.15723844282238442</v>
      </c>
      <c r="K16" s="2">
        <f>I16/I12</f>
        <v>2.6649484536082473</v>
      </c>
      <c r="L16" s="1">
        <v>1429</v>
      </c>
      <c r="M16">
        <v>405</v>
      </c>
      <c r="N16">
        <v>500</v>
      </c>
      <c r="O16" s="3">
        <f t="shared" si="2"/>
        <v>2.048</v>
      </c>
      <c r="P16">
        <v>655</v>
      </c>
      <c r="Q16">
        <v>24</v>
      </c>
      <c r="R16">
        <v>138</v>
      </c>
      <c r="S16" s="3">
        <f t="shared" si="5"/>
        <v>0.38549848942598186</v>
      </c>
      <c r="T16" t="s">
        <v>78</v>
      </c>
    </row>
    <row r="17" spans="4:14" x14ac:dyDescent="0.35">
      <c r="G17" s="1"/>
      <c r="H17" s="1"/>
      <c r="I17" s="1"/>
      <c r="J17" s="1"/>
      <c r="L17" s="1"/>
      <c r="M17" s="1"/>
      <c r="N17" s="1"/>
    </row>
    <row r="18" spans="4:14" x14ac:dyDescent="0.35">
      <c r="G18" s="1"/>
      <c r="H18" s="1"/>
      <c r="I18" s="1"/>
      <c r="J18" s="1"/>
    </row>
    <row r="19" spans="4:14" x14ac:dyDescent="0.35">
      <c r="D19" s="1"/>
      <c r="E19" s="1"/>
      <c r="F19" s="1"/>
      <c r="G19" s="1"/>
      <c r="H19" s="1"/>
      <c r="I19" s="1"/>
      <c r="J19" s="1"/>
      <c r="K19" s="1"/>
    </row>
    <row r="20" spans="4:14" x14ac:dyDescent="0.35">
      <c r="G20" s="1"/>
      <c r="H20" s="1"/>
      <c r="I20" s="1"/>
      <c r="J20" s="1"/>
      <c r="K20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6CEB-8111-4388-B6B2-7D905259B79D}">
  <dimension ref="A1:AU77"/>
  <sheetViews>
    <sheetView tabSelected="1" topLeftCell="A60" workbookViewId="0">
      <selection sqref="A1:T73"/>
    </sheetView>
  </sheetViews>
  <sheetFormatPr defaultRowHeight="14.5" x14ac:dyDescent="0.35"/>
  <cols>
    <col min="18" max="18" width="11.36328125" bestFit="1" customWidth="1"/>
    <col min="19" max="19" width="10.81640625" customWidth="1"/>
  </cols>
  <sheetData>
    <row r="1" spans="1:47" x14ac:dyDescent="0.35">
      <c r="A1" t="s">
        <v>50</v>
      </c>
      <c r="B1">
        <v>1</v>
      </c>
      <c r="C1">
        <f>B1 + 1</f>
        <v>2</v>
      </c>
      <c r="D1">
        <f t="shared" ref="D1:P1" si="0">C1 + 1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 t="s">
        <v>51</v>
      </c>
      <c r="R1" t="s">
        <v>52</v>
      </c>
      <c r="S1" s="1" t="s">
        <v>53</v>
      </c>
      <c r="T1" t="s">
        <v>56</v>
      </c>
    </row>
    <row r="2" spans="1:47" x14ac:dyDescent="0.35">
      <c r="A2" t="s">
        <v>9</v>
      </c>
      <c r="B2" s="1">
        <v>23136</v>
      </c>
      <c r="C2" s="1">
        <v>24982</v>
      </c>
      <c r="D2" s="1">
        <v>31378</v>
      </c>
      <c r="E2" s="1">
        <v>32252</v>
      </c>
      <c r="F2" s="1">
        <v>38260</v>
      </c>
      <c r="G2" s="1" cm="1">
        <f t="array" ref="G2:P2">_xlfn.FORECAST.LINEAR(G1:P1,B2:F2,B1:F1)</f>
        <v>41257</v>
      </c>
      <c r="H2" s="1">
        <v>45008.800000000003</v>
      </c>
      <c r="I2" s="1">
        <v>48760.6</v>
      </c>
      <c r="J2" s="1">
        <v>52512.4</v>
      </c>
      <c r="K2" s="1">
        <v>56264.2</v>
      </c>
      <c r="L2" s="1">
        <v>60016</v>
      </c>
      <c r="M2" s="1">
        <v>63767.8</v>
      </c>
      <c r="N2" s="1">
        <v>67519.600000000006</v>
      </c>
      <c r="O2" s="1">
        <v>71271.399999999994</v>
      </c>
      <c r="P2" s="1">
        <v>75023.199999999997</v>
      </c>
      <c r="Q2" s="1">
        <f t="shared" ref="Q2:Q3" si="1">SUM(G2:P2)</f>
        <v>581401</v>
      </c>
      <c r="R2" s="1">
        <f>1.15*1000*1000</f>
        <v>1150000</v>
      </c>
      <c r="S2" s="2">
        <f t="shared" ref="S2:S3" si="2">Q2/R2</f>
        <v>0.50556608695652172</v>
      </c>
    </row>
    <row r="3" spans="1:47" x14ac:dyDescent="0.35">
      <c r="A3" s="1" t="s">
        <v>10</v>
      </c>
      <c r="B3" s="1">
        <v>6076</v>
      </c>
      <c r="C3" s="1">
        <v>11617</v>
      </c>
      <c r="D3" s="1">
        <v>17483</v>
      </c>
      <c r="E3" s="1">
        <v>15359</v>
      </c>
      <c r="F3" s="1">
        <v>21212</v>
      </c>
      <c r="G3" s="1" cm="1">
        <f t="array" ref="G3:P3">_xlfn.FORECAST.LINEAR(G1:P1,B3:F3,B1:F1)</f>
        <v>24553.599999999999</v>
      </c>
      <c r="H3" s="1">
        <v>27955</v>
      </c>
      <c r="I3" s="1">
        <v>31356.400000000001</v>
      </c>
      <c r="J3" s="1">
        <v>34757.800000000003</v>
      </c>
      <c r="K3" s="1">
        <v>38159.199999999997</v>
      </c>
      <c r="L3" s="1">
        <v>41560.6</v>
      </c>
      <c r="M3" s="1">
        <v>44962</v>
      </c>
      <c r="N3" s="1">
        <v>48363.4</v>
      </c>
      <c r="O3" s="1">
        <v>51764.799999999996</v>
      </c>
      <c r="P3" s="1">
        <v>55166.2</v>
      </c>
      <c r="Q3" s="1">
        <f t="shared" si="1"/>
        <v>398599</v>
      </c>
      <c r="R3" s="1">
        <f>483.41*1000</f>
        <v>483410</v>
      </c>
      <c r="S3" s="2">
        <f t="shared" si="2"/>
        <v>0.82455679443950269</v>
      </c>
    </row>
    <row r="4" spans="1:47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</row>
    <row r="5" spans="1:47" x14ac:dyDescent="0.35">
      <c r="A5" s="1" t="s">
        <v>8</v>
      </c>
      <c r="B5" s="1">
        <v>246</v>
      </c>
      <c r="C5" s="1">
        <v>279</v>
      </c>
      <c r="D5" s="1">
        <v>459</v>
      </c>
      <c r="E5" s="1">
        <v>586</v>
      </c>
      <c r="F5" s="1">
        <v>716</v>
      </c>
      <c r="G5" s="1" cm="1">
        <f t="array" ref="G5:P5">_xlfn.FORECAST.LINEAR($G$1:$P$1,B5:F5,$B$1:$F$1)</f>
        <v>831.3</v>
      </c>
      <c r="H5" s="1">
        <v>956</v>
      </c>
      <c r="I5" s="1">
        <v>1080.7</v>
      </c>
      <c r="J5" s="1">
        <v>1205.3999999999999</v>
      </c>
      <c r="K5" s="1">
        <v>1330.1</v>
      </c>
      <c r="L5" s="1">
        <v>1454.8</v>
      </c>
      <c r="M5" s="1">
        <v>1579.5</v>
      </c>
      <c r="N5" s="1">
        <v>1704.2</v>
      </c>
      <c r="O5" s="1">
        <v>1828.8999999999999</v>
      </c>
      <c r="P5" s="1">
        <v>1953.6</v>
      </c>
      <c r="Q5" s="1">
        <f t="shared" ref="Q5:Q11" si="3">SUM(G5:P5)</f>
        <v>13924.5</v>
      </c>
      <c r="R5" s="1">
        <f>15.58*1000</f>
        <v>15580</v>
      </c>
      <c r="S5" s="2">
        <f t="shared" ref="S5:S11" si="4">Q5/R5</f>
        <v>0.89374197689345314</v>
      </c>
    </row>
    <row r="6" spans="1:47" x14ac:dyDescent="0.35">
      <c r="A6" t="s">
        <v>15</v>
      </c>
      <c r="B6" s="1">
        <v>7331</v>
      </c>
      <c r="C6" s="1">
        <v>9706</v>
      </c>
      <c r="D6" s="1">
        <v>6479</v>
      </c>
      <c r="E6" s="1">
        <v>17296</v>
      </c>
      <c r="F6" s="1">
        <v>21653</v>
      </c>
      <c r="G6" s="1" cm="1">
        <f t="array" ref="G6:P6">_xlfn.FORECAST.LINEAR($G$1:$P$1,B6:F6,$B$1:$F$1)</f>
        <v>23363.200000000001</v>
      </c>
      <c r="H6" s="1">
        <v>26986.6</v>
      </c>
      <c r="I6" s="1">
        <v>30610</v>
      </c>
      <c r="J6" s="1">
        <v>34233.4</v>
      </c>
      <c r="K6" s="1">
        <v>37856.800000000003</v>
      </c>
      <c r="L6" s="1">
        <v>41480.199999999997</v>
      </c>
      <c r="M6" s="1">
        <v>45103.600000000006</v>
      </c>
      <c r="N6" s="1">
        <v>48727</v>
      </c>
      <c r="O6" s="1">
        <v>52350.399999999994</v>
      </c>
      <c r="P6" s="1">
        <v>55973.8</v>
      </c>
      <c r="Q6" s="1">
        <f t="shared" si="3"/>
        <v>396685.00000000006</v>
      </c>
      <c r="R6" s="1">
        <f>942.13*1000</f>
        <v>942130</v>
      </c>
      <c r="S6" s="2">
        <f t="shared" si="4"/>
        <v>0.42105123496757352</v>
      </c>
    </row>
    <row r="7" spans="1:47" x14ac:dyDescent="0.35">
      <c r="A7" s="1" t="s">
        <v>16</v>
      </c>
      <c r="B7" s="1">
        <v>16109</v>
      </c>
      <c r="C7" s="1">
        <v>25824</v>
      </c>
      <c r="D7" s="1">
        <v>23907</v>
      </c>
      <c r="E7" s="1">
        <v>22832</v>
      </c>
      <c r="F7" s="1">
        <v>30972</v>
      </c>
      <c r="G7" s="1" cm="1">
        <f t="array" ref="G7:P7">_xlfn.FORECAST.LINEAR($G$1:$P$1,B7:F7,$B$1:$F$1)</f>
        <v>31949</v>
      </c>
      <c r="H7" s="1">
        <v>34622.399999999994</v>
      </c>
      <c r="I7" s="1">
        <v>37295.800000000003</v>
      </c>
      <c r="J7" s="1">
        <v>39969.199999999997</v>
      </c>
      <c r="K7" s="1">
        <v>42642.6</v>
      </c>
      <c r="L7" s="1">
        <v>45316</v>
      </c>
      <c r="M7" s="1">
        <v>47989.4</v>
      </c>
      <c r="N7" s="1">
        <v>50662.8</v>
      </c>
      <c r="O7" s="1">
        <v>53336.2</v>
      </c>
      <c r="P7" s="1">
        <v>56009.599999999999</v>
      </c>
      <c r="Q7" s="1">
        <f t="shared" si="3"/>
        <v>439793</v>
      </c>
      <c r="R7" s="1">
        <f>877.74*1000</f>
        <v>877740</v>
      </c>
      <c r="S7" s="2">
        <f t="shared" si="4"/>
        <v>0.50105156424453712</v>
      </c>
    </row>
    <row r="8" spans="1:47" x14ac:dyDescent="0.35">
      <c r="A8" s="1" t="s">
        <v>7</v>
      </c>
      <c r="B8" s="1">
        <v>70019</v>
      </c>
      <c r="C8" s="1">
        <v>53090</v>
      </c>
      <c r="D8" s="1">
        <v>51147</v>
      </c>
      <c r="E8" s="1">
        <v>64121</v>
      </c>
      <c r="F8" s="1">
        <v>58896</v>
      </c>
      <c r="G8" s="1" cm="1">
        <f t="array" ref="G8:P8">_xlfn.FORECAST.LINEAR($G$1:$P$1,B8:F8,$B$1:$F$1)</f>
        <v>56090.1</v>
      </c>
      <c r="H8" s="1">
        <v>54968.6</v>
      </c>
      <c r="I8" s="1">
        <v>53847.1</v>
      </c>
      <c r="J8" s="1">
        <v>52725.599999999999</v>
      </c>
      <c r="K8" s="1">
        <v>51604.1</v>
      </c>
      <c r="L8" s="1">
        <v>50482.6</v>
      </c>
      <c r="M8" s="1">
        <v>49361.1</v>
      </c>
      <c r="N8" s="1">
        <v>48239.6</v>
      </c>
      <c r="O8" s="1">
        <v>47118.1</v>
      </c>
      <c r="P8" s="1">
        <v>45996.6</v>
      </c>
      <c r="Q8" s="1">
        <f t="shared" si="3"/>
        <v>510433.49999999988</v>
      </c>
      <c r="R8" s="1">
        <f>1.25*1000*1000</f>
        <v>1250000</v>
      </c>
      <c r="S8" s="2">
        <f t="shared" si="4"/>
        <v>0.4083467999999999</v>
      </c>
    </row>
    <row r="9" spans="1:47" x14ac:dyDescent="0.35">
      <c r="A9" s="1" t="s">
        <v>30</v>
      </c>
      <c r="B9" s="1">
        <v>-2159</v>
      </c>
      <c r="C9" s="1">
        <v>-1564</v>
      </c>
      <c r="D9" s="1">
        <v>-4142</v>
      </c>
      <c r="E9" s="1">
        <v>-222</v>
      </c>
      <c r="F9" s="1">
        <v>973</v>
      </c>
      <c r="G9" s="1" cm="1">
        <f t="array" ref="G9:P9">_xlfn.FORECAST.LINEAR($G$1:$P$1,B9:F9,$B$1:$F$1)</f>
        <v>859</v>
      </c>
      <c r="H9" s="1">
        <v>1619.5999999999995</v>
      </c>
      <c r="I9" s="1">
        <v>2380.1999999999998</v>
      </c>
      <c r="J9" s="1">
        <v>3140.8</v>
      </c>
      <c r="K9" s="1">
        <v>3901.3999999999996</v>
      </c>
      <c r="L9" s="1">
        <v>4662</v>
      </c>
      <c r="M9" s="1">
        <v>5422.6</v>
      </c>
      <c r="N9" s="1">
        <v>6183.2000000000007</v>
      </c>
      <c r="O9" s="1">
        <v>6943.7999999999993</v>
      </c>
      <c r="P9" s="1">
        <v>7704.4</v>
      </c>
      <c r="Q9" s="1">
        <f t="shared" si="3"/>
        <v>42817</v>
      </c>
      <c r="R9" s="1">
        <f>116.8*1000</f>
        <v>116800</v>
      </c>
      <c r="S9" s="2">
        <f t="shared" si="4"/>
        <v>0.36658390410958902</v>
      </c>
    </row>
    <row r="10" spans="1:47" x14ac:dyDescent="0.35">
      <c r="A10" s="1" t="s">
        <v>24</v>
      </c>
      <c r="B10" s="1">
        <v>1329</v>
      </c>
      <c r="C10" s="1">
        <v>1698</v>
      </c>
      <c r="D10" s="1">
        <v>2204</v>
      </c>
      <c r="E10" s="1">
        <v>2803</v>
      </c>
      <c r="F10" s="1">
        <v>3688</v>
      </c>
      <c r="G10" s="1" cm="1">
        <f t="array" ref="G10:P10">_xlfn.FORECAST.LINEAR($G$1:$P$1,B10:F10,$B$1:$F$1)</f>
        <v>4091.3</v>
      </c>
      <c r="H10" s="1">
        <v>4673.5999999999995</v>
      </c>
      <c r="I10">
        <v>5255.9</v>
      </c>
      <c r="J10">
        <v>5838.2</v>
      </c>
      <c r="K10">
        <v>6420.5</v>
      </c>
      <c r="L10">
        <v>7002.7999999999993</v>
      </c>
      <c r="M10">
        <v>7585.0999999999995</v>
      </c>
      <c r="N10">
        <v>8167.4</v>
      </c>
      <c r="O10">
        <v>8749.6999999999989</v>
      </c>
      <c r="P10">
        <v>9332</v>
      </c>
      <c r="Q10" s="1">
        <f t="shared" si="3"/>
        <v>67116.5</v>
      </c>
      <c r="R10" s="1">
        <f>142.95*1000</f>
        <v>142950</v>
      </c>
      <c r="S10" s="2">
        <f t="shared" si="4"/>
        <v>0.46951031829310946</v>
      </c>
    </row>
    <row r="11" spans="1:47" x14ac:dyDescent="0.35">
      <c r="A11" s="1" t="s">
        <v>38</v>
      </c>
      <c r="B11" s="1">
        <v>5406</v>
      </c>
      <c r="C11" s="1">
        <v>7133</v>
      </c>
      <c r="D11" s="1">
        <v>9121</v>
      </c>
      <c r="E11" s="1">
        <v>15198</v>
      </c>
      <c r="F11" s="1">
        <v>17208</v>
      </c>
      <c r="G11" s="1" cm="1">
        <f t="array" ref="G11:P11">_xlfn.FORECAST.LINEAR($G$1:$P$1,B11:F11,$B$1:$F$1)</f>
        <v>20313.900000000001</v>
      </c>
      <c r="H11" s="1">
        <v>23480.799999999999</v>
      </c>
      <c r="I11" s="1">
        <v>26647.7</v>
      </c>
      <c r="J11">
        <v>29814.600000000002</v>
      </c>
      <c r="K11">
        <v>32981.5</v>
      </c>
      <c r="L11">
        <v>36148.400000000001</v>
      </c>
      <c r="M11">
        <v>39315.300000000003</v>
      </c>
      <c r="N11">
        <v>42482.200000000004</v>
      </c>
      <c r="O11">
        <v>45649.1</v>
      </c>
      <c r="P11">
        <v>48816</v>
      </c>
      <c r="Q11" s="1">
        <f t="shared" si="3"/>
        <v>345649.5</v>
      </c>
      <c r="R11" s="1">
        <f>533.94*1000</f>
        <v>533940</v>
      </c>
      <c r="S11" s="2">
        <f t="shared" si="4"/>
        <v>0.64735644454433083</v>
      </c>
    </row>
    <row r="15" spans="1:47" x14ac:dyDescent="0.35">
      <c r="Z15" s="1"/>
      <c r="AU15" s="1"/>
    </row>
    <row r="16" spans="1:47" x14ac:dyDescent="0.35">
      <c r="A16" s="1" t="s">
        <v>58</v>
      </c>
      <c r="B16" s="1">
        <v>4959</v>
      </c>
      <c r="C16" s="1">
        <v>5242</v>
      </c>
      <c r="D16" s="1">
        <v>4867</v>
      </c>
      <c r="E16" s="1">
        <v>4862</v>
      </c>
      <c r="F16" s="1">
        <v>5371</v>
      </c>
      <c r="G16" s="1" cm="1">
        <f t="array" ref="G16:P16">_xlfn.FORECAST.LINEAR($G$1:$P$1,B16:F16,$B$1:$F$1)</f>
        <v>5193.3999999999996</v>
      </c>
      <c r="H16" s="1">
        <v>5237.8</v>
      </c>
      <c r="I16">
        <v>5282.2</v>
      </c>
      <c r="J16">
        <v>5326.6</v>
      </c>
      <c r="K16">
        <v>5371</v>
      </c>
      <c r="L16">
        <v>5415.4</v>
      </c>
      <c r="M16">
        <v>5459.8</v>
      </c>
      <c r="N16">
        <v>5504.2</v>
      </c>
      <c r="O16">
        <v>5548.6</v>
      </c>
      <c r="P16">
        <v>5593</v>
      </c>
      <c r="Q16" s="1">
        <f>SUM(G16:P16)</f>
        <v>53932</v>
      </c>
      <c r="R16" s="1">
        <f>88.18*1000</f>
        <v>88180</v>
      </c>
      <c r="S16" s="2">
        <f>Q16/R16</f>
        <v>0.61161261056929006</v>
      </c>
    </row>
    <row r="17" spans="1:20" x14ac:dyDescent="0.35">
      <c r="A17" s="1" t="s">
        <v>59</v>
      </c>
      <c r="B17" s="1">
        <v>10872</v>
      </c>
      <c r="C17" s="1">
        <v>12121</v>
      </c>
      <c r="D17" s="1">
        <v>9369</v>
      </c>
      <c r="E17" s="1">
        <v>11150</v>
      </c>
      <c r="F17" s="1">
        <v>11895</v>
      </c>
      <c r="G17" s="1" cm="1">
        <f t="array" ref="G17:P17">_xlfn.FORECAST.LINEAR($G$1:$P$1,B17:F17,$B$1:$F$1)</f>
        <v>11403.9</v>
      </c>
      <c r="H17">
        <v>11511.4</v>
      </c>
      <c r="I17">
        <v>11618.9</v>
      </c>
      <c r="J17">
        <v>11726.4</v>
      </c>
      <c r="K17">
        <v>11833.9</v>
      </c>
      <c r="L17">
        <v>11941.4</v>
      </c>
      <c r="M17">
        <v>12048.9</v>
      </c>
      <c r="N17">
        <v>12156.4</v>
      </c>
      <c r="O17">
        <v>12263.9</v>
      </c>
      <c r="P17">
        <v>12371.4</v>
      </c>
      <c r="Q17" s="1">
        <f>SUM(G17:P17)</f>
        <v>118876.49999999997</v>
      </c>
      <c r="R17" s="1">
        <f>297.69*1000</f>
        <v>297690</v>
      </c>
      <c r="S17" s="2">
        <f>Q17/R17</f>
        <v>0.39932983976619962</v>
      </c>
    </row>
    <row r="18" spans="1:20" x14ac:dyDescent="0.35">
      <c r="A18" s="1" t="s">
        <v>42</v>
      </c>
      <c r="B18" s="1">
        <v>6913</v>
      </c>
      <c r="C18" s="1">
        <v>7886</v>
      </c>
      <c r="D18" s="1">
        <v>11605</v>
      </c>
      <c r="E18" s="1">
        <v>13600</v>
      </c>
      <c r="F18" s="1">
        <v>-4280</v>
      </c>
      <c r="G18" s="1" cm="1">
        <f t="array" ref="G18:P18">_xlfn.FORECAST.LINEAR($G$1:$P$1,B18:F18,$B$1:$F$1)</f>
        <v>2143.2000000000007</v>
      </c>
      <c r="H18" s="1">
        <v>476.00000000000182</v>
      </c>
      <c r="I18" s="1">
        <v>-1191.1999999999989</v>
      </c>
      <c r="J18" s="1">
        <v>-2858.3999999999996</v>
      </c>
      <c r="K18" s="1">
        <v>-4525.5999999999985</v>
      </c>
      <c r="L18" s="1">
        <v>-6192.7999999999993</v>
      </c>
      <c r="M18" s="1">
        <v>-7860</v>
      </c>
      <c r="N18" s="1">
        <v>-9527.2000000000007</v>
      </c>
      <c r="O18" s="1">
        <v>-11194.399999999998</v>
      </c>
      <c r="P18" s="1">
        <v>-12861.599999999999</v>
      </c>
      <c r="Q18" s="1">
        <f>SUM(G18:P18)</f>
        <v>-53591.999999999993</v>
      </c>
      <c r="R18" s="1">
        <f>130.04*1000</f>
        <v>130039.99999999999</v>
      </c>
      <c r="S18" s="2">
        <f>Q18/R18</f>
        <v>-0.41211934789295601</v>
      </c>
    </row>
    <row r="19" spans="1:20" x14ac:dyDescent="0.35">
      <c r="A19" s="1" t="s">
        <v>43</v>
      </c>
      <c r="B19" s="1">
        <v>19891</v>
      </c>
      <c r="C19" s="1">
        <v>-244</v>
      </c>
      <c r="D19" s="1">
        <v>10426</v>
      </c>
      <c r="E19" s="1">
        <v>4246</v>
      </c>
      <c r="F19" s="1">
        <v>8772</v>
      </c>
      <c r="G19" s="1" cm="1">
        <f t="array" ref="G19:P19">_xlfn.FORECAST.LINEAR($G$1:$P$1,B19:F19,$B$1:$F$1)</f>
        <v>3293.8000000000011</v>
      </c>
      <c r="H19" s="1">
        <v>1519</v>
      </c>
      <c r="I19" s="1">
        <v>-255.79999999999927</v>
      </c>
      <c r="J19" s="1">
        <v>-2030.5999999999985</v>
      </c>
      <c r="K19" s="1">
        <v>-3805.3999999999996</v>
      </c>
      <c r="L19" s="1">
        <v>-5580.1999999999989</v>
      </c>
      <c r="M19" s="1">
        <v>-7354.9999999999982</v>
      </c>
      <c r="N19" s="1">
        <v>-9129.7999999999975</v>
      </c>
      <c r="O19" s="1">
        <v>-10904.6</v>
      </c>
      <c r="P19" s="1">
        <v>-12679.4</v>
      </c>
      <c r="Q19" s="1">
        <f>SUM(G19:P19)</f>
        <v>-46927.999999999993</v>
      </c>
      <c r="R19" s="1">
        <f>77.34*1000</f>
        <v>77340</v>
      </c>
      <c r="S19" s="2">
        <f>Q19/R19</f>
        <v>-0.60677527799327635</v>
      </c>
    </row>
    <row r="22" spans="1:20" x14ac:dyDescent="0.35">
      <c r="A22" s="1" t="s">
        <v>44</v>
      </c>
      <c r="B22" s="1">
        <v>2377</v>
      </c>
      <c r="C22" s="1">
        <v>2350</v>
      </c>
      <c r="D22" s="1">
        <v>2679</v>
      </c>
      <c r="E22" s="1">
        <v>3134</v>
      </c>
      <c r="F22" s="1">
        <v>3659</v>
      </c>
      <c r="G22" s="1" cm="1">
        <f t="array" ref="G22:P22">_xlfn.FORECAST.LINEAR($G$1:$P$1,B22:F22,$B$1:$F$1)</f>
        <v>3844.2000000000003</v>
      </c>
      <c r="H22" s="1">
        <v>4179</v>
      </c>
      <c r="I22" s="1">
        <v>4513.8</v>
      </c>
      <c r="J22" s="1">
        <v>4848.6000000000004</v>
      </c>
      <c r="K22" s="1">
        <v>5183.3999999999996</v>
      </c>
      <c r="L22" s="1">
        <v>5518.2000000000007</v>
      </c>
      <c r="M22" s="1">
        <v>5853</v>
      </c>
      <c r="N22" s="1">
        <v>6187.8000000000011</v>
      </c>
      <c r="O22" s="1">
        <v>6522.6</v>
      </c>
      <c r="P22" s="1">
        <v>6857.4</v>
      </c>
      <c r="Q22" s="1">
        <f>SUM(G22:P22)</f>
        <v>53508</v>
      </c>
      <c r="R22" s="1">
        <f>136.64*1000</f>
        <v>136640</v>
      </c>
      <c r="S22" s="2">
        <f>Q22/R22</f>
        <v>0.39159836065573772</v>
      </c>
    </row>
    <row r="23" spans="1:20" x14ac:dyDescent="0.35">
      <c r="A23" s="1" t="s">
        <v>28</v>
      </c>
      <c r="B23" s="1">
        <v>1332</v>
      </c>
      <c r="C23" s="1">
        <v>1484</v>
      </c>
      <c r="D23" s="1">
        <v>573</v>
      </c>
      <c r="E23" s="1">
        <v>604</v>
      </c>
      <c r="F23" s="1">
        <v>1197</v>
      </c>
      <c r="G23" s="1" cm="1">
        <f t="array" ref="G23:P23">_xlfn.FORECAST.LINEAR($G$1:$P$1,B23:F23,$B$1:$F$1)</f>
        <v>693</v>
      </c>
      <c r="H23">
        <v>578</v>
      </c>
      <c r="I23">
        <v>463</v>
      </c>
      <c r="J23">
        <v>348</v>
      </c>
      <c r="K23">
        <v>233</v>
      </c>
      <c r="L23">
        <v>118</v>
      </c>
      <c r="M23">
        <v>3</v>
      </c>
      <c r="N23">
        <v>-112</v>
      </c>
      <c r="O23">
        <v>-227</v>
      </c>
      <c r="P23">
        <v>-342</v>
      </c>
      <c r="Q23" s="1">
        <f>SUM(G23:P23)</f>
        <v>1755</v>
      </c>
      <c r="R23" s="1">
        <f>25.69 * 1000</f>
        <v>25690</v>
      </c>
      <c r="S23" s="2">
        <f>Q23/R23</f>
        <v>6.8314519268197746E-2</v>
      </c>
    </row>
    <row r="26" spans="1:20" x14ac:dyDescent="0.35">
      <c r="A26" s="1" t="s">
        <v>18</v>
      </c>
      <c r="B26" s="1">
        <v>13895</v>
      </c>
      <c r="C26" s="1">
        <v>14778</v>
      </c>
      <c r="D26" s="1">
        <v>13445</v>
      </c>
      <c r="E26" s="1">
        <v>21664</v>
      </c>
      <c r="F26" s="1">
        <v>19625</v>
      </c>
      <c r="G26" s="1" cm="1">
        <f t="array" ref="G26:P26">_xlfn.FORECAST.LINEAR($G$1:$P$1,B26:F26,$B$1:$F$1)</f>
        <v>22185.200000000001</v>
      </c>
      <c r="H26" s="1">
        <v>24019.800000000003</v>
      </c>
      <c r="I26" s="1">
        <v>25854.400000000001</v>
      </c>
      <c r="J26" s="1">
        <v>27689</v>
      </c>
      <c r="K26" s="1">
        <v>29523.600000000002</v>
      </c>
      <c r="L26" s="1">
        <v>31358.2</v>
      </c>
      <c r="M26" s="1">
        <v>33192.800000000003</v>
      </c>
      <c r="N26" s="1">
        <v>35027.4</v>
      </c>
      <c r="O26" s="1">
        <v>36862</v>
      </c>
      <c r="P26" s="1">
        <v>38696.600000000006</v>
      </c>
      <c r="Q26" s="1">
        <f>SUM(G26:P26)</f>
        <v>304409</v>
      </c>
      <c r="R26" s="1">
        <f>23.23*1000</f>
        <v>23230</v>
      </c>
      <c r="S26" s="2">
        <f>Q26/R26</f>
        <v>13.10413258717176</v>
      </c>
      <c r="T26" t="s">
        <v>60</v>
      </c>
    </row>
    <row r="27" spans="1:20" x14ac:dyDescent="0.35">
      <c r="A27" s="1" t="s">
        <v>18</v>
      </c>
      <c r="B27" s="1">
        <v>5642</v>
      </c>
      <c r="C27" s="1">
        <v>4368</v>
      </c>
      <c r="D27" s="1">
        <v>7863</v>
      </c>
      <c r="E27" s="1">
        <v>4074</v>
      </c>
      <c r="F27" s="1">
        <v>4186</v>
      </c>
      <c r="G27" s="1" cm="1">
        <f t="array" ref="G27:P27">_xlfn.FORECAST.LINEAR($G$1:$P$1,B27:F27,$B$1:$F$1)</f>
        <v>4264.8</v>
      </c>
      <c r="H27" s="1">
        <v>3944.2000000000003</v>
      </c>
      <c r="I27" s="1">
        <v>3623.6000000000004</v>
      </c>
      <c r="J27" s="1">
        <v>3303.0000000000005</v>
      </c>
      <c r="K27" s="1">
        <v>2982.4000000000005</v>
      </c>
      <c r="L27" s="1">
        <v>2661.8</v>
      </c>
      <c r="M27" s="1">
        <v>2341.2000000000003</v>
      </c>
      <c r="N27" s="1">
        <v>2020.6000000000004</v>
      </c>
      <c r="O27" s="1">
        <v>1700</v>
      </c>
      <c r="P27" s="1">
        <v>1379.4000000000005</v>
      </c>
      <c r="Q27" s="1">
        <f>SUM(G27:P27)</f>
        <v>28221</v>
      </c>
      <c r="R27" s="1">
        <f>23.23*1000</f>
        <v>23230</v>
      </c>
      <c r="S27" s="2">
        <f>Q27/R27</f>
        <v>1.2148514851485148</v>
      </c>
      <c r="T27" t="s">
        <v>61</v>
      </c>
    </row>
    <row r="28" spans="1:20" x14ac:dyDescent="0.35">
      <c r="A28" t="s">
        <v>48</v>
      </c>
      <c r="B28" s="1">
        <v>22406</v>
      </c>
      <c r="C28" s="1">
        <v>22583</v>
      </c>
      <c r="D28" s="1">
        <v>22567</v>
      </c>
      <c r="E28" s="1">
        <v>30709</v>
      </c>
      <c r="F28" s="1">
        <v>34642</v>
      </c>
      <c r="G28" s="1" cm="1">
        <f t="array" ref="G28:P28">_xlfn.FORECAST.LINEAR($G$1:$P$1,B28:F28,$B$1:$F$1)</f>
        <v>36360.800000000003</v>
      </c>
      <c r="H28" s="1">
        <v>39620.600000000006</v>
      </c>
      <c r="I28" s="1">
        <v>42880.4</v>
      </c>
      <c r="J28" s="1">
        <v>46140.2</v>
      </c>
      <c r="K28" s="1">
        <v>49400</v>
      </c>
      <c r="L28" s="1">
        <v>52659.8</v>
      </c>
      <c r="M28" s="1">
        <v>55919.600000000006</v>
      </c>
      <c r="N28" s="1">
        <v>59179.4</v>
      </c>
      <c r="O28" s="1">
        <v>62439.200000000004</v>
      </c>
      <c r="P28" s="1">
        <v>65699</v>
      </c>
      <c r="Q28" s="1">
        <f>SUM(G28:P28)</f>
        <v>510299.00000000006</v>
      </c>
      <c r="R28" s="1">
        <f>310.56*1000</f>
        <v>310560</v>
      </c>
      <c r="S28" s="2">
        <f>Q28/R28</f>
        <v>1.6431575218959302</v>
      </c>
      <c r="T28" t="s">
        <v>61</v>
      </c>
    </row>
    <row r="29" spans="1:20" x14ac:dyDescent="0.35">
      <c r="D29" s="1"/>
      <c r="F29" s="1"/>
      <c r="H29" s="1"/>
    </row>
    <row r="30" spans="1:20" x14ac:dyDescent="0.35">
      <c r="A30" s="1" t="s">
        <v>20</v>
      </c>
      <c r="B30" s="1">
        <v>165.45699999999999</v>
      </c>
      <c r="C30" s="1">
        <v>165.25200000000001</v>
      </c>
      <c r="D30" s="1">
        <v>250.625</v>
      </c>
      <c r="E30" s="1">
        <v>277.815</v>
      </c>
      <c r="F30" s="1">
        <v>511.52200000000005</v>
      </c>
      <c r="G30" s="1" cm="1">
        <f t="array" ref="G30:P30">_xlfn.FORECAST.LINEAR($G$1:$P$1,B30:F30,$B$1:$F$1)</f>
        <v>515.54210000000012</v>
      </c>
      <c r="H30" s="1">
        <v>596.01140000000009</v>
      </c>
      <c r="I30" s="1">
        <v>676.48070000000007</v>
      </c>
      <c r="J30" s="1">
        <v>756.95</v>
      </c>
      <c r="K30" s="1">
        <v>837.41930000000002</v>
      </c>
      <c r="L30" s="1">
        <v>917.88860000000011</v>
      </c>
      <c r="M30" s="1">
        <v>998.35790000000009</v>
      </c>
      <c r="N30" s="1">
        <v>1078.8272000000002</v>
      </c>
      <c r="O30" s="1">
        <v>1159.2965000000002</v>
      </c>
      <c r="P30" s="1">
        <v>1239.7658000000001</v>
      </c>
      <c r="Q30" s="1">
        <f>SUM(G30:P30)</f>
        <v>8776.5395000000026</v>
      </c>
      <c r="R30" s="1">
        <f>6.73*1000</f>
        <v>6730</v>
      </c>
      <c r="S30" s="2">
        <f>Q30/R30</f>
        <v>1.3040920505200597</v>
      </c>
      <c r="T30" t="s">
        <v>57</v>
      </c>
    </row>
    <row r="31" spans="1:20" x14ac:dyDescent="0.35">
      <c r="A31" s="1" t="s">
        <v>54</v>
      </c>
      <c r="B31" s="1">
        <v>744</v>
      </c>
      <c r="C31" s="1">
        <v>1653</v>
      </c>
      <c r="D31" s="1">
        <v>1469</v>
      </c>
      <c r="E31" s="1">
        <v>795</v>
      </c>
      <c r="F31" s="1">
        <v>1403</v>
      </c>
      <c r="G31" s="1" cm="1">
        <f t="array" ref="G31:P31">_xlfn.FORECAST.LINEAR($G$1:$P$1,B31:F31,$B$1:$F$1)</f>
        <v>1350.8</v>
      </c>
      <c r="H31" s="1">
        <v>1396.8</v>
      </c>
      <c r="I31" s="1">
        <v>1442.8</v>
      </c>
      <c r="J31" s="1">
        <v>1488.8</v>
      </c>
      <c r="K31" s="1">
        <v>1534.8</v>
      </c>
      <c r="L31" s="1">
        <v>1580.8</v>
      </c>
      <c r="M31" s="1">
        <v>1626.8</v>
      </c>
      <c r="N31" s="1">
        <v>1672.8</v>
      </c>
      <c r="O31" s="1">
        <v>1718.8</v>
      </c>
      <c r="P31" s="1">
        <v>1764.8</v>
      </c>
      <c r="Q31" s="1">
        <f>SUM(G31:P31)</f>
        <v>15577.999999999996</v>
      </c>
      <c r="R31" s="1">
        <f>39.09*1000</f>
        <v>39090</v>
      </c>
      <c r="S31" s="2">
        <f>Q31/R31</f>
        <v>0.39851624456382695</v>
      </c>
      <c r="T31" t="s">
        <v>57</v>
      </c>
    </row>
    <row r="32" spans="1:20" x14ac:dyDescent="0.35">
      <c r="A32" s="1" t="s">
        <v>55</v>
      </c>
      <c r="B32" s="1">
        <v>-136</v>
      </c>
      <c r="C32" s="1">
        <v>1081</v>
      </c>
      <c r="D32" s="1">
        <v>1514</v>
      </c>
      <c r="E32" s="1">
        <v>669</v>
      </c>
      <c r="F32" s="1">
        <v>365</v>
      </c>
      <c r="G32" s="1" cm="1">
        <f t="array" ref="G32:P32">_xlfn.FORECAST.LINEAR($G$1:$P$1,B32:F32,$B$1:$F$1)</f>
        <v>875.6</v>
      </c>
      <c r="H32" s="1">
        <v>934.60000000000014</v>
      </c>
      <c r="I32" s="1">
        <v>993.60000000000014</v>
      </c>
      <c r="J32" s="1">
        <v>1052.6000000000001</v>
      </c>
      <c r="K32" s="1">
        <v>1111.6000000000001</v>
      </c>
      <c r="L32" s="1">
        <v>1170.6000000000001</v>
      </c>
      <c r="M32" s="1">
        <v>1229.6000000000001</v>
      </c>
      <c r="N32" s="1">
        <v>1288.6000000000001</v>
      </c>
      <c r="O32" s="1">
        <v>1347.6000000000004</v>
      </c>
      <c r="P32" s="1">
        <v>1406.6000000000004</v>
      </c>
      <c r="Q32" s="1">
        <f>SUM(G32:P32)</f>
        <v>11411.000000000002</v>
      </c>
      <c r="R32" s="1">
        <f>35.33*1000</f>
        <v>35330</v>
      </c>
      <c r="S32" s="2">
        <f>Q32/R32</f>
        <v>0.3229833003113502</v>
      </c>
      <c r="T32" t="s">
        <v>57</v>
      </c>
    </row>
    <row r="33" spans="1:20" x14ac:dyDescent="0.35">
      <c r="A33" t="s">
        <v>31</v>
      </c>
      <c r="B33" s="1">
        <v>-235</v>
      </c>
      <c r="C33" s="1">
        <v>-142</v>
      </c>
      <c r="D33" s="1">
        <v>204</v>
      </c>
      <c r="E33" s="1">
        <v>145</v>
      </c>
      <c r="F33" s="1">
        <v>383</v>
      </c>
      <c r="G33" s="1" cm="1">
        <f t="array" ref="G33:P33">_xlfn.FORECAST.LINEAR($G$1:$P$1,B33:F33,$B$1:$F$1)</f>
        <v>527.90000000000009</v>
      </c>
      <c r="H33">
        <v>680.2</v>
      </c>
      <c r="I33">
        <v>832.5</v>
      </c>
      <c r="J33">
        <v>984.8</v>
      </c>
      <c r="K33">
        <v>1137.0999999999999</v>
      </c>
      <c r="L33">
        <v>1289.4000000000001</v>
      </c>
      <c r="M33">
        <v>1441.7</v>
      </c>
      <c r="N33">
        <v>1594</v>
      </c>
      <c r="O33">
        <v>1746.3000000000002</v>
      </c>
      <c r="P33">
        <v>1898.6</v>
      </c>
      <c r="Q33" s="1">
        <f>SUM(G33:P33)</f>
        <v>12132.499999999998</v>
      </c>
      <c r="R33" s="1">
        <f>5.61*1000</f>
        <v>5610</v>
      </c>
      <c r="S33" s="2">
        <f>Q33/R33</f>
        <v>2.1626559714795004</v>
      </c>
      <c r="T33" t="s">
        <v>57</v>
      </c>
    </row>
    <row r="35" spans="1:20" x14ac:dyDescent="0.35">
      <c r="A35" s="1" t="s">
        <v>62</v>
      </c>
      <c r="B35" s="1">
        <v>11691</v>
      </c>
      <c r="C35" s="1">
        <v>12183</v>
      </c>
      <c r="D35" s="1">
        <v>10332</v>
      </c>
      <c r="E35" s="1">
        <v>14251</v>
      </c>
      <c r="F35" s="1">
        <v>16932</v>
      </c>
      <c r="G35" s="1" cm="1">
        <f t="array" ref="G35:P35">_xlfn.FORECAST.LINEAR($G$1:$P$1,B35:F35,$B$1:$F$1)</f>
        <v>16842.8</v>
      </c>
      <c r="H35">
        <v>18097.8</v>
      </c>
      <c r="I35">
        <v>19352.8</v>
      </c>
      <c r="J35">
        <v>20607.8</v>
      </c>
      <c r="K35">
        <v>21862.799999999999</v>
      </c>
      <c r="L35">
        <v>23117.8</v>
      </c>
      <c r="M35">
        <v>24372.799999999999</v>
      </c>
      <c r="N35">
        <v>25627.8</v>
      </c>
      <c r="O35">
        <v>26882.799999999999</v>
      </c>
      <c r="P35">
        <v>28137.8</v>
      </c>
      <c r="Q35" s="1">
        <f>SUM(G35:P35)</f>
        <v>224902.99999999997</v>
      </c>
      <c r="R35">
        <f>221.62*1000</f>
        <v>221620</v>
      </c>
      <c r="S35" s="2">
        <f>Q35/R35</f>
        <v>1.01481364497789</v>
      </c>
    </row>
    <row r="36" spans="1:20" x14ac:dyDescent="0.35">
      <c r="A36" s="1" t="s">
        <v>17</v>
      </c>
      <c r="B36" s="1">
        <v>1175</v>
      </c>
      <c r="C36" s="1">
        <v>1672</v>
      </c>
      <c r="D36" s="1">
        <v>3502</v>
      </c>
      <c r="E36" s="1">
        <v>3743</v>
      </c>
      <c r="F36" s="1">
        <v>4761</v>
      </c>
      <c r="G36" s="1" cm="1">
        <f t="array" ref="G36:P36">_xlfn.FORECAST.LINEAR($G$1:$P$1,B36:F36,$B$1:$F$1)</f>
        <v>5743.5</v>
      </c>
      <c r="H36" s="1">
        <v>6667.7999999999993</v>
      </c>
      <c r="I36" s="1">
        <v>7592.1</v>
      </c>
      <c r="J36" s="1">
        <v>8516.4</v>
      </c>
      <c r="K36" s="1">
        <v>9440.7000000000007</v>
      </c>
      <c r="L36" s="1">
        <v>10365</v>
      </c>
      <c r="M36" s="1">
        <v>11289.3</v>
      </c>
      <c r="N36" s="1">
        <v>12213.6</v>
      </c>
      <c r="O36" s="1">
        <v>13137.9</v>
      </c>
      <c r="P36" s="1">
        <v>14062.2</v>
      </c>
      <c r="Q36" s="1">
        <f t="shared" ref="Q36:Q61" si="5">SUM(G36:P36)</f>
        <v>99028.5</v>
      </c>
      <c r="R36" s="1">
        <f>150.84*1000</f>
        <v>150840</v>
      </c>
      <c r="S36" s="2">
        <f t="shared" ref="S36:S61" si="6">Q36/R36</f>
        <v>0.65651352426412091</v>
      </c>
    </row>
    <row r="37" spans="1:20" x14ac:dyDescent="0.35">
      <c r="A37" s="1" t="s">
        <v>63</v>
      </c>
      <c r="B37" s="1">
        <v>-322</v>
      </c>
      <c r="C37" s="1">
        <v>13</v>
      </c>
      <c r="D37" s="1">
        <v>-45</v>
      </c>
      <c r="E37" s="1">
        <v>-129</v>
      </c>
      <c r="F37" s="1">
        <v>276</v>
      </c>
      <c r="G37" s="1" cm="1">
        <f t="array" ref="G37:P37">_xlfn.FORECAST.LINEAR($G$1:$P$1,B37:F37,$B$1:$F$1)</f>
        <v>274.80000000000007</v>
      </c>
      <c r="H37" s="1">
        <v>380.20000000000005</v>
      </c>
      <c r="I37" s="1">
        <v>485.6</v>
      </c>
      <c r="J37" s="1">
        <v>591</v>
      </c>
      <c r="K37" s="1">
        <v>696.4</v>
      </c>
      <c r="L37" s="1">
        <v>801.80000000000007</v>
      </c>
      <c r="M37" s="1">
        <v>907.20000000000016</v>
      </c>
      <c r="N37" s="1">
        <v>1012.6</v>
      </c>
      <c r="O37" s="1">
        <v>1118</v>
      </c>
      <c r="P37" s="1">
        <v>1223.4000000000001</v>
      </c>
      <c r="Q37" s="1">
        <f>SUM(G37:P37)</f>
        <v>7491</v>
      </c>
      <c r="R37" s="1">
        <f>53.47*1000</f>
        <v>53470</v>
      </c>
      <c r="S37" s="2">
        <f>Q37/R37</f>
        <v>0.14009725079483823</v>
      </c>
    </row>
    <row r="38" spans="1:20" x14ac:dyDescent="0.35">
      <c r="A38" s="1" t="s">
        <v>35</v>
      </c>
      <c r="B38" s="1">
        <v>6644</v>
      </c>
      <c r="C38" s="1">
        <v>8440</v>
      </c>
      <c r="D38" s="1">
        <v>8720</v>
      </c>
      <c r="E38" s="1">
        <v>9830</v>
      </c>
      <c r="F38" s="1">
        <v>9830</v>
      </c>
      <c r="G38" s="1" cm="1">
        <f t="array" ref="G38:P38">_xlfn.FORECAST.LINEAR($G$1:$P$1,B38:F38,$B$1:$F$1)</f>
        <v>11021.4</v>
      </c>
      <c r="H38">
        <v>11797.599999999999</v>
      </c>
      <c r="I38">
        <v>12573.8</v>
      </c>
      <c r="J38">
        <v>13350</v>
      </c>
      <c r="K38">
        <v>14126.199999999999</v>
      </c>
      <c r="L38">
        <v>14902.4</v>
      </c>
      <c r="M38">
        <v>15678.6</v>
      </c>
      <c r="N38">
        <v>16454.8</v>
      </c>
      <c r="O38">
        <v>17231</v>
      </c>
      <c r="P38">
        <v>18007.199999999997</v>
      </c>
      <c r="Q38" s="1">
        <f t="shared" si="5"/>
        <v>145143</v>
      </c>
      <c r="R38" s="1">
        <f>188.44*1000</f>
        <v>188440</v>
      </c>
      <c r="S38" s="2">
        <f t="shared" si="6"/>
        <v>0.77023455741880709</v>
      </c>
    </row>
    <row r="39" spans="1:20" x14ac:dyDescent="0.35">
      <c r="B39" s="1"/>
      <c r="C39" s="1"/>
    </row>
    <row r="40" spans="1:20" x14ac:dyDescent="0.35">
      <c r="A40" s="1" t="s">
        <v>64</v>
      </c>
      <c r="B40" s="1">
        <v>15865</v>
      </c>
      <c r="C40" s="1">
        <v>16936</v>
      </c>
      <c r="D40" s="1">
        <v>17601</v>
      </c>
      <c r="E40" s="1">
        <v>22351</v>
      </c>
      <c r="F40" s="1">
        <v>29033</v>
      </c>
      <c r="G40" s="1" cm="1">
        <f t="array" ref="G40:P40">_xlfn.FORECAST.LINEAR($G$1:$P$1,B40:F40,$B$1:$F$1)</f>
        <v>29882.5</v>
      </c>
      <c r="H40" s="1">
        <v>33057.600000000006</v>
      </c>
      <c r="I40" s="1">
        <v>36232.699999999997</v>
      </c>
      <c r="J40" s="1">
        <v>39407.800000000003</v>
      </c>
      <c r="K40" s="1">
        <v>42582.9</v>
      </c>
      <c r="L40" s="1">
        <v>45758</v>
      </c>
      <c r="M40" s="1">
        <v>48933.1</v>
      </c>
      <c r="N40" s="1">
        <v>52108.2</v>
      </c>
      <c r="O40" s="1">
        <v>55283.3</v>
      </c>
      <c r="P40" s="1">
        <v>58458.400000000001</v>
      </c>
      <c r="Q40" s="1">
        <f t="shared" si="5"/>
        <v>441704.5</v>
      </c>
      <c r="R40" s="1">
        <f>250.43*1000</f>
        <v>250430</v>
      </c>
      <c r="S40" s="2">
        <f t="shared" si="6"/>
        <v>1.7637842910194466</v>
      </c>
    </row>
    <row r="41" spans="1:20" x14ac:dyDescent="0.35">
      <c r="A41" s="1" t="s">
        <v>65</v>
      </c>
      <c r="B41" s="1">
        <v>21155</v>
      </c>
      <c r="C41" s="1">
        <v>5656</v>
      </c>
      <c r="D41" s="1">
        <v>8058</v>
      </c>
      <c r="E41" s="1">
        <v>17681</v>
      </c>
      <c r="F41" s="1">
        <v>17807</v>
      </c>
      <c r="G41" s="1" cm="1">
        <f t="array" ref="G41:P41">_xlfn.FORECAST.LINEAR($G$1:$P$1,B41:F41,$B$1:$F$1)</f>
        <v>15670.1</v>
      </c>
      <c r="H41" s="1">
        <v>16203</v>
      </c>
      <c r="I41" s="1">
        <v>16735.900000000001</v>
      </c>
      <c r="J41" s="1">
        <v>17268.8</v>
      </c>
      <c r="K41" s="1">
        <v>17801.7</v>
      </c>
      <c r="L41" s="1">
        <v>18334.599999999999</v>
      </c>
      <c r="M41" s="1">
        <v>18867.5</v>
      </c>
      <c r="N41" s="1">
        <v>19400.400000000001</v>
      </c>
      <c r="O41" s="1">
        <v>19933.3</v>
      </c>
      <c r="P41" s="1">
        <v>20466.2</v>
      </c>
      <c r="Q41" s="1">
        <f t="shared" si="5"/>
        <v>180681.5</v>
      </c>
      <c r="R41" s="1">
        <f>226.77*1000</f>
        <v>226770</v>
      </c>
      <c r="S41" s="2">
        <f t="shared" si="6"/>
        <v>0.79676103541032761</v>
      </c>
    </row>
    <row r="42" spans="1:20" x14ac:dyDescent="0.35">
      <c r="A42" s="1" t="s">
        <v>66</v>
      </c>
      <c r="B42" s="1">
        <v>690</v>
      </c>
      <c r="C42" s="1">
        <v>1433</v>
      </c>
      <c r="D42" s="1">
        <v>2725</v>
      </c>
      <c r="E42" s="1">
        <v>-1642</v>
      </c>
      <c r="F42" s="1">
        <v>433</v>
      </c>
      <c r="G42" s="1" cm="1">
        <f t="array" ref="G42:P42">_xlfn.FORECAST.LINEAR($G$1:$P$1,B42:F42,$B$1:$F$1)</f>
        <v>-348.90000000000009</v>
      </c>
      <c r="H42" s="1">
        <v>-707.80000000000018</v>
      </c>
      <c r="I42" s="1">
        <v>-1066.7000000000003</v>
      </c>
      <c r="J42" s="1">
        <v>-1425.6000000000004</v>
      </c>
      <c r="K42" s="1">
        <v>-1784.5000000000005</v>
      </c>
      <c r="L42" s="1">
        <v>-2143.4000000000005</v>
      </c>
      <c r="M42" s="1">
        <v>-2502.3000000000002</v>
      </c>
      <c r="N42" s="1">
        <v>-2861.2000000000007</v>
      </c>
      <c r="O42" s="1">
        <v>-3220.1000000000004</v>
      </c>
      <c r="P42" s="1">
        <v>-3579.0000000000009</v>
      </c>
      <c r="Q42" s="1">
        <f t="shared" si="5"/>
        <v>-19639.500000000004</v>
      </c>
      <c r="R42">
        <v>74.08</v>
      </c>
      <c r="S42" s="2">
        <f t="shared" si="6"/>
        <v>-265.11204103671713</v>
      </c>
    </row>
    <row r="44" spans="1:20" x14ac:dyDescent="0.35">
      <c r="A44" s="1"/>
      <c r="B44" s="1"/>
      <c r="C44" s="1"/>
      <c r="D44" s="1"/>
      <c r="E44" s="1"/>
    </row>
    <row r="45" spans="1:20" x14ac:dyDescent="0.35">
      <c r="A45" s="1" t="s">
        <v>67</v>
      </c>
      <c r="B45" s="1">
        <v>6170</v>
      </c>
      <c r="C45" s="1">
        <v>5051</v>
      </c>
      <c r="D45" s="1">
        <v>8501</v>
      </c>
      <c r="E45" s="1">
        <v>11995</v>
      </c>
      <c r="F45" s="1">
        <v>12028</v>
      </c>
      <c r="G45" s="1" cm="1">
        <f t="array" ref="G45:P45">_xlfn.FORECAST.LINEAR($G$1:$P$1,B45:F45,$B$1:$F$1)</f>
        <v>14347</v>
      </c>
      <c r="H45" s="1">
        <v>16213</v>
      </c>
      <c r="I45" s="1">
        <v>18079</v>
      </c>
      <c r="J45" s="1">
        <v>19945</v>
      </c>
      <c r="K45" s="1">
        <v>21811</v>
      </c>
      <c r="L45" s="1">
        <v>23677</v>
      </c>
      <c r="M45" s="1">
        <v>25543</v>
      </c>
      <c r="N45" s="1">
        <v>27409</v>
      </c>
      <c r="O45" s="1">
        <v>29275</v>
      </c>
      <c r="P45" s="1">
        <v>31141</v>
      </c>
      <c r="Q45" s="1">
        <f t="shared" si="5"/>
        <v>227440</v>
      </c>
      <c r="R45" s="1">
        <f>344.33*1000</f>
        <v>344330</v>
      </c>
      <c r="S45" s="2">
        <f t="shared" si="6"/>
        <v>0.6605291435541486</v>
      </c>
    </row>
    <row r="47" spans="1:20" x14ac:dyDescent="0.35">
      <c r="A47" s="1" t="s">
        <v>68</v>
      </c>
      <c r="B47" s="1">
        <v>5676</v>
      </c>
      <c r="C47" s="1">
        <v>3576</v>
      </c>
      <c r="D47" s="1">
        <v>3280</v>
      </c>
      <c r="E47" s="1">
        <v>3453</v>
      </c>
      <c r="F47" s="1">
        <v>3476</v>
      </c>
      <c r="G47" s="1" cm="1">
        <f t="array" ref="G47:P47">_xlfn.FORECAST.LINEAR($G$1:$P$1,B47:F47,$B$1:$F$1)</f>
        <v>2535.3000000000002</v>
      </c>
      <c r="H47">
        <v>2083.0000000000005</v>
      </c>
      <c r="I47">
        <v>1630.7000000000003</v>
      </c>
      <c r="J47">
        <v>1178.4000000000001</v>
      </c>
      <c r="K47">
        <v>726.10000000000036</v>
      </c>
      <c r="L47">
        <v>273.80000000000018</v>
      </c>
      <c r="M47">
        <v>-178.5</v>
      </c>
      <c r="N47">
        <v>-630.80000000000018</v>
      </c>
      <c r="O47">
        <v>-1083.0999999999995</v>
      </c>
      <c r="P47">
        <v>-1535.3999999999996</v>
      </c>
      <c r="Q47" s="1">
        <f t="shared" si="5"/>
        <v>4999.5000000000036</v>
      </c>
      <c r="R47" s="1">
        <f>22.37*1000</f>
        <v>22370</v>
      </c>
      <c r="S47" s="2">
        <f t="shared" si="6"/>
        <v>0.22349128296826123</v>
      </c>
    </row>
    <row r="48" spans="1:20" x14ac:dyDescent="0.35">
      <c r="A48" s="1" t="s">
        <v>69</v>
      </c>
      <c r="B48" s="1">
        <v>3854</v>
      </c>
      <c r="C48" s="1">
        <v>5919</v>
      </c>
      <c r="D48" s="1">
        <v>14664</v>
      </c>
      <c r="E48" s="1">
        <v>16440</v>
      </c>
      <c r="F48" s="1">
        <v>5355</v>
      </c>
      <c r="G48" s="1" cm="1">
        <f t="array" ref="G48:P48">_xlfn.FORECAST.LINEAR($G$1:$P$1,B48:F48,$B$1:$F$1)</f>
        <v>13303.3</v>
      </c>
      <c r="H48">
        <v>14655.6</v>
      </c>
      <c r="I48">
        <v>16007.9</v>
      </c>
      <c r="J48">
        <v>17360.199999999997</v>
      </c>
      <c r="K48">
        <v>18712.5</v>
      </c>
      <c r="L48">
        <v>20064.8</v>
      </c>
      <c r="M48">
        <v>21417.1</v>
      </c>
      <c r="N48">
        <v>22769.399999999998</v>
      </c>
      <c r="O48">
        <v>24121.7</v>
      </c>
      <c r="P48">
        <v>25474</v>
      </c>
      <c r="Q48" s="1">
        <f t="shared" si="5"/>
        <v>193886.5</v>
      </c>
      <c r="R48" s="1">
        <f>161.4*1000</f>
        <v>161400</v>
      </c>
      <c r="S48" s="2">
        <f t="shared" si="6"/>
        <v>1.2012794299876084</v>
      </c>
    </row>
    <row r="49" spans="1:20" x14ac:dyDescent="0.35">
      <c r="A49" s="1" t="s">
        <v>70</v>
      </c>
      <c r="B49" s="1">
        <v>-1921</v>
      </c>
      <c r="C49" s="1">
        <v>666</v>
      </c>
      <c r="D49" s="1">
        <v>1397</v>
      </c>
      <c r="E49" s="1">
        <v>2694</v>
      </c>
      <c r="F49" s="1">
        <v>1020</v>
      </c>
      <c r="G49" s="1" cm="1">
        <f t="array" ref="G49:P49">_xlfn.FORECAST.LINEAR($G$1:$P$1,B49:F49,$B$1:$F$1)</f>
        <v>3144.2</v>
      </c>
      <c r="H49">
        <v>3935.2</v>
      </c>
      <c r="I49">
        <v>4726.2</v>
      </c>
      <c r="J49">
        <v>5517.2</v>
      </c>
      <c r="K49">
        <v>6308.2</v>
      </c>
      <c r="L49">
        <v>7099.2</v>
      </c>
      <c r="M49">
        <v>7890.2</v>
      </c>
      <c r="N49">
        <v>8681.2000000000007</v>
      </c>
      <c r="O49">
        <v>9472.2000000000007</v>
      </c>
      <c r="P49">
        <v>10263.200000000001</v>
      </c>
      <c r="Q49" s="1">
        <f t="shared" si="5"/>
        <v>67037</v>
      </c>
      <c r="R49" s="1">
        <f>12.75*1000</f>
        <v>12750</v>
      </c>
      <c r="S49" s="2">
        <f t="shared" si="6"/>
        <v>5.2578039215686276</v>
      </c>
    </row>
    <row r="50" spans="1:20" x14ac:dyDescent="0.35">
      <c r="A50" s="1" t="s">
        <v>71</v>
      </c>
      <c r="B50" s="1">
        <v>-51</v>
      </c>
      <c r="C50" s="1">
        <v>119</v>
      </c>
      <c r="D50" s="1">
        <v>1816</v>
      </c>
      <c r="E50" s="1">
        <v>4934</v>
      </c>
      <c r="F50" s="1">
        <v>935</v>
      </c>
      <c r="G50" s="1" cm="1">
        <f t="array" ref="G50:P50">_xlfn.FORECAST.LINEAR($G$1:$P$1,B50:F50,$B$1:$F$1)</f>
        <v>3586.7</v>
      </c>
      <c r="H50">
        <v>4265.3999999999996</v>
      </c>
      <c r="I50">
        <v>4944.0999999999995</v>
      </c>
      <c r="J50">
        <v>5622.7999999999993</v>
      </c>
      <c r="K50">
        <v>6301.4999999999991</v>
      </c>
      <c r="L50">
        <v>6980.1999999999989</v>
      </c>
      <c r="M50">
        <v>7658.9</v>
      </c>
      <c r="N50">
        <v>8337.5999999999985</v>
      </c>
      <c r="O50">
        <v>9016.2999999999993</v>
      </c>
      <c r="P50">
        <v>9694.9999999999982</v>
      </c>
      <c r="Q50" s="1">
        <f t="shared" si="5"/>
        <v>66408.5</v>
      </c>
      <c r="R50" s="1">
        <f>23.97*1000</f>
        <v>23970</v>
      </c>
      <c r="S50" s="2">
        <f t="shared" si="6"/>
        <v>2.7704839382561537</v>
      </c>
    </row>
    <row r="51" spans="1:20" x14ac:dyDescent="0.35">
      <c r="A51" s="1" t="s">
        <v>72</v>
      </c>
      <c r="B51" s="1">
        <v>-188</v>
      </c>
      <c r="C51" s="1">
        <v>-131</v>
      </c>
      <c r="D51" s="1">
        <v>1071</v>
      </c>
      <c r="E51" s="1">
        <v>600</v>
      </c>
      <c r="F51" s="1">
        <v>1584</v>
      </c>
      <c r="G51" s="1" cm="1">
        <f t="array" ref="G51:P51">_xlfn.FORECAST.LINEAR($G$1:$P$1,B51:F51,$B$1:$F$1)</f>
        <v>1869.7</v>
      </c>
      <c r="H51">
        <v>2297.1999999999998</v>
      </c>
      <c r="I51">
        <v>2724.7</v>
      </c>
      <c r="J51">
        <v>3152.2</v>
      </c>
      <c r="K51">
        <v>3579.7</v>
      </c>
      <c r="L51">
        <v>4007.2</v>
      </c>
      <c r="M51">
        <v>4434.7</v>
      </c>
      <c r="N51">
        <v>4862.2</v>
      </c>
      <c r="O51">
        <v>5289.7</v>
      </c>
      <c r="P51">
        <v>5717.2</v>
      </c>
      <c r="Q51" s="1">
        <f t="shared" si="5"/>
        <v>37934.5</v>
      </c>
      <c r="R51" s="1">
        <f>3.69*1000</f>
        <v>3690</v>
      </c>
      <c r="S51" s="2">
        <f t="shared" si="6"/>
        <v>10.280352303523035</v>
      </c>
      <c r="T51" s="1"/>
    </row>
    <row r="52" spans="1:20" x14ac:dyDescent="0.35">
      <c r="A52" s="1" t="s">
        <v>91</v>
      </c>
      <c r="B52" s="1">
        <v>3679</v>
      </c>
      <c r="C52" s="1">
        <v>-1501</v>
      </c>
      <c r="D52" s="1">
        <v>14805</v>
      </c>
      <c r="E52" s="1">
        <v>30074</v>
      </c>
      <c r="F52" s="1">
        <v>19208</v>
      </c>
      <c r="G52" s="1" cm="1">
        <f t="array" ref="G52:P52">_xlfn.FORECAST.LINEAR($G$1:$P$1,B52:F52,$B$1:$F$1)</f>
        <v>32042.9</v>
      </c>
      <c r="H52">
        <v>38306.199999999997</v>
      </c>
      <c r="I52">
        <v>44569.5</v>
      </c>
      <c r="J52">
        <v>50832.800000000003</v>
      </c>
      <c r="K52">
        <v>57096.1</v>
      </c>
      <c r="L52">
        <v>63359.4</v>
      </c>
      <c r="M52">
        <v>69622.700000000012</v>
      </c>
      <c r="N52">
        <v>75886</v>
      </c>
      <c r="O52">
        <v>82149.299999999988</v>
      </c>
      <c r="P52">
        <v>88412.6</v>
      </c>
      <c r="Q52" s="1">
        <f t="shared" si="5"/>
        <v>602277.5</v>
      </c>
      <c r="R52" s="1">
        <f>131.2 * 1000</f>
        <v>131200</v>
      </c>
      <c r="S52" s="2">
        <f t="shared" si="6"/>
        <v>4.5905297256097564</v>
      </c>
      <c r="T52" s="1"/>
    </row>
    <row r="53" spans="1:20" x14ac:dyDescent="0.35">
      <c r="A53" s="1"/>
      <c r="B53" s="1"/>
      <c r="C53" s="1"/>
      <c r="D53" s="1"/>
      <c r="E53" s="1"/>
      <c r="F53" s="1"/>
      <c r="G53" s="1"/>
      <c r="Q53" s="1"/>
      <c r="R53" s="1"/>
      <c r="S53" s="2"/>
      <c r="T53" s="1"/>
    </row>
    <row r="54" spans="1:20" x14ac:dyDescent="0.35">
      <c r="B54" s="1"/>
      <c r="D54" s="1"/>
      <c r="E54" s="1"/>
    </row>
    <row r="55" spans="1:20" x14ac:dyDescent="0.35">
      <c r="A55" s="1" t="s">
        <v>78</v>
      </c>
      <c r="B55" s="1">
        <v>194</v>
      </c>
      <c r="C55" s="1">
        <v>156</v>
      </c>
      <c r="D55" s="1">
        <v>235</v>
      </c>
      <c r="E55" s="1">
        <v>331</v>
      </c>
      <c r="F55" s="1">
        <v>517</v>
      </c>
      <c r="G55" s="1" cm="1">
        <f t="array" ref="G55:P55">_xlfn.FORECAST.LINEAR($G$1:$P$1,B55:F55,$B$1:$F$1)</f>
        <v>532.9</v>
      </c>
      <c r="H55">
        <v>615</v>
      </c>
      <c r="I55">
        <v>697.1</v>
      </c>
      <c r="J55">
        <v>779.2</v>
      </c>
      <c r="K55">
        <v>861.30000000000007</v>
      </c>
      <c r="L55">
        <v>943.4</v>
      </c>
      <c r="M55">
        <v>1025.5</v>
      </c>
      <c r="N55">
        <v>1107.5999999999999</v>
      </c>
      <c r="O55">
        <v>1189.6999999999998</v>
      </c>
      <c r="P55">
        <v>1271.8</v>
      </c>
      <c r="Q55" s="1">
        <f t="shared" si="5"/>
        <v>9023.5</v>
      </c>
      <c r="R55" s="1">
        <f>21.5*1000</f>
        <v>21500</v>
      </c>
      <c r="S55" s="2">
        <f t="shared" si="6"/>
        <v>0.41969767441860467</v>
      </c>
    </row>
    <row r="56" spans="1:20" x14ac:dyDescent="0.35">
      <c r="A56" s="1" t="s">
        <v>41</v>
      </c>
      <c r="B56" s="1">
        <v>1187</v>
      </c>
      <c r="C56" s="1">
        <v>-2649</v>
      </c>
      <c r="D56" s="1">
        <v>3419</v>
      </c>
      <c r="E56" s="1">
        <v>8521</v>
      </c>
      <c r="F56" s="1">
        <v>3409</v>
      </c>
      <c r="G56" s="1" cm="1">
        <f t="array" ref="G56:P56">_xlfn.FORECAST.LINEAR($G$1:$P$1,B56:F56,$B$1:$F$1)</f>
        <v>7461.6</v>
      </c>
      <c r="H56">
        <v>9023</v>
      </c>
      <c r="I56">
        <v>10584.4</v>
      </c>
      <c r="J56">
        <v>12145.8</v>
      </c>
      <c r="K56">
        <v>13707.199999999999</v>
      </c>
      <c r="L56">
        <v>15268.6</v>
      </c>
      <c r="M56">
        <v>16830.000000000004</v>
      </c>
      <c r="N56">
        <v>18391.400000000001</v>
      </c>
      <c r="O56">
        <v>19952.800000000003</v>
      </c>
      <c r="P56">
        <v>21514.2</v>
      </c>
      <c r="Q56" s="1">
        <f t="shared" si="5"/>
        <v>144879</v>
      </c>
      <c r="R56" s="1">
        <f>40.01*1000</f>
        <v>40010</v>
      </c>
      <c r="S56" s="2">
        <f t="shared" si="6"/>
        <v>3.6210697325668582</v>
      </c>
    </row>
    <row r="57" spans="1:20" x14ac:dyDescent="0.35">
      <c r="A57" s="1" t="s">
        <v>82</v>
      </c>
      <c r="B57" s="1">
        <v>-42</v>
      </c>
      <c r="C57" s="1">
        <v>68</v>
      </c>
      <c r="D57" s="1">
        <v>21</v>
      </c>
      <c r="E57" s="1">
        <v>67</v>
      </c>
      <c r="F57" s="1">
        <v>24</v>
      </c>
      <c r="G57" s="1" cm="1">
        <f t="array" ref="G57:P57">_xlfn.FORECAST.LINEAR($G$1:$P$1,B57:F57,$B$1:$F$1)</f>
        <v>66.900000000000006</v>
      </c>
      <c r="H57">
        <v>80</v>
      </c>
      <c r="I57">
        <v>93.1</v>
      </c>
      <c r="J57">
        <v>106.19999999999999</v>
      </c>
      <c r="K57">
        <v>119.30000000000001</v>
      </c>
      <c r="L57">
        <v>132.4</v>
      </c>
      <c r="M57">
        <v>145.5</v>
      </c>
      <c r="N57">
        <v>158.6</v>
      </c>
      <c r="O57">
        <v>171.70000000000002</v>
      </c>
      <c r="P57">
        <v>184.8</v>
      </c>
      <c r="Q57" s="1">
        <f t="shared" si="5"/>
        <v>1258.5</v>
      </c>
      <c r="R57" s="1">
        <f>7.67*1000</f>
        <v>7670</v>
      </c>
      <c r="S57" s="2">
        <f t="shared" si="6"/>
        <v>0.16408083441981747</v>
      </c>
    </row>
    <row r="58" spans="1:20" x14ac:dyDescent="0.35">
      <c r="A58" s="1" t="s">
        <v>86</v>
      </c>
      <c r="B58" s="1">
        <v>-9</v>
      </c>
      <c r="C58" s="1">
        <v>-2</v>
      </c>
      <c r="D58" s="1">
        <v>102</v>
      </c>
      <c r="E58" s="1">
        <v>234</v>
      </c>
      <c r="F58" s="1">
        <v>404</v>
      </c>
      <c r="G58" s="1" cm="1">
        <f t="array" ref="G58:P58">_xlfn.FORECAST.LINEAR($G$1:$P$1,B58:F58,$B$1:$F$1)</f>
        <v>464.40000000000003</v>
      </c>
      <c r="H58">
        <v>570.59999999999991</v>
      </c>
      <c r="I58">
        <v>676.8</v>
      </c>
      <c r="J58">
        <v>783</v>
      </c>
      <c r="K58">
        <v>889.2</v>
      </c>
      <c r="L58">
        <v>995.40000000000009</v>
      </c>
      <c r="M58">
        <v>1101.6000000000001</v>
      </c>
      <c r="N58">
        <v>1207.8000000000002</v>
      </c>
      <c r="O58">
        <v>1314</v>
      </c>
      <c r="P58">
        <v>1420.2</v>
      </c>
      <c r="Q58" s="1">
        <f t="shared" si="5"/>
        <v>9423</v>
      </c>
      <c r="R58" s="1">
        <f>16.49*1000</f>
        <v>16490</v>
      </c>
      <c r="S58" s="2">
        <f t="shared" si="6"/>
        <v>0.57143723468768948</v>
      </c>
    </row>
    <row r="59" spans="1:20" x14ac:dyDescent="0.35">
      <c r="A59" s="1" t="s">
        <v>87</v>
      </c>
      <c r="B59" s="1">
        <v>1243</v>
      </c>
      <c r="C59" s="1">
        <v>879</v>
      </c>
      <c r="D59" s="1">
        <v>1369</v>
      </c>
      <c r="E59" s="1">
        <v>1988</v>
      </c>
      <c r="F59" s="1">
        <v>2169</v>
      </c>
      <c r="G59" s="1" cm="1">
        <f t="array" ref="G59:P59">_xlfn.FORECAST.LINEAR($G$1:$P$1,B59:F59,$B$1:$F$1)</f>
        <v>2417.9</v>
      </c>
      <c r="H59">
        <v>2714</v>
      </c>
      <c r="I59">
        <v>3010.1</v>
      </c>
      <c r="J59">
        <v>3306.2</v>
      </c>
      <c r="K59">
        <v>3602.2999999999997</v>
      </c>
      <c r="L59">
        <v>3898.4</v>
      </c>
      <c r="M59">
        <v>4194.5</v>
      </c>
      <c r="N59">
        <v>4490.6000000000004</v>
      </c>
      <c r="O59">
        <v>4786.7000000000007</v>
      </c>
      <c r="P59" s="1">
        <v>5082.8</v>
      </c>
      <c r="Q59" s="1">
        <f t="shared" si="5"/>
        <v>37503.5</v>
      </c>
      <c r="R59" s="1">
        <f>60.59*1000</f>
        <v>60590</v>
      </c>
      <c r="S59" s="2">
        <f t="shared" si="6"/>
        <v>0.61897177752104304</v>
      </c>
    </row>
    <row r="60" spans="1:20" x14ac:dyDescent="0.35">
      <c r="A60" s="1" t="s">
        <v>88</v>
      </c>
      <c r="B60" s="1">
        <v>1081</v>
      </c>
      <c r="C60" s="1">
        <v>2019</v>
      </c>
      <c r="D60" s="1">
        <v>2058</v>
      </c>
      <c r="E60" s="1">
        <v>1659</v>
      </c>
      <c r="F60" s="1">
        <v>1715</v>
      </c>
      <c r="G60" s="1" cm="1">
        <f t="array" ref="G60:P60">_xlfn.FORECAST.LINEAR($G$1:$P$1,B60:F60,$B$1:$F$1)</f>
        <v>1978.8</v>
      </c>
      <c r="H60">
        <v>2069.6</v>
      </c>
      <c r="I60">
        <v>2160.4</v>
      </c>
      <c r="J60">
        <v>2251.1999999999998</v>
      </c>
      <c r="K60">
        <v>2342</v>
      </c>
      <c r="L60">
        <v>2432.8000000000002</v>
      </c>
      <c r="M60">
        <v>2523.6</v>
      </c>
      <c r="N60">
        <v>2614.3999999999996</v>
      </c>
      <c r="O60">
        <v>2705.2</v>
      </c>
      <c r="P60">
        <v>2796</v>
      </c>
      <c r="Q60" s="1">
        <f t="shared" si="5"/>
        <v>23874</v>
      </c>
      <c r="R60" s="1">
        <f>40.64*1000</f>
        <v>40640</v>
      </c>
      <c r="S60" s="2">
        <f t="shared" si="6"/>
        <v>0.58745078740157475</v>
      </c>
    </row>
    <row r="61" spans="1:20" x14ac:dyDescent="0.35">
      <c r="A61" s="1" t="s">
        <v>89</v>
      </c>
      <c r="B61" s="1">
        <v>972</v>
      </c>
      <c r="C61" s="1">
        <v>1130</v>
      </c>
      <c r="D61" s="1">
        <v>1260</v>
      </c>
      <c r="E61" s="1">
        <v>1585</v>
      </c>
      <c r="F61" s="1">
        <v>1428</v>
      </c>
      <c r="G61" s="1" cm="1">
        <f t="array" ref="G61:P61">_xlfn.FORECAST.LINEAR($G$1:$P$1,B61:F61,$B$1:$F$1)</f>
        <v>1685.1</v>
      </c>
      <c r="H61" s="1">
        <v>1821.8</v>
      </c>
      <c r="I61" s="1">
        <v>1958.5</v>
      </c>
      <c r="J61" s="1">
        <v>2095.1999999999998</v>
      </c>
      <c r="K61" s="1">
        <v>2231.9</v>
      </c>
      <c r="L61" s="1">
        <v>2368.6</v>
      </c>
      <c r="M61" s="1">
        <v>2505.3000000000002</v>
      </c>
      <c r="N61" s="1">
        <v>2642</v>
      </c>
      <c r="O61" s="1">
        <v>2778.7</v>
      </c>
      <c r="P61" s="1">
        <v>2915.4</v>
      </c>
      <c r="Q61" s="1">
        <f t="shared" si="5"/>
        <v>23002.500000000004</v>
      </c>
      <c r="R61" s="1">
        <f>26.05*1000</f>
        <v>26050</v>
      </c>
      <c r="S61" s="2">
        <f t="shared" si="6"/>
        <v>0.883013435700576</v>
      </c>
    </row>
    <row r="62" spans="1:20" x14ac:dyDescent="0.35">
      <c r="C62" s="1"/>
    </row>
    <row r="63" spans="1:20" x14ac:dyDescent="0.35">
      <c r="A63" s="1" t="s">
        <v>92</v>
      </c>
      <c r="B63" s="1">
        <v>4674</v>
      </c>
      <c r="C63" s="1">
        <v>2181</v>
      </c>
      <c r="D63" s="1">
        <v>3617</v>
      </c>
      <c r="E63" s="1">
        <v>4420</v>
      </c>
      <c r="F63" s="1">
        <v>6627</v>
      </c>
      <c r="G63" s="1" cm="1">
        <f t="array" ref="G63:P63">_xlfn.FORECAST.LINEAR($G$1:$P$1,B63:F63,$B$1:$F$1)</f>
        <v>6147.3</v>
      </c>
      <c r="H63" s="1">
        <v>6761.8</v>
      </c>
      <c r="I63" s="1">
        <v>7376.3</v>
      </c>
      <c r="J63" s="1">
        <v>7990.8</v>
      </c>
      <c r="K63" s="1">
        <v>8605.2999999999993</v>
      </c>
      <c r="L63" s="1">
        <v>9219.7999999999993</v>
      </c>
      <c r="M63" s="1">
        <v>9834.2999999999993</v>
      </c>
      <c r="N63" s="1">
        <v>10448.799999999999</v>
      </c>
      <c r="O63" s="1">
        <v>11063.3</v>
      </c>
      <c r="P63" s="1">
        <v>11677.8</v>
      </c>
      <c r="Q63" s="1">
        <f t="shared" ref="Q63:Q70" si="7">SUM(G63:P63)</f>
        <v>89125.500000000015</v>
      </c>
      <c r="R63" s="1">
        <f>74.34*1000</f>
        <v>74340</v>
      </c>
      <c r="S63" s="2">
        <f t="shared" ref="S63:S70" si="8">Q63/R63</f>
        <v>1.1988902340597258</v>
      </c>
    </row>
    <row r="64" spans="1:20" x14ac:dyDescent="0.35">
      <c r="A64" s="1" t="s">
        <v>95</v>
      </c>
      <c r="B64" s="1">
        <v>43</v>
      </c>
      <c r="C64" s="1">
        <v>211</v>
      </c>
      <c r="D64" s="1">
        <v>396</v>
      </c>
      <c r="E64" s="1">
        <v>449</v>
      </c>
      <c r="F64" s="1">
        <v>756</v>
      </c>
      <c r="G64" s="1" cm="1">
        <f t="array" ref="G64:P64">_xlfn.FORECAST.LINEAR($G$1:$P$1,B64:F64,$B$1:$F$1)</f>
        <v>870.2</v>
      </c>
      <c r="H64">
        <v>1036.5999999999999</v>
      </c>
      <c r="I64">
        <v>1203</v>
      </c>
      <c r="J64">
        <v>1369.4</v>
      </c>
      <c r="K64">
        <v>1535.8</v>
      </c>
      <c r="L64">
        <v>1702.2</v>
      </c>
      <c r="M64">
        <v>1868.6000000000001</v>
      </c>
      <c r="N64">
        <v>2035.0000000000002</v>
      </c>
      <c r="O64">
        <v>2201.3999999999996</v>
      </c>
      <c r="P64">
        <v>2367.8000000000002</v>
      </c>
      <c r="Q64" s="1">
        <f t="shared" si="7"/>
        <v>16190</v>
      </c>
      <c r="R64" s="1">
        <f>4.68*1000</f>
        <v>4680</v>
      </c>
      <c r="S64" s="2">
        <f t="shared" si="8"/>
        <v>3.4594017094017095</v>
      </c>
    </row>
    <row r="65" spans="1:24" x14ac:dyDescent="0.35">
      <c r="A65" s="1" t="s">
        <v>96</v>
      </c>
      <c r="B65" s="1">
        <v>333</v>
      </c>
      <c r="C65" s="1">
        <v>23</v>
      </c>
      <c r="D65" s="1">
        <v>2311</v>
      </c>
      <c r="E65" s="1">
        <v>-181</v>
      </c>
      <c r="F65" s="1">
        <v>691</v>
      </c>
      <c r="G65" s="1" cm="1">
        <f t="array" ref="G65:P65">_xlfn.FORECAST.LINEAR($G$1:$P$1,B65:F65,$B$1:$F$1)</f>
        <v>789</v>
      </c>
      <c r="H65">
        <v>840.19999999999993</v>
      </c>
      <c r="I65">
        <v>891.39999999999986</v>
      </c>
      <c r="J65">
        <v>942.59999999999991</v>
      </c>
      <c r="K65">
        <v>993.8</v>
      </c>
      <c r="L65">
        <v>1044.9999999999998</v>
      </c>
      <c r="M65">
        <v>1096.1999999999998</v>
      </c>
      <c r="N65">
        <v>1147.3999999999999</v>
      </c>
      <c r="O65">
        <v>1198.5999999999999</v>
      </c>
      <c r="P65">
        <v>1249.7999999999997</v>
      </c>
      <c r="Q65" s="1">
        <f t="shared" si="7"/>
        <v>10193.999999999998</v>
      </c>
      <c r="R65" s="1">
        <f>7.01*1000</f>
        <v>7010</v>
      </c>
      <c r="S65" s="2">
        <f t="shared" si="8"/>
        <v>1.4542082738944362</v>
      </c>
    </row>
    <row r="66" spans="1:24" x14ac:dyDescent="0.35">
      <c r="A66" s="1" t="s">
        <v>97</v>
      </c>
      <c r="B66" s="1">
        <v>2251</v>
      </c>
      <c r="C66" s="1">
        <v>2072</v>
      </c>
      <c r="D66" s="1">
        <v>2378</v>
      </c>
      <c r="E66" s="1">
        <v>1800</v>
      </c>
      <c r="F66" s="1">
        <v>47</v>
      </c>
      <c r="G66" s="1" cm="1">
        <f t="array" ref="G66:P66">_xlfn.FORECAST.LINEAR($G$1:$P$1,B66:F66,$B$1:$F$1)</f>
        <v>305.59999999999991</v>
      </c>
      <c r="H66">
        <v>-162.40000000000009</v>
      </c>
      <c r="I66" s="1">
        <v>-630.40000000000009</v>
      </c>
      <c r="J66">
        <v>-1098.4000000000001</v>
      </c>
      <c r="K66">
        <v>-1566.4</v>
      </c>
      <c r="L66">
        <v>-2034.4</v>
      </c>
      <c r="M66">
        <v>-2502.4</v>
      </c>
      <c r="N66">
        <v>-2970.4</v>
      </c>
      <c r="O66">
        <v>-3438.4</v>
      </c>
      <c r="P66">
        <v>-3906.4</v>
      </c>
      <c r="Q66" s="1">
        <f t="shared" si="7"/>
        <v>-18004</v>
      </c>
      <c r="R66" s="8">
        <f>7.74*1000</f>
        <v>7740</v>
      </c>
      <c r="S66" s="2">
        <f t="shared" si="8"/>
        <v>-2.3260981912144705</v>
      </c>
    </row>
    <row r="67" spans="1:24" x14ac:dyDescent="0.35">
      <c r="A67" s="1" t="s">
        <v>98</v>
      </c>
      <c r="B67" s="1">
        <v>4512</v>
      </c>
      <c r="C67" s="1">
        <v>6861</v>
      </c>
      <c r="D67" s="1">
        <v>4003</v>
      </c>
      <c r="E67" s="1">
        <v>3111</v>
      </c>
      <c r="F67" s="1">
        <v>6399</v>
      </c>
      <c r="G67" s="1" cm="1">
        <f t="array" ref="G67:P67">_xlfn.FORECAST.LINEAR($G$1:$P$1,B67:F67,$B$1:$F$1)</f>
        <v>4984.3999999999996</v>
      </c>
      <c r="H67">
        <v>4986.8</v>
      </c>
      <c r="I67">
        <v>4989.2</v>
      </c>
      <c r="J67">
        <v>4991.6000000000004</v>
      </c>
      <c r="K67">
        <v>4994</v>
      </c>
      <c r="L67">
        <v>4996.3999999999996</v>
      </c>
      <c r="M67">
        <v>4998.8</v>
      </c>
      <c r="N67">
        <v>5001.2</v>
      </c>
      <c r="O67">
        <v>5003.6000000000004</v>
      </c>
      <c r="P67">
        <v>5006</v>
      </c>
      <c r="Q67" s="1">
        <f t="shared" si="7"/>
        <v>49952</v>
      </c>
      <c r="R67" s="8">
        <f>83.13*1000</f>
        <v>83130</v>
      </c>
      <c r="S67" s="2">
        <f t="shared" si="8"/>
        <v>0.60089017201972816</v>
      </c>
    </row>
    <row r="68" spans="1:24" x14ac:dyDescent="0.35">
      <c r="A68" s="1" t="s">
        <v>99</v>
      </c>
      <c r="B68" s="1">
        <v>563</v>
      </c>
      <c r="C68" s="1">
        <v>907</v>
      </c>
      <c r="D68" s="1">
        <v>1168</v>
      </c>
      <c r="E68" s="1">
        <v>839</v>
      </c>
      <c r="F68" s="1">
        <v>969</v>
      </c>
      <c r="G68" s="1" cm="1">
        <f t="array" ref="G68:P68">_xlfn.FORECAST.LINEAR($G$1:$P$1,B68:F68,$B$1:$F$1)</f>
        <v>1112.4000000000001</v>
      </c>
      <c r="H68">
        <v>1186.8000000000002</v>
      </c>
      <c r="I68">
        <v>1261.2</v>
      </c>
      <c r="J68">
        <v>1335.6</v>
      </c>
      <c r="K68">
        <v>1410</v>
      </c>
      <c r="L68">
        <v>1484.4</v>
      </c>
      <c r="M68">
        <v>1558.8000000000002</v>
      </c>
      <c r="N68">
        <v>1633.2</v>
      </c>
      <c r="O68">
        <v>1707.6000000000001</v>
      </c>
      <c r="P68">
        <v>1782</v>
      </c>
      <c r="Q68" s="1">
        <f t="shared" si="7"/>
        <v>14472.000000000002</v>
      </c>
      <c r="R68" s="8">
        <f>15.33 * 1000</f>
        <v>15330</v>
      </c>
      <c r="S68" s="2">
        <f t="shared" si="8"/>
        <v>0.94403131115459893</v>
      </c>
    </row>
    <row r="69" spans="1:24" x14ac:dyDescent="0.35">
      <c r="A69" s="1" t="s">
        <v>100</v>
      </c>
      <c r="B69" s="1">
        <v>136</v>
      </c>
      <c r="C69" s="1">
        <v>372</v>
      </c>
      <c r="D69" s="1">
        <v>224</v>
      </c>
      <c r="E69" s="1">
        <v>583</v>
      </c>
      <c r="F69" s="1">
        <v>589</v>
      </c>
      <c r="G69" s="1" cm="1">
        <f t="array" ref="G69:P69">_xlfn.FORECAST.LINEAR($G$1:$P$1,B69:F69,$B$1:$F$1)</f>
        <v>715.90000000000009</v>
      </c>
      <c r="H69">
        <v>827.59999999999991</v>
      </c>
      <c r="I69">
        <v>939.3</v>
      </c>
      <c r="J69">
        <v>1051</v>
      </c>
      <c r="K69">
        <v>1162.7</v>
      </c>
      <c r="L69">
        <v>1274.4000000000001</v>
      </c>
      <c r="M69">
        <v>1386.1000000000001</v>
      </c>
      <c r="N69">
        <v>1497.8000000000002</v>
      </c>
      <c r="O69">
        <v>1609.5</v>
      </c>
      <c r="P69">
        <v>1721.2</v>
      </c>
      <c r="Q69" s="1">
        <f t="shared" si="7"/>
        <v>12185.5</v>
      </c>
      <c r="R69" s="8">
        <f>9.47*1000</f>
        <v>9470</v>
      </c>
      <c r="S69" s="2">
        <f t="shared" si="8"/>
        <v>1.2867476240760296</v>
      </c>
    </row>
    <row r="70" spans="1:24" x14ac:dyDescent="0.35">
      <c r="A70" s="1" t="s">
        <v>101</v>
      </c>
      <c r="B70" s="1">
        <v>1197</v>
      </c>
      <c r="C70" s="1">
        <v>2146</v>
      </c>
      <c r="D70" s="1">
        <v>1680</v>
      </c>
      <c r="E70" s="1">
        <v>2917</v>
      </c>
      <c r="F70" s="1">
        <v>2960</v>
      </c>
      <c r="G70" s="1" cm="1">
        <f t="array" ref="G70:P70">_xlfn.FORECAST.LINEAR($G$1:$P$1,B70:F70,$B$1:$F$1)</f>
        <v>3469.1</v>
      </c>
      <c r="H70">
        <v>3898.8</v>
      </c>
      <c r="I70">
        <v>4328.5</v>
      </c>
      <c r="J70">
        <v>4758.2</v>
      </c>
      <c r="K70">
        <v>5187.8999999999996</v>
      </c>
      <c r="L70">
        <v>5617.6</v>
      </c>
      <c r="M70">
        <v>6047.2999999999993</v>
      </c>
      <c r="N70">
        <v>6477</v>
      </c>
      <c r="O70">
        <v>6906.7000000000007</v>
      </c>
      <c r="P70">
        <v>7336.4</v>
      </c>
      <c r="Q70" s="1">
        <f t="shared" si="7"/>
        <v>54027.499999999993</v>
      </c>
      <c r="R70" s="8">
        <f>18.93*1000</f>
        <v>18930</v>
      </c>
      <c r="S70" s="2">
        <f t="shared" si="8"/>
        <v>2.8540676175382984</v>
      </c>
    </row>
    <row r="71" spans="1:24" x14ac:dyDescent="0.35">
      <c r="A71" t="s">
        <v>36</v>
      </c>
      <c r="B71" s="1">
        <v>753</v>
      </c>
      <c r="C71" s="1">
        <v>708</v>
      </c>
      <c r="D71" s="1">
        <v>564</v>
      </c>
      <c r="E71" s="1">
        <v>235</v>
      </c>
      <c r="F71" s="1">
        <v>1026</v>
      </c>
      <c r="G71" s="1" cm="1">
        <f t="array" ref="G71:P71">_xlfn.FORECAST.LINEAR($G$1:$P$1,B71:F71,$B$1:$F$1)</f>
        <v>679.1</v>
      </c>
      <c r="H71" s="1">
        <v>686.40000000000009</v>
      </c>
      <c r="I71">
        <v>693.7</v>
      </c>
      <c r="J71">
        <v>701.00000000000011</v>
      </c>
      <c r="K71">
        <v>708.30000000000007</v>
      </c>
      <c r="L71">
        <v>715.6</v>
      </c>
      <c r="M71">
        <v>722.90000000000009</v>
      </c>
      <c r="N71">
        <v>730.2</v>
      </c>
      <c r="O71">
        <v>737.50000000000011</v>
      </c>
      <c r="P71">
        <v>744.80000000000007</v>
      </c>
      <c r="Q71" s="1">
        <f>SUM(G71:P71)</f>
        <v>7119.5</v>
      </c>
      <c r="R71" s="1">
        <f>3.89*1000</f>
        <v>3890</v>
      </c>
      <c r="S71" s="2">
        <f>Q71/R71</f>
        <v>1.8302056555269923</v>
      </c>
    </row>
    <row r="72" spans="1:24" x14ac:dyDescent="0.35">
      <c r="A72" s="1" t="s">
        <v>33</v>
      </c>
      <c r="B72" s="1">
        <v>3245</v>
      </c>
      <c r="C72" s="1">
        <v>2319</v>
      </c>
      <c r="D72" s="1">
        <v>-585</v>
      </c>
      <c r="E72" s="1">
        <v>2004</v>
      </c>
      <c r="F72" s="1">
        <v>2381</v>
      </c>
      <c r="G72" s="1" cm="1">
        <f t="array" ref="G72:P72">_xlfn.FORECAST.LINEAR($G$1:$P$1,B72:F72,$B$1:$F$1)</f>
        <v>1259.8999999999996</v>
      </c>
      <c r="H72" s="1">
        <v>1055.5999999999995</v>
      </c>
      <c r="I72">
        <v>851.2999999999995</v>
      </c>
      <c r="J72">
        <v>646.99999999999955</v>
      </c>
      <c r="K72">
        <v>442.69999999999936</v>
      </c>
      <c r="L72">
        <v>238.39999999999918</v>
      </c>
      <c r="M72">
        <v>34.099999999999454</v>
      </c>
      <c r="N72">
        <v>-170.20000000000073</v>
      </c>
      <c r="O72">
        <v>-374.50000000000091</v>
      </c>
      <c r="P72">
        <v>-578.80000000000064</v>
      </c>
      <c r="Q72" s="1">
        <f>SUM(G72:P72)</f>
        <v>3405.4999999999932</v>
      </c>
      <c r="R72" s="1">
        <f>13.2*1000</f>
        <v>13200</v>
      </c>
      <c r="S72" s="2">
        <f>Q72/R72</f>
        <v>0.25799242424242375</v>
      </c>
      <c r="X72" s="1"/>
    </row>
    <row r="73" spans="1:24" x14ac:dyDescent="0.35">
      <c r="A73" s="1" t="s">
        <v>102</v>
      </c>
      <c r="B73" s="1">
        <v>319</v>
      </c>
      <c r="C73" s="1">
        <v>454</v>
      </c>
      <c r="D73" s="1">
        <v>512</v>
      </c>
      <c r="E73" s="1">
        <v>567</v>
      </c>
      <c r="F73" s="1">
        <v>537</v>
      </c>
      <c r="G73" s="1" cm="1">
        <f t="array" ref="G73:P73">_xlfn.FORECAST.LINEAR($G$1:$P$1,B73:F73,$B$1:$F$1)</f>
        <v>642.5</v>
      </c>
      <c r="H73">
        <v>697.40000000000009</v>
      </c>
      <c r="I73">
        <v>752.3</v>
      </c>
      <c r="J73">
        <v>807.2</v>
      </c>
      <c r="K73">
        <v>862.1</v>
      </c>
      <c r="L73">
        <v>917</v>
      </c>
      <c r="M73">
        <v>971.9</v>
      </c>
      <c r="N73">
        <v>1026.8</v>
      </c>
      <c r="O73">
        <v>1081.7</v>
      </c>
      <c r="P73">
        <v>1136.5999999999999</v>
      </c>
      <c r="Q73" s="1">
        <f>SUM(G73:P73)</f>
        <v>8895.5</v>
      </c>
      <c r="R73" s="1">
        <f>18.27*1000</f>
        <v>18270</v>
      </c>
      <c r="S73" s="2">
        <f>Q73/R73</f>
        <v>0.48689107827038863</v>
      </c>
    </row>
    <row r="74" spans="1:24" x14ac:dyDescent="0.35">
      <c r="C74" s="1"/>
      <c r="D74" s="1"/>
      <c r="E74" s="1"/>
    </row>
    <row r="75" spans="1:24" x14ac:dyDescent="0.35">
      <c r="D75" s="1"/>
      <c r="E75" s="1"/>
    </row>
    <row r="76" spans="1:24" x14ac:dyDescent="0.35">
      <c r="D76" s="1"/>
    </row>
    <row r="77" spans="1:24" x14ac:dyDescent="0.35">
      <c r="D7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Tech Fact</vt:lpstr>
      <vt:lpstr>Tech Growth</vt:lpstr>
      <vt:lpstr>Fin</vt:lpstr>
      <vt:lpstr>Medi</vt:lpstr>
      <vt:lpstr>Resource</vt:lpstr>
      <vt:lpstr>Retail</vt:lpstr>
      <vt:lpstr>Service</vt:lpstr>
      <vt:lpstr>Manufacture</vt:lpstr>
      <vt:lpstr>Brand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Huanmin Wu</dc:creator>
  <cp:lastModifiedBy>Huanmin Wu</cp:lastModifiedBy>
  <dcterms:created xsi:type="dcterms:W3CDTF">2020-03-04T05:33:13Z</dcterms:created>
  <dcterms:modified xsi:type="dcterms:W3CDTF">2020-04-27T01:04:01Z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huanminw@microsoft.com</vt:lpwstr>
  </property>
  <property fmtid="{D5CDD505-2E9C-101B-9397-08002B2CF9AE}" pid="5" name="MSIP_Label_f42aa342-8706-4288-bd11-ebb85995028c_SetDate">
    <vt:lpwstr>2020-03-04T05:42:20.7264559Z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52a23abb-fadc-46da-bc0f-f1839b4ac2dd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