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Stock\"/>
    </mc:Choice>
  </mc:AlternateContent>
  <xr:revisionPtr revIDLastSave="0" documentId="13_ncr:1_{AB8544F9-ACF5-4EAD-AE83-E3BCDCE24169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Technology" sheetId="14" r:id="rId1"/>
    <sheet name="Medical" sheetId="25" r:id="rId2"/>
    <sheet name="Consumer" sheetId="17" r:id="rId3"/>
    <sheet name="Resource" sheetId="18" r:id="rId4"/>
    <sheet name="Manufacture" sheetId="19" r:id="rId5"/>
    <sheet name="Finance" sheetId="20" r:id="rId6"/>
    <sheet name="Service" sheetId="21" r:id="rId7"/>
    <sheet name="Semiconductor" sheetId="22" r:id="rId8"/>
    <sheet name="REIT" sheetId="26" r:id="rId9"/>
    <sheet name="Annual Statement" sheetId="23" r:id="rId10"/>
    <sheet name="Discount Cash Flow" sheetId="24" r:id="rId1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41" i="23" l="1"/>
  <c r="T240" i="23"/>
  <c r="T239" i="23"/>
  <c r="T238" i="23"/>
  <c r="T237" i="23"/>
  <c r="T236" i="23"/>
  <c r="T235" i="23"/>
  <c r="T234" i="23"/>
  <c r="T233" i="23"/>
  <c r="T232" i="23"/>
  <c r="S69" i="24" l="1"/>
  <c r="R69" i="24"/>
  <c r="Q69" i="24"/>
  <c r="G69" i="24" a="1"/>
  <c r="G69" i="24" s="1"/>
  <c r="S68" i="24"/>
  <c r="R68" i="24"/>
  <c r="Q68" i="24"/>
  <c r="G68" i="24" a="1"/>
  <c r="G68" i="24" s="1"/>
  <c r="T351" i="23"/>
  <c r="T347" i="23"/>
  <c r="T348" i="23"/>
  <c r="T349" i="23"/>
  <c r="T350" i="23"/>
  <c r="P347" i="23"/>
  <c r="P348" i="23"/>
  <c r="P349" i="23"/>
  <c r="P350" i="23"/>
  <c r="P351" i="23"/>
  <c r="K349" i="23"/>
  <c r="J347" i="23"/>
  <c r="L347" i="23" s="1"/>
  <c r="J348" i="23"/>
  <c r="K348" i="23" s="1"/>
  <c r="J349" i="23"/>
  <c r="J350" i="23"/>
  <c r="K350" i="23" s="1"/>
  <c r="J351" i="23"/>
  <c r="L351" i="23" s="1"/>
  <c r="G347" i="23"/>
  <c r="G348" i="23"/>
  <c r="G349" i="23"/>
  <c r="G350" i="23"/>
  <c r="G351" i="23"/>
  <c r="E347" i="23"/>
  <c r="E348" i="23"/>
  <c r="E349" i="23"/>
  <c r="E350" i="23"/>
  <c r="E351" i="23"/>
  <c r="T342" i="23"/>
  <c r="T343" i="23"/>
  <c r="T344" i="23"/>
  <c r="T345" i="23"/>
  <c r="T346" i="23"/>
  <c r="P342" i="23"/>
  <c r="P343" i="23"/>
  <c r="P344" i="23"/>
  <c r="P345" i="23"/>
  <c r="P346" i="23"/>
  <c r="L346" i="23"/>
  <c r="L342" i="23"/>
  <c r="K345" i="23"/>
  <c r="J342" i="23"/>
  <c r="K342" i="23" s="1"/>
  <c r="J343" i="23"/>
  <c r="L343" i="23" s="1"/>
  <c r="J344" i="23"/>
  <c r="L344" i="23" s="1"/>
  <c r="J345" i="23"/>
  <c r="L345" i="23" s="1"/>
  <c r="J346" i="23"/>
  <c r="K346" i="23" s="1"/>
  <c r="G342" i="23"/>
  <c r="G343" i="23"/>
  <c r="G344" i="23"/>
  <c r="G345" i="23"/>
  <c r="G346" i="23"/>
  <c r="E342" i="23"/>
  <c r="E343" i="23"/>
  <c r="E344" i="23"/>
  <c r="E345" i="23"/>
  <c r="E346" i="23"/>
  <c r="L348" i="23" l="1"/>
  <c r="K344" i="23"/>
  <c r="L349" i="23"/>
  <c r="K343" i="23"/>
  <c r="K351" i="23"/>
  <c r="K347" i="23"/>
  <c r="L350" i="23"/>
  <c r="R67" i="24"/>
  <c r="R66" i="24"/>
  <c r="R65" i="24"/>
  <c r="R64" i="24"/>
  <c r="R63" i="24"/>
  <c r="R62" i="24"/>
  <c r="R61" i="24"/>
  <c r="R60" i="24"/>
  <c r="R59" i="24"/>
  <c r="R58" i="24"/>
  <c r="R57" i="24"/>
  <c r="R55" i="24"/>
  <c r="R54" i="24"/>
  <c r="R53" i="24"/>
  <c r="R52" i="24"/>
  <c r="R51" i="24"/>
  <c r="R50" i="24"/>
  <c r="R49" i="24"/>
  <c r="R47" i="24"/>
  <c r="R46" i="24"/>
  <c r="R45" i="24"/>
  <c r="R44" i="24"/>
  <c r="R43" i="24"/>
  <c r="R42" i="24"/>
  <c r="R40" i="24"/>
  <c r="R37" i="24"/>
  <c r="R36" i="24"/>
  <c r="R34" i="24"/>
  <c r="R33" i="24"/>
  <c r="R32" i="24"/>
  <c r="R31" i="24"/>
  <c r="R29" i="24"/>
  <c r="R28" i="24"/>
  <c r="R27" i="24"/>
  <c r="R26" i="24"/>
  <c r="R24" i="24"/>
  <c r="R23" i="24"/>
  <c r="R22" i="24"/>
  <c r="R20" i="24"/>
  <c r="R19" i="24"/>
  <c r="R16" i="24"/>
  <c r="R15" i="24"/>
  <c r="R14" i="24"/>
  <c r="R13" i="24"/>
  <c r="R11" i="24"/>
  <c r="R10" i="24"/>
  <c r="R9" i="24"/>
  <c r="R8" i="24"/>
  <c r="R7" i="24"/>
  <c r="R6" i="24"/>
  <c r="R5" i="24"/>
  <c r="R3" i="24"/>
  <c r="R2" i="24"/>
  <c r="C1" i="24"/>
  <c r="D1" i="24" s="1"/>
  <c r="E1" i="24" s="1"/>
  <c r="F1" i="24" s="1"/>
  <c r="G1" i="24" s="1"/>
  <c r="T341" i="23"/>
  <c r="P341" i="23"/>
  <c r="K341" i="23"/>
  <c r="J341" i="23"/>
  <c r="L341" i="23" s="1"/>
  <c r="G341" i="23"/>
  <c r="E341" i="23"/>
  <c r="T340" i="23"/>
  <c r="P340" i="23"/>
  <c r="J340" i="23"/>
  <c r="K340" i="23" s="1"/>
  <c r="G340" i="23"/>
  <c r="E340" i="23"/>
  <c r="T339" i="23"/>
  <c r="P339" i="23"/>
  <c r="J339" i="23"/>
  <c r="G339" i="23"/>
  <c r="E339" i="23"/>
  <c r="T338" i="23"/>
  <c r="P338" i="23"/>
  <c r="J338" i="23"/>
  <c r="K338" i="23" s="1"/>
  <c r="G338" i="23"/>
  <c r="E338" i="23"/>
  <c r="T337" i="23"/>
  <c r="P337" i="23"/>
  <c r="J337" i="23"/>
  <c r="L338" i="23" s="1"/>
  <c r="G337" i="23"/>
  <c r="E337" i="23"/>
  <c r="T336" i="23"/>
  <c r="P336" i="23"/>
  <c r="J336" i="23"/>
  <c r="K336" i="23" s="1"/>
  <c r="G336" i="23"/>
  <c r="E336" i="23"/>
  <c r="T335" i="23"/>
  <c r="P335" i="23"/>
  <c r="J335" i="23"/>
  <c r="G335" i="23"/>
  <c r="E335" i="23"/>
  <c r="T334" i="23"/>
  <c r="P334" i="23"/>
  <c r="J334" i="23"/>
  <c r="K334" i="23" s="1"/>
  <c r="G334" i="23"/>
  <c r="E334" i="23"/>
  <c r="T333" i="23"/>
  <c r="P333" i="23"/>
  <c r="K333" i="23"/>
  <c r="J333" i="23"/>
  <c r="G333" i="23"/>
  <c r="E333" i="23"/>
  <c r="T332" i="23"/>
  <c r="P332" i="23"/>
  <c r="J332" i="23"/>
  <c r="L333" i="23" s="1"/>
  <c r="G332" i="23"/>
  <c r="E332" i="23"/>
  <c r="T331" i="23"/>
  <c r="P331" i="23"/>
  <c r="J331" i="23"/>
  <c r="G331" i="23"/>
  <c r="E331" i="23"/>
  <c r="T330" i="23"/>
  <c r="P330" i="23"/>
  <c r="L330" i="23"/>
  <c r="J330" i="23"/>
  <c r="K330" i="23" s="1"/>
  <c r="G330" i="23"/>
  <c r="E330" i="23"/>
  <c r="T329" i="23"/>
  <c r="P329" i="23"/>
  <c r="J329" i="23"/>
  <c r="K329" i="23" s="1"/>
  <c r="G329" i="23"/>
  <c r="E329" i="23"/>
  <c r="T328" i="23"/>
  <c r="P328" i="23"/>
  <c r="J328" i="23"/>
  <c r="K328" i="23" s="1"/>
  <c r="G328" i="23"/>
  <c r="E328" i="23"/>
  <c r="T327" i="23"/>
  <c r="P327" i="23"/>
  <c r="J327" i="23"/>
  <c r="L327" i="23" s="1"/>
  <c r="G327" i="23"/>
  <c r="E327" i="23"/>
  <c r="T326" i="23"/>
  <c r="P326" i="23"/>
  <c r="J326" i="23"/>
  <c r="L326" i="23" s="1"/>
  <c r="G326" i="23"/>
  <c r="E326" i="23"/>
  <c r="T325" i="23"/>
  <c r="P325" i="23"/>
  <c r="J325" i="23"/>
  <c r="G325" i="23"/>
  <c r="E325" i="23"/>
  <c r="T324" i="23"/>
  <c r="P324" i="23"/>
  <c r="J324" i="23"/>
  <c r="G324" i="23"/>
  <c r="E324" i="23"/>
  <c r="T323" i="23"/>
  <c r="P323" i="23"/>
  <c r="J323" i="23"/>
  <c r="K323" i="23" s="1"/>
  <c r="G323" i="23"/>
  <c r="E323" i="23"/>
  <c r="T322" i="23"/>
  <c r="P322" i="23"/>
  <c r="L322" i="23"/>
  <c r="J322" i="23"/>
  <c r="K322" i="23" s="1"/>
  <c r="G322" i="23"/>
  <c r="E322" i="23"/>
  <c r="T321" i="23"/>
  <c r="P321" i="23"/>
  <c r="J321" i="23"/>
  <c r="K321" i="23" s="1"/>
  <c r="G321" i="23"/>
  <c r="E321" i="23"/>
  <c r="T320" i="23"/>
  <c r="P320" i="23"/>
  <c r="J320" i="23"/>
  <c r="G320" i="23"/>
  <c r="E320" i="23"/>
  <c r="T319" i="23"/>
  <c r="P319" i="23"/>
  <c r="J319" i="23"/>
  <c r="K319" i="23" s="1"/>
  <c r="G319" i="23"/>
  <c r="E319" i="23"/>
  <c r="T318" i="23"/>
  <c r="P318" i="23"/>
  <c r="J318" i="23"/>
  <c r="K318" i="23" s="1"/>
  <c r="G318" i="23"/>
  <c r="E318" i="23"/>
  <c r="T317" i="23"/>
  <c r="P317" i="23"/>
  <c r="J317" i="23"/>
  <c r="G317" i="23"/>
  <c r="E317" i="23"/>
  <c r="T316" i="23"/>
  <c r="P316" i="23"/>
  <c r="J316" i="23"/>
  <c r="G316" i="23"/>
  <c r="E316" i="23"/>
  <c r="T315" i="23"/>
  <c r="P315" i="23"/>
  <c r="J315" i="23"/>
  <c r="K315" i="23" s="1"/>
  <c r="G315" i="23"/>
  <c r="E315" i="23"/>
  <c r="T314" i="23"/>
  <c r="P314" i="23"/>
  <c r="K314" i="23"/>
  <c r="J314" i="23"/>
  <c r="G314" i="23"/>
  <c r="E314" i="23"/>
  <c r="T313" i="23"/>
  <c r="P313" i="23"/>
  <c r="J313" i="23"/>
  <c r="K313" i="23" s="1"/>
  <c r="G313" i="23"/>
  <c r="E313" i="23"/>
  <c r="T312" i="23"/>
  <c r="P312" i="23"/>
  <c r="J312" i="23"/>
  <c r="L312" i="23" s="1"/>
  <c r="G312" i="23"/>
  <c r="E312" i="23"/>
  <c r="T311" i="23"/>
  <c r="P311" i="23"/>
  <c r="J311" i="23"/>
  <c r="K311" i="23" s="1"/>
  <c r="G311" i="23"/>
  <c r="E311" i="23"/>
  <c r="T310" i="23"/>
  <c r="P310" i="23"/>
  <c r="K310" i="23"/>
  <c r="J310" i="23"/>
  <c r="L310" i="23" s="1"/>
  <c r="G310" i="23"/>
  <c r="E310" i="23"/>
  <c r="T309" i="23"/>
  <c r="P309" i="23"/>
  <c r="J309" i="23"/>
  <c r="G309" i="23"/>
  <c r="E309" i="23"/>
  <c r="T308" i="23"/>
  <c r="P308" i="23"/>
  <c r="J308" i="23"/>
  <c r="G308" i="23"/>
  <c r="E308" i="23"/>
  <c r="T307" i="23"/>
  <c r="P307" i="23"/>
  <c r="L307" i="23"/>
  <c r="J307" i="23"/>
  <c r="K307" i="23" s="1"/>
  <c r="G307" i="23"/>
  <c r="E307" i="23"/>
  <c r="T306" i="23"/>
  <c r="P306" i="23"/>
  <c r="J306" i="23"/>
  <c r="L306" i="23" s="1"/>
  <c r="G306" i="23"/>
  <c r="E306" i="23"/>
  <c r="T305" i="23"/>
  <c r="P305" i="23"/>
  <c r="J305" i="23"/>
  <c r="L305" i="23" s="1"/>
  <c r="G305" i="23"/>
  <c r="E305" i="23"/>
  <c r="T304" i="23"/>
  <c r="P304" i="23"/>
  <c r="J304" i="23"/>
  <c r="G304" i="23"/>
  <c r="E304" i="23"/>
  <c r="T303" i="23"/>
  <c r="P303" i="23"/>
  <c r="J303" i="23"/>
  <c r="K303" i="23" s="1"/>
  <c r="G303" i="23"/>
  <c r="E303" i="23"/>
  <c r="T302" i="23"/>
  <c r="P302" i="23"/>
  <c r="L302" i="23"/>
  <c r="J302" i="23"/>
  <c r="K302" i="23" s="1"/>
  <c r="G302" i="23"/>
  <c r="E302" i="23"/>
  <c r="T301" i="23"/>
  <c r="P301" i="23"/>
  <c r="K301" i="23"/>
  <c r="J301" i="23"/>
  <c r="G301" i="23"/>
  <c r="E301" i="23"/>
  <c r="T300" i="23"/>
  <c r="P300" i="23"/>
  <c r="J300" i="23"/>
  <c r="G300" i="23"/>
  <c r="E300" i="23"/>
  <c r="T299" i="23"/>
  <c r="P299" i="23"/>
  <c r="J299" i="23"/>
  <c r="K299" i="23" s="1"/>
  <c r="G299" i="23"/>
  <c r="E299" i="23"/>
  <c r="T298" i="23"/>
  <c r="P298" i="23"/>
  <c r="K298" i="23"/>
  <c r="J298" i="23"/>
  <c r="G298" i="23"/>
  <c r="E298" i="23"/>
  <c r="T297" i="23"/>
  <c r="P297" i="23"/>
  <c r="J297" i="23"/>
  <c r="L299" i="23" s="1"/>
  <c r="G297" i="23"/>
  <c r="E297" i="23"/>
  <c r="T296" i="23"/>
  <c r="P296" i="23"/>
  <c r="J296" i="23"/>
  <c r="L296" i="23" s="1"/>
  <c r="G296" i="23"/>
  <c r="E296" i="23"/>
  <c r="T295" i="23"/>
  <c r="P295" i="23"/>
  <c r="J295" i="23"/>
  <c r="K295" i="23" s="1"/>
  <c r="G295" i="23"/>
  <c r="E295" i="23"/>
  <c r="T294" i="23"/>
  <c r="P294" i="23"/>
  <c r="J294" i="23"/>
  <c r="K294" i="23" s="1"/>
  <c r="G294" i="23"/>
  <c r="E294" i="23"/>
  <c r="T293" i="23"/>
  <c r="P293" i="23"/>
  <c r="K293" i="23"/>
  <c r="J293" i="23"/>
  <c r="G293" i="23"/>
  <c r="E293" i="23"/>
  <c r="T292" i="23"/>
  <c r="P292" i="23"/>
  <c r="J292" i="23"/>
  <c r="L295" i="23" s="1"/>
  <c r="G292" i="23"/>
  <c r="E292" i="23"/>
  <c r="T291" i="23"/>
  <c r="P291" i="23"/>
  <c r="J291" i="23"/>
  <c r="K291" i="23" s="1"/>
  <c r="G291" i="23"/>
  <c r="E291" i="23"/>
  <c r="T290" i="23"/>
  <c r="P290" i="23"/>
  <c r="J290" i="23"/>
  <c r="L290" i="23" s="1"/>
  <c r="G290" i="23"/>
  <c r="E290" i="23"/>
  <c r="T289" i="23"/>
  <c r="P289" i="23"/>
  <c r="K289" i="23"/>
  <c r="J289" i="23"/>
  <c r="G289" i="23"/>
  <c r="E289" i="23"/>
  <c r="T288" i="23"/>
  <c r="P288" i="23"/>
  <c r="J288" i="23"/>
  <c r="G288" i="23"/>
  <c r="E288" i="23"/>
  <c r="T287" i="23"/>
  <c r="P287" i="23"/>
  <c r="J287" i="23"/>
  <c r="K287" i="23" s="1"/>
  <c r="G287" i="23"/>
  <c r="E287" i="23"/>
  <c r="T286" i="23"/>
  <c r="P286" i="23"/>
  <c r="J286" i="23"/>
  <c r="L286" i="23" s="1"/>
  <c r="G286" i="23"/>
  <c r="E286" i="23"/>
  <c r="T285" i="23"/>
  <c r="P285" i="23"/>
  <c r="K285" i="23"/>
  <c r="J285" i="23"/>
  <c r="G285" i="23"/>
  <c r="E285" i="23"/>
  <c r="T284" i="23"/>
  <c r="P284" i="23"/>
  <c r="J284" i="23"/>
  <c r="G284" i="23"/>
  <c r="E284" i="23"/>
  <c r="T283" i="23"/>
  <c r="P283" i="23"/>
  <c r="J283" i="23"/>
  <c r="K283" i="23" s="1"/>
  <c r="G283" i="23"/>
  <c r="E283" i="23"/>
  <c r="T282" i="23"/>
  <c r="P282" i="23"/>
  <c r="J282" i="23"/>
  <c r="L282" i="23" s="1"/>
  <c r="G282" i="23"/>
  <c r="E282" i="23"/>
  <c r="T281" i="23"/>
  <c r="P281" i="23"/>
  <c r="K281" i="23"/>
  <c r="J281" i="23"/>
  <c r="G281" i="23"/>
  <c r="E281" i="23"/>
  <c r="T280" i="23"/>
  <c r="P280" i="23"/>
  <c r="J280" i="23"/>
  <c r="G280" i="23"/>
  <c r="E280" i="23"/>
  <c r="T279" i="23"/>
  <c r="P279" i="23"/>
  <c r="J279" i="23"/>
  <c r="K279" i="23" s="1"/>
  <c r="G279" i="23"/>
  <c r="E279" i="23"/>
  <c r="T278" i="23"/>
  <c r="P278" i="23"/>
  <c r="J278" i="23"/>
  <c r="K278" i="23" s="1"/>
  <c r="G278" i="23"/>
  <c r="E278" i="23"/>
  <c r="T277" i="23"/>
  <c r="P277" i="23"/>
  <c r="J277" i="23"/>
  <c r="L279" i="23" s="1"/>
  <c r="G277" i="23"/>
  <c r="E277" i="23"/>
  <c r="T276" i="23"/>
  <c r="P276" i="23"/>
  <c r="J276" i="23"/>
  <c r="G276" i="23"/>
  <c r="E276" i="23"/>
  <c r="T275" i="23"/>
  <c r="P275" i="23"/>
  <c r="J275" i="23"/>
  <c r="K275" i="23" s="1"/>
  <c r="G275" i="23"/>
  <c r="E275" i="23"/>
  <c r="T274" i="23"/>
  <c r="P274" i="23"/>
  <c r="J274" i="23"/>
  <c r="K274" i="23" s="1"/>
  <c r="G274" i="23"/>
  <c r="E274" i="23"/>
  <c r="T273" i="23"/>
  <c r="P273" i="23"/>
  <c r="J273" i="23"/>
  <c r="G273" i="23"/>
  <c r="E273" i="23"/>
  <c r="T272" i="23"/>
  <c r="P272" i="23"/>
  <c r="J272" i="23"/>
  <c r="L275" i="23" s="1"/>
  <c r="G272" i="23"/>
  <c r="E272" i="23"/>
  <c r="T271" i="23"/>
  <c r="P271" i="23"/>
  <c r="J271" i="23"/>
  <c r="K271" i="23" s="1"/>
  <c r="G271" i="23"/>
  <c r="E271" i="23"/>
  <c r="T270" i="23"/>
  <c r="P270" i="23"/>
  <c r="J270" i="23"/>
  <c r="K270" i="23" s="1"/>
  <c r="G270" i="23"/>
  <c r="E270" i="23"/>
  <c r="T269" i="23"/>
  <c r="P269" i="23"/>
  <c r="J269" i="23"/>
  <c r="G269" i="23"/>
  <c r="E269" i="23"/>
  <c r="T268" i="23"/>
  <c r="P268" i="23"/>
  <c r="J268" i="23"/>
  <c r="L268" i="23" s="1"/>
  <c r="G268" i="23"/>
  <c r="E268" i="23"/>
  <c r="T267" i="23"/>
  <c r="P267" i="23"/>
  <c r="L267" i="23"/>
  <c r="J267" i="23"/>
  <c r="K267" i="23" s="1"/>
  <c r="G267" i="23"/>
  <c r="E267" i="23"/>
  <c r="T266" i="23"/>
  <c r="P266" i="23"/>
  <c r="J266" i="23"/>
  <c r="K266" i="23" s="1"/>
  <c r="G266" i="23"/>
  <c r="E266" i="23"/>
  <c r="T265" i="23"/>
  <c r="P265" i="23"/>
  <c r="J265" i="23"/>
  <c r="G265" i="23"/>
  <c r="E265" i="23"/>
  <c r="T264" i="23"/>
  <c r="P264" i="23"/>
  <c r="J264" i="23"/>
  <c r="G264" i="23"/>
  <c r="E264" i="23"/>
  <c r="T263" i="23"/>
  <c r="P263" i="23"/>
  <c r="J263" i="23"/>
  <c r="K263" i="23" s="1"/>
  <c r="G263" i="23"/>
  <c r="E263" i="23"/>
  <c r="T262" i="23"/>
  <c r="P262" i="23"/>
  <c r="J262" i="23"/>
  <c r="K262" i="23" s="1"/>
  <c r="G262" i="23"/>
  <c r="E262" i="23"/>
  <c r="T261" i="23"/>
  <c r="P261" i="23"/>
  <c r="J261" i="23"/>
  <c r="G261" i="23"/>
  <c r="E261" i="23"/>
  <c r="T260" i="23"/>
  <c r="P260" i="23"/>
  <c r="J260" i="23"/>
  <c r="G260" i="23"/>
  <c r="E260" i="23"/>
  <c r="T259" i="23"/>
  <c r="P259" i="23"/>
  <c r="J259" i="23"/>
  <c r="K259" i="23" s="1"/>
  <c r="G259" i="23"/>
  <c r="E259" i="23"/>
  <c r="T258" i="23"/>
  <c r="P258" i="23"/>
  <c r="J258" i="23"/>
  <c r="L258" i="23" s="1"/>
  <c r="G258" i="23"/>
  <c r="E258" i="23"/>
  <c r="T257" i="23"/>
  <c r="P257" i="23"/>
  <c r="K257" i="23"/>
  <c r="J257" i="23"/>
  <c r="L259" i="23" s="1"/>
  <c r="G257" i="23"/>
  <c r="E257" i="23"/>
  <c r="T256" i="23"/>
  <c r="P256" i="23"/>
  <c r="J256" i="23"/>
  <c r="G256" i="23"/>
  <c r="E256" i="23"/>
  <c r="T255" i="23"/>
  <c r="P255" i="23"/>
  <c r="J255" i="23"/>
  <c r="K255" i="23" s="1"/>
  <c r="G255" i="23"/>
  <c r="E255" i="23"/>
  <c r="T254" i="23"/>
  <c r="P254" i="23"/>
  <c r="J254" i="23"/>
  <c r="K254" i="23" s="1"/>
  <c r="G254" i="23"/>
  <c r="E254" i="23"/>
  <c r="T253" i="23"/>
  <c r="P253" i="23"/>
  <c r="J253" i="23"/>
  <c r="K253" i="23" s="1"/>
  <c r="G253" i="23"/>
  <c r="E253" i="23"/>
  <c r="T252" i="23"/>
  <c r="P252" i="23"/>
  <c r="J252" i="23"/>
  <c r="L255" i="23" s="1"/>
  <c r="G252" i="23"/>
  <c r="E252" i="23"/>
  <c r="T251" i="23"/>
  <c r="P251" i="23"/>
  <c r="J251" i="23"/>
  <c r="K251" i="23" s="1"/>
  <c r="G251" i="23"/>
  <c r="E251" i="23"/>
  <c r="T250" i="23"/>
  <c r="P250" i="23"/>
  <c r="K250" i="23"/>
  <c r="J250" i="23"/>
  <c r="G250" i="23"/>
  <c r="E250" i="23"/>
  <c r="T249" i="23"/>
  <c r="P249" i="23"/>
  <c r="J249" i="23"/>
  <c r="K249" i="23" s="1"/>
  <c r="G249" i="23"/>
  <c r="E249" i="23"/>
  <c r="T248" i="23"/>
  <c r="P248" i="23"/>
  <c r="J248" i="23"/>
  <c r="L248" i="23" s="1"/>
  <c r="G248" i="23"/>
  <c r="E248" i="23"/>
  <c r="T247" i="23"/>
  <c r="P247" i="23"/>
  <c r="J247" i="23"/>
  <c r="K247" i="23" s="1"/>
  <c r="G247" i="23"/>
  <c r="E247" i="23"/>
  <c r="T246" i="23"/>
  <c r="P246" i="23"/>
  <c r="K246" i="23"/>
  <c r="J246" i="23"/>
  <c r="G246" i="23"/>
  <c r="E246" i="23"/>
  <c r="T245" i="23"/>
  <c r="P245" i="23"/>
  <c r="J245" i="23"/>
  <c r="K245" i="23" s="1"/>
  <c r="G245" i="23"/>
  <c r="E245" i="23"/>
  <c r="T244" i="23"/>
  <c r="P244" i="23"/>
  <c r="J244" i="23"/>
  <c r="G244" i="23"/>
  <c r="E244" i="23"/>
  <c r="T243" i="23"/>
  <c r="P243" i="23"/>
  <c r="J243" i="23"/>
  <c r="K243" i="23" s="1"/>
  <c r="G243" i="23"/>
  <c r="E243" i="23"/>
  <c r="T242" i="23"/>
  <c r="P242" i="23"/>
  <c r="L242" i="23"/>
  <c r="K242" i="23"/>
  <c r="J242" i="23"/>
  <c r="L246" i="23" s="1"/>
  <c r="G242" i="23"/>
  <c r="E242" i="23"/>
  <c r="P241" i="23"/>
  <c r="J241" i="23"/>
  <c r="K241" i="23" s="1"/>
  <c r="G241" i="23"/>
  <c r="E241" i="23"/>
  <c r="P240" i="23"/>
  <c r="J240" i="23"/>
  <c r="G240" i="23"/>
  <c r="E240" i="23"/>
  <c r="P239" i="23"/>
  <c r="J239" i="23"/>
  <c r="K239" i="23" s="1"/>
  <c r="G239" i="23"/>
  <c r="E239" i="23"/>
  <c r="P238" i="23"/>
  <c r="J238" i="23"/>
  <c r="K238" i="23" s="1"/>
  <c r="G238" i="23"/>
  <c r="E238" i="23"/>
  <c r="P237" i="23"/>
  <c r="J237" i="23"/>
  <c r="L239" i="23" s="1"/>
  <c r="G237" i="23"/>
  <c r="E237" i="23"/>
  <c r="P236" i="23"/>
  <c r="J236" i="23"/>
  <c r="G236" i="23"/>
  <c r="E236" i="23"/>
  <c r="P235" i="23"/>
  <c r="J235" i="23"/>
  <c r="K235" i="23" s="1"/>
  <c r="G235" i="23"/>
  <c r="E235" i="23"/>
  <c r="P234" i="23"/>
  <c r="J234" i="23"/>
  <c r="K234" i="23" s="1"/>
  <c r="G234" i="23"/>
  <c r="E234" i="23"/>
  <c r="P233" i="23"/>
  <c r="J233" i="23"/>
  <c r="L233" i="23" s="1"/>
  <c r="G233" i="23"/>
  <c r="E233" i="23"/>
  <c r="P232" i="23"/>
  <c r="J232" i="23"/>
  <c r="G232" i="23"/>
  <c r="E232" i="23"/>
  <c r="T231" i="23"/>
  <c r="P231" i="23"/>
  <c r="J231" i="23"/>
  <c r="K231" i="23" s="1"/>
  <c r="G231" i="23"/>
  <c r="E231" i="23"/>
  <c r="T230" i="23"/>
  <c r="P230" i="23"/>
  <c r="J230" i="23"/>
  <c r="K230" i="23" s="1"/>
  <c r="G230" i="23"/>
  <c r="E230" i="23"/>
  <c r="T229" i="23"/>
  <c r="P229" i="23"/>
  <c r="J229" i="23"/>
  <c r="G229" i="23"/>
  <c r="E229" i="23"/>
  <c r="T228" i="23"/>
  <c r="P228" i="23"/>
  <c r="J228" i="23"/>
  <c r="G228" i="23"/>
  <c r="E228" i="23"/>
  <c r="T227" i="23"/>
  <c r="P227" i="23"/>
  <c r="J227" i="23"/>
  <c r="K227" i="23" s="1"/>
  <c r="G227" i="23"/>
  <c r="E227" i="23"/>
  <c r="T226" i="23"/>
  <c r="P226" i="23"/>
  <c r="K226" i="23"/>
  <c r="J226" i="23"/>
  <c r="G226" i="23"/>
  <c r="E226" i="23"/>
  <c r="T225" i="23"/>
  <c r="P225" i="23"/>
  <c r="J225" i="23"/>
  <c r="G225" i="23"/>
  <c r="E225" i="23"/>
  <c r="T224" i="23"/>
  <c r="P224" i="23"/>
  <c r="J224" i="23"/>
  <c r="G224" i="23"/>
  <c r="E224" i="23"/>
  <c r="T223" i="23"/>
  <c r="P223" i="23"/>
  <c r="J223" i="23"/>
  <c r="K223" i="23" s="1"/>
  <c r="G223" i="23"/>
  <c r="E223" i="23"/>
  <c r="T222" i="23"/>
  <c r="P222" i="23"/>
  <c r="J222" i="23"/>
  <c r="L222" i="23" s="1"/>
  <c r="G222" i="23"/>
  <c r="E222" i="23"/>
  <c r="T221" i="23"/>
  <c r="P221" i="23"/>
  <c r="J221" i="23"/>
  <c r="G221" i="23"/>
  <c r="E221" i="23"/>
  <c r="T220" i="23"/>
  <c r="P220" i="23"/>
  <c r="J220" i="23"/>
  <c r="K220" i="23" s="1"/>
  <c r="G220" i="23"/>
  <c r="E220" i="23"/>
  <c r="T219" i="23"/>
  <c r="P219" i="23"/>
  <c r="J219" i="23"/>
  <c r="K219" i="23" s="1"/>
  <c r="G219" i="23"/>
  <c r="E219" i="23"/>
  <c r="T218" i="23"/>
  <c r="P218" i="23"/>
  <c r="J218" i="23"/>
  <c r="G218" i="23"/>
  <c r="E218" i="23"/>
  <c r="T217" i="23"/>
  <c r="P217" i="23"/>
  <c r="J217" i="23"/>
  <c r="L220" i="23" s="1"/>
  <c r="G217" i="23"/>
  <c r="E217" i="23"/>
  <c r="T216" i="23"/>
  <c r="P216" i="23"/>
  <c r="K216" i="23"/>
  <c r="J216" i="23"/>
  <c r="G216" i="23"/>
  <c r="E216" i="23"/>
  <c r="T215" i="23"/>
  <c r="P215" i="23"/>
  <c r="J215" i="23"/>
  <c r="K215" i="23" s="1"/>
  <c r="G215" i="23"/>
  <c r="E215" i="23"/>
  <c r="T214" i="23"/>
  <c r="P214" i="23"/>
  <c r="K214" i="23"/>
  <c r="J214" i="23"/>
  <c r="G214" i="23"/>
  <c r="E214" i="23"/>
  <c r="T213" i="23"/>
  <c r="P213" i="23"/>
  <c r="J213" i="23"/>
  <c r="G213" i="23"/>
  <c r="E213" i="23"/>
  <c r="T212" i="23"/>
  <c r="P212" i="23"/>
  <c r="J212" i="23"/>
  <c r="L212" i="23" s="1"/>
  <c r="G212" i="23"/>
  <c r="E212" i="23"/>
  <c r="T211" i="23"/>
  <c r="P211" i="23"/>
  <c r="J211" i="23"/>
  <c r="K211" i="23" s="1"/>
  <c r="G211" i="23"/>
  <c r="E211" i="23"/>
  <c r="T210" i="23"/>
  <c r="P210" i="23"/>
  <c r="J210" i="23"/>
  <c r="G210" i="23"/>
  <c r="E210" i="23"/>
  <c r="T209" i="23"/>
  <c r="P209" i="23"/>
  <c r="J209" i="23"/>
  <c r="G209" i="23"/>
  <c r="E209" i="23"/>
  <c r="T208" i="23"/>
  <c r="P208" i="23"/>
  <c r="J208" i="23"/>
  <c r="G208" i="23"/>
  <c r="E208" i="23"/>
  <c r="T207" i="23"/>
  <c r="P207" i="23"/>
  <c r="J207" i="23"/>
  <c r="K207" i="23" s="1"/>
  <c r="G207" i="23"/>
  <c r="E207" i="23"/>
  <c r="T206" i="23"/>
  <c r="P206" i="23"/>
  <c r="J206" i="23"/>
  <c r="L206" i="23" s="1"/>
  <c r="G206" i="23"/>
  <c r="E206" i="23"/>
  <c r="T205" i="23"/>
  <c r="P205" i="23"/>
  <c r="J205" i="23"/>
  <c r="L205" i="23" s="1"/>
  <c r="G205" i="23"/>
  <c r="E205" i="23"/>
  <c r="T204" i="23"/>
  <c r="P204" i="23"/>
  <c r="J204" i="23"/>
  <c r="G204" i="23"/>
  <c r="E204" i="23"/>
  <c r="T203" i="23"/>
  <c r="P203" i="23"/>
  <c r="J203" i="23"/>
  <c r="K203" i="23" s="1"/>
  <c r="G203" i="23"/>
  <c r="E203" i="23"/>
  <c r="T202" i="23"/>
  <c r="P202" i="23"/>
  <c r="L202" i="23"/>
  <c r="J202" i="23"/>
  <c r="K202" i="23" s="1"/>
  <c r="G202" i="23"/>
  <c r="E202" i="23"/>
  <c r="T201" i="23"/>
  <c r="P201" i="23"/>
  <c r="J201" i="23"/>
  <c r="G201" i="23"/>
  <c r="E201" i="23"/>
  <c r="T200" i="23"/>
  <c r="P200" i="23"/>
  <c r="J200" i="23"/>
  <c r="G200" i="23"/>
  <c r="E200" i="23"/>
  <c r="T199" i="23"/>
  <c r="P199" i="23"/>
  <c r="J199" i="23"/>
  <c r="K199" i="23" s="1"/>
  <c r="G199" i="23"/>
  <c r="E199" i="23"/>
  <c r="T198" i="23"/>
  <c r="P198" i="23"/>
  <c r="J198" i="23"/>
  <c r="K198" i="23" s="1"/>
  <c r="G198" i="23"/>
  <c r="E198" i="23"/>
  <c r="T197" i="23"/>
  <c r="P197" i="23"/>
  <c r="J197" i="23"/>
  <c r="L199" i="23" s="1"/>
  <c r="G197" i="23"/>
  <c r="E197" i="23"/>
  <c r="T196" i="23"/>
  <c r="P196" i="23"/>
  <c r="J196" i="23"/>
  <c r="G196" i="23"/>
  <c r="E196" i="23"/>
  <c r="T195" i="23"/>
  <c r="P195" i="23"/>
  <c r="J195" i="23"/>
  <c r="K195" i="23" s="1"/>
  <c r="G195" i="23"/>
  <c r="E195" i="23"/>
  <c r="T194" i="23"/>
  <c r="P194" i="23"/>
  <c r="J194" i="23"/>
  <c r="K194" i="23" s="1"/>
  <c r="G194" i="23"/>
  <c r="E194" i="23"/>
  <c r="T193" i="23"/>
  <c r="P193" i="23"/>
  <c r="J193" i="23"/>
  <c r="G193" i="23"/>
  <c r="E193" i="23"/>
  <c r="T192" i="23"/>
  <c r="P192" i="23"/>
  <c r="J192" i="23"/>
  <c r="L192" i="23" s="1"/>
  <c r="G192" i="23"/>
  <c r="E192" i="23"/>
  <c r="T191" i="23"/>
  <c r="P191" i="23"/>
  <c r="J191" i="23"/>
  <c r="K191" i="23" s="1"/>
  <c r="G191" i="23"/>
  <c r="E191" i="23"/>
  <c r="T190" i="23"/>
  <c r="P190" i="23"/>
  <c r="L190" i="23"/>
  <c r="K190" i="23"/>
  <c r="J190" i="23"/>
  <c r="G190" i="23"/>
  <c r="E190" i="23"/>
  <c r="T189" i="23"/>
  <c r="P189" i="23"/>
  <c r="J189" i="23"/>
  <c r="G189" i="23"/>
  <c r="E189" i="23"/>
  <c r="T188" i="23"/>
  <c r="P188" i="23"/>
  <c r="J188" i="23"/>
  <c r="L188" i="23" s="1"/>
  <c r="G188" i="23"/>
  <c r="E188" i="23"/>
  <c r="T187" i="23"/>
  <c r="P187" i="23"/>
  <c r="L187" i="23"/>
  <c r="J187" i="23"/>
  <c r="K187" i="23" s="1"/>
  <c r="G187" i="23"/>
  <c r="E187" i="23"/>
  <c r="T186" i="23"/>
  <c r="P186" i="23"/>
  <c r="K186" i="23"/>
  <c r="J186" i="23"/>
  <c r="G186" i="23"/>
  <c r="E186" i="23"/>
  <c r="T185" i="23"/>
  <c r="P185" i="23"/>
  <c r="J185" i="23"/>
  <c r="G185" i="23"/>
  <c r="E185" i="23"/>
  <c r="T184" i="23"/>
  <c r="P184" i="23"/>
  <c r="J184" i="23"/>
  <c r="L184" i="23" s="1"/>
  <c r="G184" i="23"/>
  <c r="E184" i="23"/>
  <c r="T183" i="23"/>
  <c r="P183" i="23"/>
  <c r="L183" i="23"/>
  <c r="J183" i="23"/>
  <c r="K183" i="23" s="1"/>
  <c r="G183" i="23"/>
  <c r="E183" i="23"/>
  <c r="T182" i="23"/>
  <c r="P182" i="23"/>
  <c r="L182" i="23"/>
  <c r="K182" i="23"/>
  <c r="J182" i="23"/>
  <c r="L186" i="23" s="1"/>
  <c r="G182" i="23"/>
  <c r="E182" i="23"/>
  <c r="T131" i="23"/>
  <c r="P131" i="23"/>
  <c r="J131" i="23"/>
  <c r="K131" i="23" s="1"/>
  <c r="G131" i="23"/>
  <c r="E131" i="23"/>
  <c r="T130" i="23"/>
  <c r="P130" i="23"/>
  <c r="J130" i="23"/>
  <c r="G130" i="23"/>
  <c r="E130" i="23"/>
  <c r="T129" i="23"/>
  <c r="P129" i="23"/>
  <c r="J129" i="23"/>
  <c r="G129" i="23"/>
  <c r="E129" i="23"/>
  <c r="T128" i="23"/>
  <c r="P128" i="23"/>
  <c r="J128" i="23"/>
  <c r="K128" i="23" s="1"/>
  <c r="G128" i="23"/>
  <c r="E128" i="23"/>
  <c r="T127" i="23"/>
  <c r="P127" i="23"/>
  <c r="J127" i="23"/>
  <c r="K127" i="23" s="1"/>
  <c r="G127" i="23"/>
  <c r="E127" i="23"/>
  <c r="T126" i="23"/>
  <c r="P126" i="23"/>
  <c r="J126" i="23"/>
  <c r="G126" i="23"/>
  <c r="E126" i="23"/>
  <c r="T125" i="23"/>
  <c r="P125" i="23"/>
  <c r="J125" i="23"/>
  <c r="G125" i="23"/>
  <c r="E125" i="23"/>
  <c r="T124" i="23"/>
  <c r="P124" i="23"/>
  <c r="J124" i="23"/>
  <c r="K124" i="23" s="1"/>
  <c r="G124" i="23"/>
  <c r="E124" i="23"/>
  <c r="T123" i="23"/>
  <c r="P123" i="23"/>
  <c r="J123" i="23"/>
  <c r="K123" i="23" s="1"/>
  <c r="G123" i="23"/>
  <c r="E123" i="23"/>
  <c r="T122" i="23"/>
  <c r="P122" i="23"/>
  <c r="J122" i="23"/>
  <c r="L122" i="23" s="1"/>
  <c r="G122" i="23"/>
  <c r="E122" i="23"/>
  <c r="T121" i="23"/>
  <c r="P121" i="23"/>
  <c r="J121" i="23"/>
  <c r="G121" i="23"/>
  <c r="E121" i="23"/>
  <c r="T120" i="23"/>
  <c r="P120" i="23"/>
  <c r="K120" i="23"/>
  <c r="J120" i="23"/>
  <c r="G120" i="23"/>
  <c r="E120" i="23"/>
  <c r="T119" i="23"/>
  <c r="P119" i="23"/>
  <c r="J119" i="23"/>
  <c r="G119" i="23"/>
  <c r="E119" i="23"/>
  <c r="T118" i="23"/>
  <c r="P118" i="23"/>
  <c r="J118" i="23"/>
  <c r="G118" i="23"/>
  <c r="E118" i="23"/>
  <c r="T117" i="23"/>
  <c r="P117" i="23"/>
  <c r="J117" i="23"/>
  <c r="L117" i="23" s="1"/>
  <c r="G117" i="23"/>
  <c r="E117" i="23"/>
  <c r="T116" i="23"/>
  <c r="P116" i="23"/>
  <c r="J116" i="23"/>
  <c r="K116" i="23" s="1"/>
  <c r="G116" i="23"/>
  <c r="E116" i="23"/>
  <c r="T115" i="23"/>
  <c r="P115" i="23"/>
  <c r="J115" i="23"/>
  <c r="L115" i="23" s="1"/>
  <c r="G115" i="23"/>
  <c r="E115" i="23"/>
  <c r="T114" i="23"/>
  <c r="P114" i="23"/>
  <c r="J114" i="23"/>
  <c r="L114" i="23" s="1"/>
  <c r="G114" i="23"/>
  <c r="E114" i="23"/>
  <c r="T113" i="23"/>
  <c r="P113" i="23"/>
  <c r="J113" i="23"/>
  <c r="L113" i="23" s="1"/>
  <c r="G113" i="23"/>
  <c r="E113" i="23"/>
  <c r="T112" i="23"/>
  <c r="P112" i="23"/>
  <c r="L112" i="23"/>
  <c r="K112" i="23"/>
  <c r="G112" i="23"/>
  <c r="E112" i="23"/>
  <c r="T181" i="23"/>
  <c r="P181" i="23"/>
  <c r="K181" i="23"/>
  <c r="J181" i="23"/>
  <c r="G181" i="23"/>
  <c r="E181" i="23"/>
  <c r="T180" i="23"/>
  <c r="P180" i="23"/>
  <c r="J180" i="23"/>
  <c r="G180" i="23"/>
  <c r="E180" i="23"/>
  <c r="T179" i="23"/>
  <c r="P179" i="23"/>
  <c r="J179" i="23"/>
  <c r="G179" i="23"/>
  <c r="E179" i="23"/>
  <c r="T178" i="23"/>
  <c r="P178" i="23"/>
  <c r="J178" i="23"/>
  <c r="K178" i="23" s="1"/>
  <c r="G178" i="23"/>
  <c r="E178" i="23"/>
  <c r="T177" i="23"/>
  <c r="P177" i="23"/>
  <c r="J177" i="23"/>
  <c r="L177" i="23" s="1"/>
  <c r="G177" i="23"/>
  <c r="E177" i="23"/>
  <c r="T176" i="23"/>
  <c r="P176" i="23"/>
  <c r="J176" i="23"/>
  <c r="G176" i="23"/>
  <c r="E176" i="23"/>
  <c r="T175" i="23"/>
  <c r="P175" i="23"/>
  <c r="J175" i="23"/>
  <c r="G175" i="23"/>
  <c r="E175" i="23"/>
  <c r="T174" i="23"/>
  <c r="P174" i="23"/>
  <c r="J174" i="23"/>
  <c r="K174" i="23" s="1"/>
  <c r="G174" i="23"/>
  <c r="E174" i="23"/>
  <c r="T173" i="23"/>
  <c r="P173" i="23"/>
  <c r="J173" i="23"/>
  <c r="K173" i="23" s="1"/>
  <c r="G173" i="23"/>
  <c r="E173" i="23"/>
  <c r="T172" i="23"/>
  <c r="P172" i="23"/>
  <c r="J172" i="23"/>
  <c r="L173" i="23" s="1"/>
  <c r="G172" i="23"/>
  <c r="E172" i="23"/>
  <c r="T171" i="23"/>
  <c r="P171" i="23"/>
  <c r="J171" i="23"/>
  <c r="G171" i="23"/>
  <c r="E171" i="23"/>
  <c r="T170" i="23"/>
  <c r="P170" i="23"/>
  <c r="J170" i="23"/>
  <c r="K170" i="23" s="1"/>
  <c r="G170" i="23"/>
  <c r="E170" i="23"/>
  <c r="T169" i="23"/>
  <c r="P169" i="23"/>
  <c r="J169" i="23"/>
  <c r="K169" i="23" s="1"/>
  <c r="G169" i="23"/>
  <c r="E169" i="23"/>
  <c r="T168" i="23"/>
  <c r="P168" i="23"/>
  <c r="J168" i="23"/>
  <c r="L168" i="23" s="1"/>
  <c r="G168" i="23"/>
  <c r="E168" i="23"/>
  <c r="T167" i="23"/>
  <c r="P167" i="23"/>
  <c r="J167" i="23"/>
  <c r="L167" i="23" s="1"/>
  <c r="G167" i="23"/>
  <c r="E167" i="23"/>
  <c r="T166" i="23"/>
  <c r="P166" i="23"/>
  <c r="J166" i="23"/>
  <c r="K166" i="23" s="1"/>
  <c r="G166" i="23"/>
  <c r="E166" i="23"/>
  <c r="T165" i="23"/>
  <c r="P165" i="23"/>
  <c r="J165" i="23"/>
  <c r="K165" i="23" s="1"/>
  <c r="G165" i="23"/>
  <c r="E165" i="23"/>
  <c r="T164" i="23"/>
  <c r="P164" i="23"/>
  <c r="J164" i="23"/>
  <c r="K164" i="23" s="1"/>
  <c r="G164" i="23"/>
  <c r="E164" i="23"/>
  <c r="T163" i="23"/>
  <c r="P163" i="23"/>
  <c r="J163" i="23"/>
  <c r="G163" i="23"/>
  <c r="E163" i="23"/>
  <c r="T162" i="23"/>
  <c r="P162" i="23"/>
  <c r="J162" i="23"/>
  <c r="K162" i="23" s="1"/>
  <c r="G162" i="23"/>
  <c r="E162" i="23"/>
  <c r="T161" i="23"/>
  <c r="P161" i="23"/>
  <c r="K161" i="23"/>
  <c r="J161" i="23"/>
  <c r="G161" i="23"/>
  <c r="E161" i="23"/>
  <c r="T160" i="23"/>
  <c r="P160" i="23"/>
  <c r="J160" i="23"/>
  <c r="G160" i="23"/>
  <c r="E160" i="23"/>
  <c r="T159" i="23"/>
  <c r="P159" i="23"/>
  <c r="J159" i="23"/>
  <c r="G159" i="23"/>
  <c r="E159" i="23"/>
  <c r="T158" i="23"/>
  <c r="P158" i="23"/>
  <c r="J158" i="23"/>
  <c r="K158" i="23" s="1"/>
  <c r="G158" i="23"/>
  <c r="E158" i="23"/>
  <c r="T157" i="23"/>
  <c r="P157" i="23"/>
  <c r="J157" i="23"/>
  <c r="G157" i="23"/>
  <c r="E157" i="23"/>
  <c r="T156" i="23"/>
  <c r="P156" i="23"/>
  <c r="J156" i="23"/>
  <c r="G156" i="23"/>
  <c r="E156" i="23"/>
  <c r="T155" i="23"/>
  <c r="P155" i="23"/>
  <c r="J155" i="23"/>
  <c r="G155" i="23"/>
  <c r="E155" i="23"/>
  <c r="T154" i="23"/>
  <c r="P154" i="23"/>
  <c r="J154" i="23"/>
  <c r="K154" i="23" s="1"/>
  <c r="G154" i="23"/>
  <c r="E154" i="23"/>
  <c r="T153" i="23"/>
  <c r="P153" i="23"/>
  <c r="J153" i="23"/>
  <c r="K153" i="23" s="1"/>
  <c r="G153" i="23"/>
  <c r="E153" i="23"/>
  <c r="T152" i="23"/>
  <c r="P152" i="23"/>
  <c r="J152" i="23"/>
  <c r="L152" i="23" s="1"/>
  <c r="G152" i="23"/>
  <c r="E152" i="23"/>
  <c r="T151" i="23"/>
  <c r="P151" i="23"/>
  <c r="J151" i="23"/>
  <c r="G151" i="23"/>
  <c r="E151" i="23"/>
  <c r="T150" i="23"/>
  <c r="P150" i="23"/>
  <c r="J150" i="23"/>
  <c r="K150" i="23" s="1"/>
  <c r="G150" i="23"/>
  <c r="E150" i="23"/>
  <c r="T149" i="23"/>
  <c r="P149" i="23"/>
  <c r="J149" i="23"/>
  <c r="K149" i="23" s="1"/>
  <c r="G149" i="23"/>
  <c r="E149" i="23"/>
  <c r="T148" i="23"/>
  <c r="P148" i="23"/>
  <c r="J148" i="23"/>
  <c r="L148" i="23" s="1"/>
  <c r="G148" i="23"/>
  <c r="E148" i="23"/>
  <c r="T147" i="23"/>
  <c r="P147" i="23"/>
  <c r="J147" i="23"/>
  <c r="L147" i="23" s="1"/>
  <c r="G147" i="23"/>
  <c r="E147" i="23"/>
  <c r="T146" i="23"/>
  <c r="P146" i="23"/>
  <c r="J146" i="23"/>
  <c r="K146" i="23" s="1"/>
  <c r="G146" i="23"/>
  <c r="E146" i="23"/>
  <c r="T145" i="23"/>
  <c r="P145" i="23"/>
  <c r="J145" i="23"/>
  <c r="K145" i="23" s="1"/>
  <c r="G145" i="23"/>
  <c r="E145" i="23"/>
  <c r="T144" i="23"/>
  <c r="P144" i="23"/>
  <c r="J144" i="23"/>
  <c r="K144" i="23" s="1"/>
  <c r="G144" i="23"/>
  <c r="E144" i="23"/>
  <c r="T143" i="23"/>
  <c r="P143" i="23"/>
  <c r="J143" i="23"/>
  <c r="G143" i="23"/>
  <c r="E143" i="23"/>
  <c r="T142" i="23"/>
  <c r="P142" i="23"/>
  <c r="J142" i="23"/>
  <c r="K142" i="23" s="1"/>
  <c r="G142" i="23"/>
  <c r="E142" i="23"/>
  <c r="T141" i="23"/>
  <c r="P141" i="23"/>
  <c r="J141" i="23"/>
  <c r="G141" i="23"/>
  <c r="E141" i="23"/>
  <c r="T140" i="23"/>
  <c r="P140" i="23"/>
  <c r="J140" i="23"/>
  <c r="G140" i="23"/>
  <c r="E140" i="23"/>
  <c r="T139" i="23"/>
  <c r="P139" i="23"/>
  <c r="J139" i="23"/>
  <c r="G139" i="23"/>
  <c r="E139" i="23"/>
  <c r="T138" i="23"/>
  <c r="P138" i="23"/>
  <c r="J138" i="23"/>
  <c r="K138" i="23" s="1"/>
  <c r="G138" i="23"/>
  <c r="E138" i="23"/>
  <c r="T137" i="23"/>
  <c r="P137" i="23"/>
  <c r="J137" i="23"/>
  <c r="L137" i="23" s="1"/>
  <c r="G137" i="23"/>
  <c r="E137" i="23"/>
  <c r="T136" i="23"/>
  <c r="P136" i="23"/>
  <c r="J136" i="23"/>
  <c r="K136" i="23" s="1"/>
  <c r="G136" i="23"/>
  <c r="E136" i="23"/>
  <c r="T135" i="23"/>
  <c r="P135" i="23"/>
  <c r="J135" i="23"/>
  <c r="G135" i="23"/>
  <c r="E135" i="23"/>
  <c r="T134" i="23"/>
  <c r="P134" i="23"/>
  <c r="J134" i="23"/>
  <c r="K134" i="23" s="1"/>
  <c r="G134" i="23"/>
  <c r="E134" i="23"/>
  <c r="T133" i="23"/>
  <c r="P133" i="23"/>
  <c r="J133" i="23"/>
  <c r="K133" i="23" s="1"/>
  <c r="G133" i="23"/>
  <c r="E133" i="23"/>
  <c r="T132" i="23"/>
  <c r="P132" i="23"/>
  <c r="J132" i="23"/>
  <c r="L134" i="23" s="1"/>
  <c r="G132" i="23"/>
  <c r="E132" i="23"/>
  <c r="T111" i="23"/>
  <c r="P111" i="23"/>
  <c r="J111" i="23"/>
  <c r="G111" i="23"/>
  <c r="E111" i="23"/>
  <c r="T110" i="23"/>
  <c r="P110" i="23"/>
  <c r="J110" i="23"/>
  <c r="G110" i="23"/>
  <c r="E110" i="23"/>
  <c r="T109" i="23"/>
  <c r="P109" i="23"/>
  <c r="J109" i="23"/>
  <c r="G109" i="23"/>
  <c r="E109" i="23"/>
  <c r="T108" i="23"/>
  <c r="P108" i="23"/>
  <c r="J108" i="23"/>
  <c r="K108" i="23" s="1"/>
  <c r="G108" i="23"/>
  <c r="E108" i="23"/>
  <c r="T107" i="23"/>
  <c r="P107" i="23"/>
  <c r="J107" i="23"/>
  <c r="L107" i="23" s="1"/>
  <c r="G107" i="23"/>
  <c r="E107" i="23"/>
  <c r="T106" i="23"/>
  <c r="P106" i="23"/>
  <c r="J106" i="23"/>
  <c r="G106" i="23"/>
  <c r="E106" i="23"/>
  <c r="T105" i="23"/>
  <c r="P105" i="23"/>
  <c r="J105" i="23"/>
  <c r="K105" i="23" s="1"/>
  <c r="G105" i="23"/>
  <c r="E105" i="23"/>
  <c r="T104" i="23"/>
  <c r="P104" i="23"/>
  <c r="J104" i="23"/>
  <c r="K104" i="23" s="1"/>
  <c r="G104" i="23"/>
  <c r="E104" i="23"/>
  <c r="T103" i="23"/>
  <c r="P103" i="23"/>
  <c r="J103" i="23"/>
  <c r="G103" i="23"/>
  <c r="E103" i="23"/>
  <c r="T102" i="23"/>
  <c r="P102" i="23"/>
  <c r="J102" i="23"/>
  <c r="L105" i="23" s="1"/>
  <c r="G102" i="23"/>
  <c r="E102" i="23"/>
  <c r="T101" i="23"/>
  <c r="P101" i="23"/>
  <c r="J101" i="23"/>
  <c r="G101" i="23"/>
  <c r="E101" i="23"/>
  <c r="T100" i="23"/>
  <c r="P100" i="23"/>
  <c r="J100" i="23"/>
  <c r="K100" i="23" s="1"/>
  <c r="G100" i="23"/>
  <c r="E100" i="23"/>
  <c r="T99" i="23"/>
  <c r="P99" i="23"/>
  <c r="J99" i="23"/>
  <c r="G99" i="23"/>
  <c r="E99" i="23"/>
  <c r="T98" i="23"/>
  <c r="P98" i="23"/>
  <c r="J98" i="23"/>
  <c r="G98" i="23"/>
  <c r="E98" i="23"/>
  <c r="T97" i="23"/>
  <c r="P97" i="23"/>
  <c r="J97" i="23"/>
  <c r="K97" i="23" s="1"/>
  <c r="G97" i="23"/>
  <c r="E97" i="23"/>
  <c r="T96" i="23"/>
  <c r="P96" i="23"/>
  <c r="J96" i="23"/>
  <c r="G96" i="23"/>
  <c r="E96" i="23"/>
  <c r="T95" i="23"/>
  <c r="P95" i="23"/>
  <c r="J95" i="23"/>
  <c r="K95" i="23" s="1"/>
  <c r="G95" i="23"/>
  <c r="E95" i="23"/>
  <c r="T94" i="23"/>
  <c r="P94" i="23"/>
  <c r="J94" i="23"/>
  <c r="G94" i="23"/>
  <c r="E94" i="23"/>
  <c r="T93" i="23"/>
  <c r="P93" i="23"/>
  <c r="K93" i="23"/>
  <c r="J93" i="23"/>
  <c r="G93" i="23"/>
  <c r="E93" i="23"/>
  <c r="T92" i="23"/>
  <c r="P92" i="23"/>
  <c r="J92" i="23"/>
  <c r="L92" i="23" s="1"/>
  <c r="G92" i="23"/>
  <c r="E92" i="23"/>
  <c r="T91" i="23"/>
  <c r="P91" i="23"/>
  <c r="J91" i="23"/>
  <c r="G91" i="23"/>
  <c r="E91" i="23"/>
  <c r="T90" i="23"/>
  <c r="P90" i="23"/>
  <c r="J90" i="23"/>
  <c r="G90" i="23"/>
  <c r="E90" i="23"/>
  <c r="T89" i="23"/>
  <c r="P89" i="23"/>
  <c r="J89" i="23"/>
  <c r="K89" i="23" s="1"/>
  <c r="G89" i="23"/>
  <c r="E89" i="23"/>
  <c r="T88" i="23"/>
  <c r="P88" i="23"/>
  <c r="J88" i="23"/>
  <c r="K88" i="23" s="1"/>
  <c r="G88" i="23"/>
  <c r="E88" i="23"/>
  <c r="T87" i="23"/>
  <c r="P87" i="23"/>
  <c r="J87" i="23"/>
  <c r="L89" i="23" s="1"/>
  <c r="G87" i="23"/>
  <c r="E87" i="23"/>
  <c r="T86" i="23"/>
  <c r="P86" i="23"/>
  <c r="J86" i="23"/>
  <c r="G86" i="23"/>
  <c r="E86" i="23"/>
  <c r="T85" i="23"/>
  <c r="P85" i="23"/>
  <c r="J85" i="23"/>
  <c r="K85" i="23" s="1"/>
  <c r="G85" i="23"/>
  <c r="E85" i="23"/>
  <c r="T84" i="23"/>
  <c r="P84" i="23"/>
  <c r="J84" i="23"/>
  <c r="K84" i="23" s="1"/>
  <c r="G84" i="23"/>
  <c r="E84" i="23"/>
  <c r="T83" i="23"/>
  <c r="P83" i="23"/>
  <c r="J83" i="23"/>
  <c r="K83" i="23" s="1"/>
  <c r="G83" i="23"/>
  <c r="E83" i="23"/>
  <c r="T82" i="23"/>
  <c r="P82" i="23"/>
  <c r="J82" i="23"/>
  <c r="L85" i="23" s="1"/>
  <c r="G82" i="23"/>
  <c r="E82" i="23"/>
  <c r="T81" i="23"/>
  <c r="P81" i="23"/>
  <c r="J81" i="23"/>
  <c r="L81" i="23" s="1"/>
  <c r="G81" i="23"/>
  <c r="E81" i="23"/>
  <c r="T80" i="23"/>
  <c r="P80" i="23"/>
  <c r="J80" i="23"/>
  <c r="G80" i="23"/>
  <c r="E80" i="23"/>
  <c r="T79" i="23"/>
  <c r="P79" i="23"/>
  <c r="J79" i="23"/>
  <c r="G79" i="23"/>
  <c r="E79" i="23"/>
  <c r="T78" i="23"/>
  <c r="P78" i="23"/>
  <c r="J78" i="23"/>
  <c r="G78" i="23"/>
  <c r="E78" i="23"/>
  <c r="T77" i="23"/>
  <c r="P77" i="23"/>
  <c r="J77" i="23"/>
  <c r="K77" i="23" s="1"/>
  <c r="G77" i="23"/>
  <c r="E77" i="23"/>
  <c r="T76" i="23"/>
  <c r="P76" i="23"/>
  <c r="J76" i="23"/>
  <c r="L76" i="23" s="1"/>
  <c r="G76" i="23"/>
  <c r="E76" i="23"/>
  <c r="T75" i="23"/>
  <c r="P75" i="23"/>
  <c r="J75" i="23"/>
  <c r="G75" i="23"/>
  <c r="E75" i="23"/>
  <c r="T74" i="23"/>
  <c r="P74" i="23"/>
  <c r="J74" i="23"/>
  <c r="G74" i="23"/>
  <c r="E74" i="23"/>
  <c r="T73" i="23"/>
  <c r="P73" i="23"/>
  <c r="J73" i="23"/>
  <c r="G73" i="23"/>
  <c r="E73" i="23"/>
  <c r="T72" i="23"/>
  <c r="P72" i="23"/>
  <c r="J72" i="23"/>
  <c r="K72" i="23" s="1"/>
  <c r="G72" i="23"/>
  <c r="E72" i="23"/>
  <c r="T71" i="23"/>
  <c r="P71" i="23"/>
  <c r="J71" i="23"/>
  <c r="G71" i="23"/>
  <c r="E71" i="23"/>
  <c r="T70" i="23"/>
  <c r="P70" i="23"/>
  <c r="J70" i="23"/>
  <c r="G70" i="23"/>
  <c r="E70" i="23"/>
  <c r="T69" i="23"/>
  <c r="P69" i="23"/>
  <c r="J69" i="23"/>
  <c r="K69" i="23" s="1"/>
  <c r="G69" i="23"/>
  <c r="E69" i="23"/>
  <c r="T68" i="23"/>
  <c r="P68" i="23"/>
  <c r="J68" i="23"/>
  <c r="K68" i="23" s="1"/>
  <c r="G68" i="23"/>
  <c r="E68" i="23"/>
  <c r="T67" i="23"/>
  <c r="P67" i="23"/>
  <c r="J67" i="23"/>
  <c r="G67" i="23"/>
  <c r="E67" i="23"/>
  <c r="T66" i="23"/>
  <c r="P66" i="23"/>
  <c r="J66" i="23"/>
  <c r="G66" i="23"/>
  <c r="E66" i="23"/>
  <c r="T65" i="23"/>
  <c r="P65" i="23"/>
  <c r="J65" i="23"/>
  <c r="K65" i="23" s="1"/>
  <c r="G65" i="23"/>
  <c r="E65" i="23"/>
  <c r="T64" i="23"/>
  <c r="P64" i="23"/>
  <c r="J64" i="23"/>
  <c r="K64" i="23" s="1"/>
  <c r="G64" i="23"/>
  <c r="E64" i="23"/>
  <c r="T63" i="23"/>
  <c r="P63" i="23"/>
  <c r="J63" i="23"/>
  <c r="G63" i="23"/>
  <c r="E63" i="23"/>
  <c r="T62" i="23"/>
  <c r="P62" i="23"/>
  <c r="J62" i="23"/>
  <c r="L62" i="23" s="1"/>
  <c r="G62" i="23"/>
  <c r="E62" i="23"/>
  <c r="T61" i="23"/>
  <c r="P61" i="23"/>
  <c r="J61" i="23"/>
  <c r="K61" i="23" s="1"/>
  <c r="G61" i="23"/>
  <c r="E61" i="23"/>
  <c r="T60" i="23"/>
  <c r="P60" i="23"/>
  <c r="J60" i="23"/>
  <c r="G60" i="23"/>
  <c r="E60" i="23"/>
  <c r="T59" i="23"/>
  <c r="P59" i="23"/>
  <c r="J59" i="23"/>
  <c r="G59" i="23"/>
  <c r="E59" i="23"/>
  <c r="T58" i="23"/>
  <c r="P58" i="23"/>
  <c r="J58" i="23"/>
  <c r="G58" i="23"/>
  <c r="E58" i="23"/>
  <c r="T57" i="23"/>
  <c r="P57" i="23"/>
  <c r="J57" i="23"/>
  <c r="L57" i="23" s="1"/>
  <c r="G57" i="23"/>
  <c r="E57" i="23"/>
  <c r="T56" i="23"/>
  <c r="P56" i="23"/>
  <c r="J56" i="23"/>
  <c r="G56" i="23"/>
  <c r="E56" i="23"/>
  <c r="T55" i="23"/>
  <c r="P55" i="23"/>
  <c r="J55" i="23"/>
  <c r="G55" i="23"/>
  <c r="E55" i="23"/>
  <c r="T54" i="23"/>
  <c r="P54" i="23"/>
  <c r="J54" i="23"/>
  <c r="G54" i="23"/>
  <c r="E54" i="23"/>
  <c r="T53" i="23"/>
  <c r="P53" i="23"/>
  <c r="J53" i="23"/>
  <c r="K53" i="23" s="1"/>
  <c r="G53" i="23"/>
  <c r="E53" i="23"/>
  <c r="T52" i="23"/>
  <c r="P52" i="23"/>
  <c r="J52" i="23"/>
  <c r="L52" i="23" s="1"/>
  <c r="G52" i="23"/>
  <c r="E52" i="23"/>
  <c r="T51" i="23"/>
  <c r="P51" i="23"/>
  <c r="J51" i="23"/>
  <c r="G51" i="23"/>
  <c r="E51" i="23"/>
  <c r="T50" i="23"/>
  <c r="P50" i="23"/>
  <c r="J50" i="23"/>
  <c r="G50" i="23"/>
  <c r="E50" i="23"/>
  <c r="T49" i="23"/>
  <c r="P49" i="23"/>
  <c r="J49" i="23"/>
  <c r="K49" i="23" s="1"/>
  <c r="G49" i="23"/>
  <c r="E49" i="23"/>
  <c r="T48" i="23"/>
  <c r="P48" i="23"/>
  <c r="J48" i="23"/>
  <c r="K48" i="23" s="1"/>
  <c r="G48" i="23"/>
  <c r="E48" i="23"/>
  <c r="T47" i="23"/>
  <c r="P47" i="23"/>
  <c r="J47" i="23"/>
  <c r="L48" i="23" s="1"/>
  <c r="G47" i="23"/>
  <c r="E47" i="23"/>
  <c r="T46" i="23"/>
  <c r="P46" i="23"/>
  <c r="J46" i="23"/>
  <c r="G46" i="23"/>
  <c r="E46" i="23"/>
  <c r="T45" i="23"/>
  <c r="P45" i="23"/>
  <c r="J45" i="23"/>
  <c r="K45" i="23" s="1"/>
  <c r="G45" i="23"/>
  <c r="E45" i="23"/>
  <c r="T44" i="23"/>
  <c r="P44" i="23"/>
  <c r="J44" i="23"/>
  <c r="K44" i="23" s="1"/>
  <c r="G44" i="23"/>
  <c r="E44" i="23"/>
  <c r="T43" i="23"/>
  <c r="P43" i="23"/>
  <c r="J43" i="23"/>
  <c r="K43" i="23" s="1"/>
  <c r="G43" i="23"/>
  <c r="E43" i="23"/>
  <c r="T42" i="23"/>
  <c r="P42" i="23"/>
  <c r="J42" i="23"/>
  <c r="L42" i="23" s="1"/>
  <c r="G42" i="23"/>
  <c r="E42" i="23"/>
  <c r="T41" i="23"/>
  <c r="P41" i="23"/>
  <c r="J41" i="23"/>
  <c r="K41" i="23" s="1"/>
  <c r="G41" i="23"/>
  <c r="E41" i="23"/>
  <c r="T40" i="23"/>
  <c r="P40" i="23"/>
  <c r="J40" i="23"/>
  <c r="G40" i="23"/>
  <c r="E40" i="23"/>
  <c r="T39" i="23"/>
  <c r="P39" i="23"/>
  <c r="J39" i="23"/>
  <c r="G39" i="23"/>
  <c r="E39" i="23"/>
  <c r="T38" i="23"/>
  <c r="P38" i="23"/>
  <c r="J38" i="23"/>
  <c r="L38" i="23" s="1"/>
  <c r="G38" i="23"/>
  <c r="E38" i="23"/>
  <c r="T37" i="23"/>
  <c r="P37" i="23"/>
  <c r="L37" i="23"/>
  <c r="K37" i="23"/>
  <c r="J37" i="23"/>
  <c r="G37" i="23"/>
  <c r="E37" i="23"/>
  <c r="T36" i="23"/>
  <c r="P36" i="23"/>
  <c r="J36" i="23"/>
  <c r="G36" i="23"/>
  <c r="E36" i="23"/>
  <c r="T35" i="23"/>
  <c r="P35" i="23"/>
  <c r="J35" i="23"/>
  <c r="G35" i="23"/>
  <c r="E35" i="23"/>
  <c r="T34" i="23"/>
  <c r="P34" i="23"/>
  <c r="J34" i="23"/>
  <c r="G34" i="23"/>
  <c r="E34" i="23"/>
  <c r="T33" i="23"/>
  <c r="P33" i="23"/>
  <c r="J33" i="23"/>
  <c r="K33" i="23" s="1"/>
  <c r="G33" i="23"/>
  <c r="E33" i="23"/>
  <c r="T32" i="23"/>
  <c r="P32" i="23"/>
  <c r="J32" i="23"/>
  <c r="L33" i="23" s="1"/>
  <c r="G32" i="23"/>
  <c r="E32" i="23"/>
  <c r="T31" i="23"/>
  <c r="P31" i="23"/>
  <c r="J31" i="23"/>
  <c r="K31" i="23" s="1"/>
  <c r="G31" i="23"/>
  <c r="E31" i="23"/>
  <c r="T30" i="23"/>
  <c r="P30" i="23"/>
  <c r="J30" i="23"/>
  <c r="G30" i="23"/>
  <c r="E30" i="23"/>
  <c r="T29" i="23"/>
  <c r="P29" i="23"/>
  <c r="K29" i="23"/>
  <c r="J29" i="23"/>
  <c r="G29" i="23"/>
  <c r="E29" i="23"/>
  <c r="T28" i="23"/>
  <c r="P28" i="23"/>
  <c r="J28" i="23"/>
  <c r="K28" i="23" s="1"/>
  <c r="G28" i="23"/>
  <c r="E28" i="23"/>
  <c r="T27" i="23"/>
  <c r="P27" i="23"/>
  <c r="J27" i="23"/>
  <c r="K27" i="23" s="1"/>
  <c r="G27" i="23"/>
  <c r="E27" i="23"/>
  <c r="T26" i="23"/>
  <c r="P26" i="23"/>
  <c r="J26" i="23"/>
  <c r="L29" i="23" s="1"/>
  <c r="G26" i="23"/>
  <c r="E26" i="23"/>
  <c r="T25" i="23"/>
  <c r="P25" i="23"/>
  <c r="J25" i="23"/>
  <c r="G25" i="23"/>
  <c r="E25" i="23"/>
  <c r="T24" i="23"/>
  <c r="P24" i="23"/>
  <c r="J24" i="23"/>
  <c r="K24" i="23" s="1"/>
  <c r="G24" i="23"/>
  <c r="E24" i="23"/>
  <c r="T23" i="23"/>
  <c r="P23" i="23"/>
  <c r="J23" i="23"/>
  <c r="G23" i="23"/>
  <c r="E23" i="23"/>
  <c r="T22" i="23"/>
  <c r="P22" i="23"/>
  <c r="J22" i="23"/>
  <c r="L22" i="23" s="1"/>
  <c r="G22" i="23"/>
  <c r="E22" i="23"/>
  <c r="T21" i="23"/>
  <c r="P21" i="23"/>
  <c r="J21" i="23"/>
  <c r="G21" i="23"/>
  <c r="E21" i="23"/>
  <c r="T20" i="23"/>
  <c r="P20" i="23"/>
  <c r="J20" i="23"/>
  <c r="K20" i="23" s="1"/>
  <c r="G20" i="23"/>
  <c r="E20" i="23"/>
  <c r="T19" i="23"/>
  <c r="P19" i="23"/>
  <c r="J19" i="23"/>
  <c r="G19" i="23"/>
  <c r="E19" i="23"/>
  <c r="T18" i="23"/>
  <c r="P18" i="23"/>
  <c r="J18" i="23"/>
  <c r="G18" i="23"/>
  <c r="E18" i="23"/>
  <c r="T17" i="23"/>
  <c r="P17" i="23"/>
  <c r="J17" i="23"/>
  <c r="L17" i="23" s="1"/>
  <c r="G17" i="23"/>
  <c r="E17" i="23"/>
  <c r="T16" i="23"/>
  <c r="P16" i="23"/>
  <c r="J16" i="23"/>
  <c r="K16" i="23" s="1"/>
  <c r="G16" i="23"/>
  <c r="E16" i="23"/>
  <c r="T15" i="23"/>
  <c r="P15" i="23"/>
  <c r="J15" i="23"/>
  <c r="K15" i="23" s="1"/>
  <c r="G15" i="23"/>
  <c r="E15" i="23"/>
  <c r="T14" i="23"/>
  <c r="P14" i="23"/>
  <c r="J14" i="23"/>
  <c r="G14" i="23"/>
  <c r="E14" i="23"/>
  <c r="T13" i="23"/>
  <c r="P13" i="23"/>
  <c r="J13" i="23"/>
  <c r="G13" i="23"/>
  <c r="E13" i="23"/>
  <c r="T12" i="23"/>
  <c r="P12" i="23"/>
  <c r="L12" i="23"/>
  <c r="J12" i="23"/>
  <c r="K12" i="23" s="1"/>
  <c r="G12" i="23"/>
  <c r="E12" i="23"/>
  <c r="T11" i="23"/>
  <c r="P11" i="23"/>
  <c r="J11" i="23"/>
  <c r="K11" i="23" s="1"/>
  <c r="G11" i="23"/>
  <c r="E11" i="23"/>
  <c r="T10" i="23"/>
  <c r="P10" i="23"/>
  <c r="J10" i="23"/>
  <c r="G10" i="23"/>
  <c r="E10" i="23"/>
  <c r="T9" i="23"/>
  <c r="P9" i="23"/>
  <c r="J9" i="23"/>
  <c r="K9" i="23" s="1"/>
  <c r="G9" i="23"/>
  <c r="E9" i="23"/>
  <c r="T8" i="23"/>
  <c r="P8" i="23"/>
  <c r="J8" i="23"/>
  <c r="K8" i="23" s="1"/>
  <c r="G8" i="23"/>
  <c r="E8" i="23"/>
  <c r="T7" i="23"/>
  <c r="P7" i="23"/>
  <c r="J7" i="23"/>
  <c r="G7" i="23"/>
  <c r="E7" i="23"/>
  <c r="T6" i="23"/>
  <c r="P6" i="23"/>
  <c r="J6" i="23"/>
  <c r="G6" i="23"/>
  <c r="E6" i="23"/>
  <c r="T5" i="23"/>
  <c r="P5" i="23"/>
  <c r="K5" i="23"/>
  <c r="J5" i="23"/>
  <c r="G5" i="23"/>
  <c r="E5" i="23"/>
  <c r="T4" i="23"/>
  <c r="P4" i="23"/>
  <c r="J4" i="23"/>
  <c r="K4" i="23" s="1"/>
  <c r="G4" i="23"/>
  <c r="E4" i="23"/>
  <c r="T3" i="23"/>
  <c r="P3" i="23"/>
  <c r="J3" i="23"/>
  <c r="G3" i="23"/>
  <c r="E3" i="23"/>
  <c r="T2" i="23"/>
  <c r="P2" i="23"/>
  <c r="J2" i="23"/>
  <c r="L2" i="23" s="1"/>
  <c r="G2" i="23"/>
  <c r="E2" i="23"/>
  <c r="L14" i="23" l="1"/>
  <c r="L20" i="23"/>
  <c r="L30" i="23"/>
  <c r="L41" i="23"/>
  <c r="L51" i="23"/>
  <c r="L55" i="23"/>
  <c r="L63" i="23"/>
  <c r="L65" i="23"/>
  <c r="L72" i="23"/>
  <c r="L77" i="23"/>
  <c r="L143" i="23"/>
  <c r="L163" i="23"/>
  <c r="K115" i="23"/>
  <c r="L119" i="23"/>
  <c r="L185" i="23"/>
  <c r="L189" i="23"/>
  <c r="L195" i="23"/>
  <c r="L203" i="23"/>
  <c r="K206" i="23"/>
  <c r="L208" i="23"/>
  <c r="L213" i="23"/>
  <c r="L215" i="23"/>
  <c r="L218" i="23"/>
  <c r="L225" i="23"/>
  <c r="L227" i="23"/>
  <c r="L231" i="23"/>
  <c r="L238" i="23"/>
  <c r="L256" i="23"/>
  <c r="K258" i="23"/>
  <c r="L261" i="23"/>
  <c r="L262" i="23"/>
  <c r="L265" i="23"/>
  <c r="L266" i="23"/>
  <c r="L269" i="23"/>
  <c r="L270" i="23"/>
  <c r="L273" i="23"/>
  <c r="L280" i="23"/>
  <c r="K282" i="23"/>
  <c r="L284" i="23"/>
  <c r="K286" i="23"/>
  <c r="L288" i="23"/>
  <c r="K290" i="23"/>
  <c r="K297" i="23"/>
  <c r="L303" i="23"/>
  <c r="K306" i="23"/>
  <c r="L308" i="23"/>
  <c r="L315" i="23"/>
  <c r="L323" i="23"/>
  <c r="K326" i="23"/>
  <c r="L331" i="23"/>
  <c r="K337" i="23"/>
  <c r="L339" i="23"/>
  <c r="L18" i="23"/>
  <c r="L21" i="23"/>
  <c r="L25" i="23"/>
  <c r="L40" i="23"/>
  <c r="L45" i="23"/>
  <c r="L56" i="23"/>
  <c r="L60" i="23"/>
  <c r="L66" i="23"/>
  <c r="L70" i="23"/>
  <c r="L73" i="23"/>
  <c r="K76" i="23"/>
  <c r="L78" i="23"/>
  <c r="K81" i="23"/>
  <c r="L86" i="23"/>
  <c r="L141" i="23"/>
  <c r="L150" i="23"/>
  <c r="L158" i="23"/>
  <c r="L170" i="23"/>
  <c r="L125" i="23"/>
  <c r="L191" i="23"/>
  <c r="L196" i="23"/>
  <c r="L204" i="23"/>
  <c r="L209" i="23"/>
  <c r="L211" i="23"/>
  <c r="L214" i="23"/>
  <c r="L216" i="23"/>
  <c r="K218" i="23"/>
  <c r="L221" i="23"/>
  <c r="L223" i="23"/>
  <c r="L226" i="23"/>
  <c r="L228" i="23"/>
  <c r="L235" i="23"/>
  <c r="K237" i="23"/>
  <c r="L243" i="23"/>
  <c r="L247" i="23"/>
  <c r="L251" i="23"/>
  <c r="K261" i="23"/>
  <c r="K265" i="23"/>
  <c r="K269" i="23"/>
  <c r="K273" i="23"/>
  <c r="L276" i="23"/>
  <c r="L281" i="23"/>
  <c r="L285" i="23"/>
  <c r="L289" i="23"/>
  <c r="L293" i="23"/>
  <c r="L300" i="23"/>
  <c r="L304" i="23"/>
  <c r="L309" i="23"/>
  <c r="L316" i="23"/>
  <c r="L324" i="23"/>
  <c r="L335" i="23"/>
  <c r="L337" i="23"/>
  <c r="L3" i="23"/>
  <c r="L5" i="23"/>
  <c r="L46" i="23"/>
  <c r="L71" i="23"/>
  <c r="L74" i="23"/>
  <c r="L90" i="23"/>
  <c r="L96" i="23"/>
  <c r="L110" i="23"/>
  <c r="L151" i="23"/>
  <c r="L171" i="23"/>
  <c r="L126" i="23"/>
  <c r="L194" i="23"/>
  <c r="L200" i="23"/>
  <c r="L210" i="23"/>
  <c r="L224" i="23"/>
  <c r="L229" i="23"/>
  <c r="L230" i="23"/>
  <c r="L240" i="23"/>
  <c r="L244" i="23"/>
  <c r="L263" i="23"/>
  <c r="L271" i="23"/>
  <c r="L278" i="23"/>
  <c r="L301" i="23"/>
  <c r="L311" i="23"/>
  <c r="L318" i="23"/>
  <c r="L320" i="23"/>
  <c r="L325" i="23"/>
  <c r="L6" i="23"/>
  <c r="L10" i="23"/>
  <c r="L13" i="23"/>
  <c r="L16" i="23"/>
  <c r="L36" i="23"/>
  <c r="L75" i="23"/>
  <c r="L80" i="23"/>
  <c r="L101" i="23"/>
  <c r="K107" i="23"/>
  <c r="L111" i="23"/>
  <c r="L142" i="23"/>
  <c r="L165" i="23"/>
  <c r="L118" i="23"/>
  <c r="L120" i="23"/>
  <c r="L193" i="23"/>
  <c r="L201" i="23"/>
  <c r="L207" i="23"/>
  <c r="K210" i="23"/>
  <c r="K212" i="23"/>
  <c r="K222" i="23"/>
  <c r="K224" i="23"/>
  <c r="K229" i="23"/>
  <c r="K233" i="23"/>
  <c r="L236" i="23"/>
  <c r="L241" i="23"/>
  <c r="L245" i="23"/>
  <c r="L249" i="23"/>
  <c r="L250" i="23"/>
  <c r="L253" i="23"/>
  <c r="L260" i="23"/>
  <c r="L264" i="23"/>
  <c r="K277" i="23"/>
  <c r="L283" i="23"/>
  <c r="L287" i="23"/>
  <c r="L291" i="23"/>
  <c r="L298" i="23"/>
  <c r="H1" i="24"/>
  <c r="I1" i="24" s="1"/>
  <c r="J1" i="24" s="1"/>
  <c r="K1" i="24" s="1"/>
  <c r="L1" i="24" s="1"/>
  <c r="M1" i="24" s="1"/>
  <c r="N1" i="24" s="1"/>
  <c r="O1" i="24" s="1"/>
  <c r="P1" i="24" s="1"/>
  <c r="G65" i="24" s="1" a="1"/>
  <c r="G65" i="24" s="1"/>
  <c r="Q65" i="24" s="1"/>
  <c r="S65" i="24" s="1"/>
  <c r="G36" i="24" a="1"/>
  <c r="G36" i="24" s="1"/>
  <c r="Q36" i="24" s="1"/>
  <c r="S36" i="24" s="1"/>
  <c r="G31" i="24" a="1"/>
  <c r="G31" i="24" s="1"/>
  <c r="Q31" i="24" s="1"/>
  <c r="S31" i="24" s="1"/>
  <c r="G26" i="24" a="1"/>
  <c r="G26" i="24" s="1"/>
  <c r="Q26" i="24" s="1"/>
  <c r="S26" i="24" s="1"/>
  <c r="G20" i="24" a="1"/>
  <c r="G20" i="24" s="1"/>
  <c r="Q20" i="24" s="1"/>
  <c r="S20" i="24" s="1"/>
  <c r="G14" i="24" a="1"/>
  <c r="G14" i="24" s="1"/>
  <c r="Q14" i="24" s="1"/>
  <c r="S14" i="24" s="1"/>
  <c r="G9" i="24" a="1"/>
  <c r="G9" i="24" s="1"/>
  <c r="Q9" i="24" s="1"/>
  <c r="S9" i="24" s="1"/>
  <c r="G5" i="24" a="1"/>
  <c r="G5" i="24" s="1"/>
  <c r="Q5" i="24" s="1"/>
  <c r="S5" i="24" s="1"/>
  <c r="G45" i="24" a="1"/>
  <c r="G45" i="24" s="1"/>
  <c r="Q45" i="24" s="1"/>
  <c r="S45" i="24" s="1"/>
  <c r="G38" i="24" a="1"/>
  <c r="G38" i="24" s="1"/>
  <c r="Q38" i="24" s="1"/>
  <c r="S38" i="24" s="1"/>
  <c r="G16" i="24" a="1"/>
  <c r="G16" i="24" s="1"/>
  <c r="Q16" i="24" s="1"/>
  <c r="S16" i="24" s="1"/>
  <c r="G11" i="24" a="1"/>
  <c r="G11" i="24" s="1"/>
  <c r="Q11" i="24" s="1"/>
  <c r="S11" i="24" s="1"/>
  <c r="G2" i="24" a="1"/>
  <c r="G2" i="24" s="1"/>
  <c r="Q2" i="24" s="1"/>
  <c r="S2" i="24" s="1"/>
  <c r="G64" i="24" a="1"/>
  <c r="G64" i="24" s="1"/>
  <c r="Q64" i="24" s="1"/>
  <c r="S64" i="24" s="1"/>
  <c r="G60" i="24" a="1"/>
  <c r="G60" i="24" s="1"/>
  <c r="Q60" i="24" s="1"/>
  <c r="S60" i="24" s="1"/>
  <c r="G55" i="24" a="1"/>
  <c r="G55" i="24" s="1"/>
  <c r="Q55" i="24" s="1"/>
  <c r="S55" i="24" s="1"/>
  <c r="G51" i="24" a="1"/>
  <c r="G51" i="24" s="1"/>
  <c r="Q51" i="24" s="1"/>
  <c r="S51" i="24" s="1"/>
  <c r="G46" i="24" a="1"/>
  <c r="G46" i="24" s="1"/>
  <c r="Q46" i="24" s="1"/>
  <c r="S46" i="24" s="1"/>
  <c r="G42" i="24" a="1"/>
  <c r="G42" i="24" s="1"/>
  <c r="Q42" i="24" s="1"/>
  <c r="S42" i="24" s="1"/>
  <c r="G34" i="24" a="1"/>
  <c r="G34" i="24" s="1"/>
  <c r="Q34" i="24" s="1"/>
  <c r="S34" i="24" s="1"/>
  <c r="G29" i="24" a="1"/>
  <c r="G29" i="24" s="1"/>
  <c r="Q29" i="24" s="1"/>
  <c r="S29" i="24" s="1"/>
  <c r="G24" i="24" a="1"/>
  <c r="G24" i="24" s="1"/>
  <c r="Q24" i="24" s="1"/>
  <c r="S24" i="24" s="1"/>
  <c r="G19" i="24" a="1"/>
  <c r="G19" i="24" s="1"/>
  <c r="Q19" i="24" s="1"/>
  <c r="S19" i="24" s="1"/>
  <c r="G13" i="24" a="1"/>
  <c r="G13" i="24" s="1"/>
  <c r="Q13" i="24" s="1"/>
  <c r="S13" i="24" s="1"/>
  <c r="G8" i="24" a="1"/>
  <c r="G8" i="24" s="1"/>
  <c r="Q8" i="24" s="1"/>
  <c r="S8" i="24" s="1"/>
  <c r="G3" i="24" a="1"/>
  <c r="G3" i="24" s="1"/>
  <c r="Q3" i="24" s="1"/>
  <c r="S3" i="24" s="1"/>
  <c r="G63" i="24" a="1"/>
  <c r="G63" i="24" s="1"/>
  <c r="Q63" i="24" s="1"/>
  <c r="S63" i="24" s="1"/>
  <c r="G59" i="24" a="1"/>
  <c r="G59" i="24" s="1"/>
  <c r="Q59" i="24" s="1"/>
  <c r="S59" i="24" s="1"/>
  <c r="G54" i="24" a="1"/>
  <c r="G54" i="24" s="1"/>
  <c r="Q54" i="24" s="1"/>
  <c r="S54" i="24" s="1"/>
  <c r="G50" i="24" a="1"/>
  <c r="G50" i="24" s="1"/>
  <c r="Q50" i="24" s="1"/>
  <c r="S50" i="24" s="1"/>
  <c r="G40" i="24" a="1"/>
  <c r="G40" i="24" s="1"/>
  <c r="Q40" i="24" s="1"/>
  <c r="S40" i="24" s="1"/>
  <c r="G28" i="24" a="1"/>
  <c r="G28" i="24" s="1"/>
  <c r="Q28" i="24" s="1"/>
  <c r="S28" i="24" s="1"/>
  <c r="G23" i="24" a="1"/>
  <c r="G23" i="24" s="1"/>
  <c r="Q23" i="24" s="1"/>
  <c r="S23" i="24" s="1"/>
  <c r="G7" i="24" a="1"/>
  <c r="G7" i="24" s="1"/>
  <c r="Q7" i="24" s="1"/>
  <c r="S7" i="24" s="1"/>
  <c r="L334" i="23"/>
  <c r="K327" i="23"/>
  <c r="L328" i="23"/>
  <c r="K331" i="23"/>
  <c r="L332" i="23"/>
  <c r="K335" i="23"/>
  <c r="L336" i="23"/>
  <c r="K339" i="23"/>
  <c r="L340" i="23"/>
  <c r="L329" i="23"/>
  <c r="K332" i="23"/>
  <c r="K305" i="23"/>
  <c r="K309" i="23"/>
  <c r="K325" i="23"/>
  <c r="K304" i="23"/>
  <c r="K308" i="23"/>
  <c r="K312" i="23"/>
  <c r="L313" i="23"/>
  <c r="K316" i="23"/>
  <c r="L317" i="23"/>
  <c r="K320" i="23"/>
  <c r="L321" i="23"/>
  <c r="K324" i="23"/>
  <c r="L319" i="23"/>
  <c r="L314" i="23"/>
  <c r="K317" i="23"/>
  <c r="L234" i="23"/>
  <c r="L254" i="23"/>
  <c r="L274" i="23"/>
  <c r="L294" i="23"/>
  <c r="K228" i="23"/>
  <c r="K232" i="23"/>
  <c r="K236" i="23"/>
  <c r="L237" i="23"/>
  <c r="K240" i="23"/>
  <c r="K244" i="23"/>
  <c r="K248" i="23"/>
  <c r="K252" i="23"/>
  <c r="K256" i="23"/>
  <c r="L257" i="23"/>
  <c r="K260" i="23"/>
  <c r="K264" i="23"/>
  <c r="K268" i="23"/>
  <c r="K272" i="23"/>
  <c r="K276" i="23"/>
  <c r="L277" i="23"/>
  <c r="K280" i="23"/>
  <c r="K284" i="23"/>
  <c r="K288" i="23"/>
  <c r="K292" i="23"/>
  <c r="K296" i="23"/>
  <c r="L297" i="23"/>
  <c r="K300" i="23"/>
  <c r="L232" i="23"/>
  <c r="L252" i="23"/>
  <c r="L272" i="23"/>
  <c r="L292" i="23"/>
  <c r="K209" i="23"/>
  <c r="K213" i="23"/>
  <c r="K217" i="23"/>
  <c r="K221" i="23"/>
  <c r="K225" i="23"/>
  <c r="K185" i="23"/>
  <c r="K189" i="23"/>
  <c r="K193" i="23"/>
  <c r="K197" i="23"/>
  <c r="L198" i="23"/>
  <c r="K201" i="23"/>
  <c r="K205" i="23"/>
  <c r="K184" i="23"/>
  <c r="K188" i="23"/>
  <c r="K192" i="23"/>
  <c r="K196" i="23"/>
  <c r="L197" i="23"/>
  <c r="K200" i="23"/>
  <c r="K204" i="23"/>
  <c r="K208" i="23"/>
  <c r="L217" i="23"/>
  <c r="L219" i="23"/>
  <c r="L59" i="23"/>
  <c r="L99" i="23"/>
  <c r="L178" i="23"/>
  <c r="L23" i="23"/>
  <c r="K32" i="23"/>
  <c r="K40" i="23"/>
  <c r="L93" i="23"/>
  <c r="K157" i="23"/>
  <c r="L159" i="23"/>
  <c r="L161" i="23"/>
  <c r="K177" i="23"/>
  <c r="L179" i="23"/>
  <c r="L181" i="23"/>
  <c r="K113" i="23"/>
  <c r="L100" i="23"/>
  <c r="L19" i="23"/>
  <c r="K25" i="23"/>
  <c r="K36" i="23"/>
  <c r="K57" i="23"/>
  <c r="K80" i="23"/>
  <c r="K92" i="23"/>
  <c r="L103" i="23"/>
  <c r="L138" i="23"/>
  <c r="K141" i="23"/>
  <c r="L32" i="23"/>
  <c r="L34" i="23"/>
  <c r="K52" i="23"/>
  <c r="L53" i="23"/>
  <c r="K56" i="23"/>
  <c r="K60" i="23"/>
  <c r="L61" i="23"/>
  <c r="K73" i="23"/>
  <c r="K75" i="23"/>
  <c r="L79" i="23"/>
  <c r="L88" i="23"/>
  <c r="L91" i="23"/>
  <c r="L94" i="23"/>
  <c r="K96" i="23"/>
  <c r="L97" i="23"/>
  <c r="K101" i="23"/>
  <c r="K103" i="23"/>
  <c r="L106" i="23"/>
  <c r="L108" i="23"/>
  <c r="K111" i="23"/>
  <c r="K137" i="23"/>
  <c r="L139" i="23"/>
  <c r="L146" i="23"/>
  <c r="L155" i="23"/>
  <c r="L157" i="23"/>
  <c r="L160" i="23"/>
  <c r="L166" i="23"/>
  <c r="L175" i="23"/>
  <c r="L180" i="23"/>
  <c r="L116" i="23"/>
  <c r="K119" i="23"/>
  <c r="L121" i="23"/>
  <c r="L129" i="23"/>
  <c r="K99" i="23"/>
  <c r="K13" i="23"/>
  <c r="K17" i="23"/>
  <c r="K21" i="23"/>
  <c r="L8" i="23"/>
  <c r="L26" i="23"/>
  <c r="L35" i="23"/>
  <c r="L39" i="23"/>
  <c r="L50" i="23"/>
  <c r="L54" i="23"/>
  <c r="L58" i="23"/>
  <c r="L69" i="23"/>
  <c r="K79" i="23"/>
  <c r="L83" i="23"/>
  <c r="K87" i="23"/>
  <c r="K91" i="23"/>
  <c r="L95" i="23"/>
  <c r="L98" i="23"/>
  <c r="L109" i="23"/>
  <c r="L135" i="23"/>
  <c r="L140" i="23"/>
  <c r="L156" i="23"/>
  <c r="L162" i="23"/>
  <c r="L176" i="23"/>
  <c r="L130" i="23"/>
  <c r="L124" i="23"/>
  <c r="L128" i="23"/>
  <c r="K114" i="23"/>
  <c r="K118" i="23"/>
  <c r="K122" i="23"/>
  <c r="L123" i="23"/>
  <c r="K126" i="23"/>
  <c r="L127" i="23"/>
  <c r="K130" i="23"/>
  <c r="L131" i="23"/>
  <c r="K117" i="23"/>
  <c r="K121" i="23"/>
  <c r="K125" i="23"/>
  <c r="K129" i="23"/>
  <c r="L154" i="23"/>
  <c r="K132" i="23"/>
  <c r="L133" i="23"/>
  <c r="K140" i="23"/>
  <c r="K148" i="23"/>
  <c r="L149" i="23"/>
  <c r="K156" i="23"/>
  <c r="K160" i="23"/>
  <c r="K168" i="23"/>
  <c r="L169" i="23"/>
  <c r="K172" i="23"/>
  <c r="K176" i="23"/>
  <c r="K180" i="23"/>
  <c r="L132" i="23"/>
  <c r="K135" i="23"/>
  <c r="L136" i="23"/>
  <c r="K143" i="23"/>
  <c r="L144" i="23"/>
  <c r="K159" i="23"/>
  <c r="K163" i="23"/>
  <c r="L164" i="23"/>
  <c r="K167" i="23"/>
  <c r="K171" i="23"/>
  <c r="L172" i="23"/>
  <c r="K175" i="23"/>
  <c r="K179" i="23"/>
  <c r="L174" i="23"/>
  <c r="L145" i="23"/>
  <c r="K152" i="23"/>
  <c r="L153" i="23"/>
  <c r="K139" i="23"/>
  <c r="K147" i="23"/>
  <c r="K151" i="23"/>
  <c r="K155" i="23"/>
  <c r="L9" i="23"/>
  <c r="L49" i="23"/>
  <c r="K3" i="23"/>
  <c r="L4" i="23"/>
  <c r="K7" i="23"/>
  <c r="K19" i="23"/>
  <c r="K23" i="23"/>
  <c r="L24" i="23"/>
  <c r="K35" i="23"/>
  <c r="K39" i="23"/>
  <c r="K51" i="23"/>
  <c r="K55" i="23"/>
  <c r="K59" i="23"/>
  <c r="K63" i="23"/>
  <c r="L64" i="23"/>
  <c r="K67" i="23"/>
  <c r="L68" i="23"/>
  <c r="K71" i="23"/>
  <c r="L84" i="23"/>
  <c r="L104" i="23"/>
  <c r="K2" i="23"/>
  <c r="K6" i="23"/>
  <c r="L7" i="23"/>
  <c r="K10" i="23"/>
  <c r="L11" i="23"/>
  <c r="K14" i="23"/>
  <c r="L15" i="23"/>
  <c r="K18" i="23"/>
  <c r="K22" i="23"/>
  <c r="K26" i="23"/>
  <c r="L27" i="23"/>
  <c r="K30" i="23"/>
  <c r="L31" i="23"/>
  <c r="K34" i="23"/>
  <c r="K38" i="23"/>
  <c r="K42" i="23"/>
  <c r="L43" i="23"/>
  <c r="K46" i="23"/>
  <c r="L47" i="23"/>
  <c r="K50" i="23"/>
  <c r="K54" i="23"/>
  <c r="K58" i="23"/>
  <c r="K62" i="23"/>
  <c r="K66" i="23"/>
  <c r="L67" i="23"/>
  <c r="K70" i="23"/>
  <c r="K74" i="23"/>
  <c r="K78" i="23"/>
  <c r="K82" i="23"/>
  <c r="K86" i="23"/>
  <c r="L87" i="23"/>
  <c r="K90" i="23"/>
  <c r="K94" i="23"/>
  <c r="K98" i="23"/>
  <c r="K102" i="23"/>
  <c r="K106" i="23"/>
  <c r="K110" i="23"/>
  <c r="L28" i="23"/>
  <c r="L44" i="23"/>
  <c r="K47" i="23"/>
  <c r="L82" i="23"/>
  <c r="L102" i="23"/>
  <c r="K109" i="23"/>
  <c r="G43" i="24" l="1" a="1"/>
  <c r="G43" i="24" s="1"/>
  <c r="Q43" i="24" s="1"/>
  <c r="S43" i="24" s="1"/>
  <c r="G47" i="24" a="1"/>
  <c r="G47" i="24" s="1"/>
  <c r="Q47" i="24" s="1"/>
  <c r="S47" i="24" s="1"/>
  <c r="G52" i="24" a="1"/>
  <c r="G52" i="24" s="1"/>
  <c r="Q52" i="24" s="1"/>
  <c r="S52" i="24" s="1"/>
  <c r="G57" i="24" a="1"/>
  <c r="G57" i="24" s="1"/>
  <c r="Q57" i="24" s="1"/>
  <c r="S57" i="24" s="1"/>
  <c r="G61" i="24" a="1"/>
  <c r="G61" i="24" s="1"/>
  <c r="Q61" i="24" s="1"/>
  <c r="S61" i="24" s="1"/>
  <c r="G33" i="24" a="1"/>
  <c r="G33" i="24" s="1"/>
  <c r="Q33" i="24" s="1"/>
  <c r="S33" i="24" s="1"/>
  <c r="G15" i="24" a="1"/>
  <c r="G15" i="24" s="1"/>
  <c r="Q15" i="24" s="1"/>
  <c r="S15" i="24" s="1"/>
  <c r="G37" i="24" a="1"/>
  <c r="G37" i="24" s="1"/>
  <c r="Q37" i="24" s="1"/>
  <c r="S37" i="24" s="1"/>
  <c r="G58" i="24" a="1"/>
  <c r="G58" i="24" s="1"/>
  <c r="Q58" i="24" s="1"/>
  <c r="S58" i="24" s="1"/>
  <c r="G22" i="24" a="1"/>
  <c r="G22" i="24" s="1"/>
  <c r="Q22" i="24" s="1"/>
  <c r="S22" i="24" s="1"/>
  <c r="G44" i="24" a="1"/>
  <c r="G44" i="24" s="1"/>
  <c r="Q44" i="24" s="1"/>
  <c r="S44" i="24" s="1"/>
  <c r="G62" i="24" a="1"/>
  <c r="G62" i="24" s="1"/>
  <c r="Q62" i="24" s="1"/>
  <c r="S62" i="24" s="1"/>
  <c r="G6" i="24" a="1"/>
  <c r="G6" i="24" s="1"/>
  <c r="Q6" i="24" s="1"/>
  <c r="S6" i="24" s="1"/>
  <c r="G27" i="24" a="1"/>
  <c r="G27" i="24" s="1"/>
  <c r="Q27" i="24" s="1"/>
  <c r="S27" i="24" s="1"/>
  <c r="G49" i="24" a="1"/>
  <c r="G49" i="24" s="1"/>
  <c r="Q49" i="24" s="1"/>
  <c r="S49" i="24" s="1"/>
  <c r="G66" i="24" a="1"/>
  <c r="G66" i="24" s="1"/>
  <c r="Q66" i="24" s="1"/>
  <c r="S66" i="24" s="1"/>
  <c r="G10" i="24" a="1"/>
  <c r="G10" i="24" s="1"/>
  <c r="Q10" i="24" s="1"/>
  <c r="S10" i="24" s="1"/>
  <c r="G32" i="24" a="1"/>
  <c r="G32" i="24" s="1"/>
  <c r="Q32" i="24" s="1"/>
  <c r="S32" i="24" s="1"/>
  <c r="G53" i="24" a="1"/>
  <c r="G53" i="24" s="1"/>
  <c r="Q53" i="24" s="1"/>
  <c r="S53" i="24" s="1"/>
  <c r="G67" i="24" a="1"/>
  <c r="G67" i="24" s="1"/>
  <c r="Q67" i="24" s="1"/>
  <c r="S67" i="24" s="1"/>
  <c r="P69" i="24"/>
  <c r="O69" i="24"/>
  <c r="N69" i="24"/>
  <c r="M69" i="24"/>
  <c r="L69" i="24"/>
  <c r="K69" i="24"/>
  <c r="J69" i="24"/>
  <c r="I69" i="24"/>
  <c r="H69" i="24"/>
  <c r="P68" i="24"/>
  <c r="O68" i="24"/>
  <c r="N68" i="24"/>
  <c r="M68" i="24"/>
  <c r="L68" i="24"/>
  <c r="K68" i="24"/>
  <c r="J68" i="24"/>
  <c r="I68" i="24"/>
  <c r="H68" i="24"/>
  <c r="P67" i="24"/>
  <c r="O67" i="24"/>
  <c r="N67" i="24"/>
  <c r="M67" i="24"/>
  <c r="L67" i="24"/>
  <c r="K67" i="24"/>
  <c r="J67" i="24"/>
  <c r="I67" i="24"/>
  <c r="H67" i="24"/>
  <c r="P66" i="24"/>
  <c r="O66" i="24"/>
  <c r="N66" i="24"/>
  <c r="M66" i="24"/>
  <c r="L66" i="24"/>
  <c r="K66" i="24"/>
  <c r="J66" i="24"/>
  <c r="I66" i="24"/>
  <c r="H66" i="24"/>
  <c r="P65" i="24"/>
  <c r="O65" i="24"/>
  <c r="N65" i="24"/>
  <c r="M65" i="24"/>
  <c r="L65" i="24"/>
  <c r="K65" i="24"/>
  <c r="J65" i="24"/>
  <c r="I65" i="24"/>
  <c r="H65" i="24"/>
  <c r="P64" i="24"/>
  <c r="O64" i="24"/>
  <c r="N64" i="24"/>
  <c r="M64" i="24"/>
  <c r="L64" i="24"/>
  <c r="K64" i="24"/>
  <c r="J64" i="24"/>
  <c r="I64" i="24"/>
  <c r="H64" i="24"/>
  <c r="P63" i="24"/>
  <c r="O63" i="24"/>
  <c r="N63" i="24"/>
  <c r="M63" i="24"/>
  <c r="L63" i="24"/>
  <c r="K63" i="24"/>
  <c r="J63" i="24"/>
  <c r="I63" i="24"/>
  <c r="H63" i="24"/>
  <c r="P62" i="24"/>
  <c r="O62" i="24"/>
  <c r="N62" i="24"/>
  <c r="M62" i="24"/>
  <c r="L62" i="24"/>
  <c r="K62" i="24"/>
  <c r="J62" i="24"/>
  <c r="I62" i="24"/>
  <c r="H62" i="24"/>
  <c r="P61" i="24"/>
  <c r="O61" i="24"/>
  <c r="N61" i="24"/>
  <c r="M61" i="24"/>
  <c r="L61" i="24"/>
  <c r="K61" i="24"/>
  <c r="J61" i="24"/>
  <c r="I61" i="24"/>
  <c r="H61" i="24"/>
  <c r="P60" i="24"/>
  <c r="O60" i="24"/>
  <c r="N60" i="24"/>
  <c r="M60" i="24"/>
  <c r="L60" i="24"/>
  <c r="K60" i="24"/>
  <c r="J60" i="24"/>
  <c r="I60" i="24"/>
  <c r="H60" i="24"/>
  <c r="P59" i="24"/>
  <c r="O59" i="24"/>
  <c r="N59" i="24"/>
  <c r="M59" i="24"/>
  <c r="L59" i="24"/>
  <c r="K59" i="24"/>
  <c r="J59" i="24"/>
  <c r="I59" i="24"/>
  <c r="H59" i="24"/>
  <c r="P58" i="24"/>
  <c r="O58" i="24"/>
  <c r="N58" i="24"/>
  <c r="M58" i="24"/>
  <c r="L58" i="24"/>
  <c r="K58" i="24"/>
  <c r="J58" i="24"/>
  <c r="I58" i="24"/>
  <c r="H58" i="24"/>
  <c r="P57" i="24"/>
  <c r="O57" i="24"/>
  <c r="N57" i="24"/>
  <c r="M57" i="24"/>
  <c r="L57" i="24"/>
  <c r="K57" i="24"/>
  <c r="J57" i="24"/>
  <c r="I57" i="24"/>
  <c r="H57" i="24"/>
  <c r="P55" i="24"/>
  <c r="O55" i="24"/>
  <c r="N55" i="24"/>
  <c r="M55" i="24"/>
  <c r="L55" i="24"/>
  <c r="K55" i="24"/>
  <c r="J55" i="24"/>
  <c r="I55" i="24"/>
  <c r="H55" i="24"/>
  <c r="P54" i="24"/>
  <c r="O54" i="24"/>
  <c r="N54" i="24"/>
  <c r="M54" i="24"/>
  <c r="L54" i="24"/>
  <c r="K54" i="24"/>
  <c r="J54" i="24"/>
  <c r="I54" i="24"/>
  <c r="H54" i="24"/>
  <c r="P53" i="24"/>
  <c r="O53" i="24"/>
  <c r="N53" i="24"/>
  <c r="M53" i="24"/>
  <c r="L53" i="24"/>
  <c r="K53" i="24"/>
  <c r="J53" i="24"/>
  <c r="I53" i="24"/>
  <c r="H53" i="24"/>
  <c r="P52" i="24"/>
  <c r="O52" i="24"/>
  <c r="N52" i="24"/>
  <c r="M52" i="24"/>
  <c r="L52" i="24"/>
  <c r="K52" i="24"/>
  <c r="J52" i="24"/>
  <c r="I52" i="24"/>
  <c r="H52" i="24"/>
  <c r="P51" i="24"/>
  <c r="O51" i="24"/>
  <c r="N51" i="24"/>
  <c r="M51" i="24"/>
  <c r="L51" i="24"/>
  <c r="K51" i="24"/>
  <c r="J51" i="24"/>
  <c r="I51" i="24"/>
  <c r="H51" i="24"/>
  <c r="P50" i="24"/>
  <c r="O50" i="24"/>
  <c r="N50" i="24"/>
  <c r="M50" i="24"/>
  <c r="L50" i="24"/>
  <c r="K50" i="24"/>
  <c r="J50" i="24"/>
  <c r="I50" i="24"/>
  <c r="H50" i="24"/>
  <c r="P49" i="24"/>
  <c r="O49" i="24"/>
  <c r="N49" i="24"/>
  <c r="M49" i="24"/>
  <c r="L49" i="24"/>
  <c r="K49" i="24"/>
  <c r="J49" i="24"/>
  <c r="I49" i="24"/>
  <c r="H49" i="24"/>
  <c r="P47" i="24"/>
  <c r="O47" i="24"/>
  <c r="N47" i="24"/>
  <c r="M47" i="24"/>
  <c r="L47" i="24"/>
  <c r="K47" i="24"/>
  <c r="J47" i="24"/>
  <c r="I47" i="24"/>
  <c r="H47" i="24"/>
  <c r="P46" i="24"/>
  <c r="O46" i="24"/>
  <c r="N46" i="24"/>
  <c r="M46" i="24"/>
  <c r="L46" i="24"/>
  <c r="K46" i="24"/>
  <c r="J46" i="24"/>
  <c r="I46" i="24"/>
  <c r="H46" i="24"/>
  <c r="P45" i="24"/>
  <c r="O45" i="24"/>
  <c r="N45" i="24"/>
  <c r="M45" i="24"/>
  <c r="L45" i="24"/>
  <c r="K45" i="24"/>
  <c r="J45" i="24"/>
  <c r="I45" i="24"/>
  <c r="H45" i="24"/>
  <c r="P44" i="24"/>
  <c r="O44" i="24"/>
  <c r="N44" i="24"/>
  <c r="M44" i="24"/>
  <c r="L44" i="24"/>
  <c r="K44" i="24"/>
  <c r="J44" i="24"/>
  <c r="I44" i="24"/>
  <c r="H44" i="24"/>
  <c r="P43" i="24"/>
  <c r="O43" i="24"/>
  <c r="N43" i="24"/>
  <c r="M43" i="24"/>
  <c r="L43" i="24"/>
  <c r="K43" i="24"/>
  <c r="J43" i="24"/>
  <c r="I43" i="24"/>
  <c r="H43" i="24"/>
  <c r="P42" i="24"/>
  <c r="O42" i="24"/>
  <c r="N42" i="24"/>
  <c r="M42" i="24"/>
  <c r="L42" i="24"/>
  <c r="K42" i="24"/>
  <c r="J42" i="24"/>
  <c r="I42" i="24"/>
  <c r="H42" i="24"/>
  <c r="P40" i="24"/>
  <c r="O40" i="24"/>
  <c r="N40" i="24"/>
  <c r="M40" i="24"/>
  <c r="L40" i="24"/>
  <c r="K40" i="24"/>
  <c r="J40" i="24"/>
  <c r="I40" i="24"/>
  <c r="H40" i="24"/>
  <c r="P38" i="24"/>
  <c r="O38" i="24"/>
  <c r="N38" i="24"/>
  <c r="M38" i="24"/>
  <c r="L38" i="24"/>
  <c r="K38" i="24"/>
  <c r="J38" i="24"/>
  <c r="I38" i="24"/>
  <c r="H38" i="24"/>
  <c r="P37" i="24"/>
  <c r="O37" i="24"/>
  <c r="N37" i="24"/>
  <c r="M37" i="24"/>
  <c r="L37" i="24"/>
  <c r="K37" i="24"/>
  <c r="J37" i="24"/>
  <c r="I37" i="24"/>
  <c r="H37" i="24"/>
  <c r="P36" i="24"/>
  <c r="O36" i="24"/>
  <c r="N36" i="24"/>
  <c r="M36" i="24"/>
  <c r="L36" i="24"/>
  <c r="K36" i="24"/>
  <c r="J36" i="24"/>
  <c r="I36" i="24"/>
  <c r="H36" i="24"/>
  <c r="P34" i="24"/>
  <c r="O34" i="24"/>
  <c r="N34" i="24"/>
  <c r="M34" i="24"/>
  <c r="L34" i="24"/>
  <c r="K34" i="24"/>
  <c r="J34" i="24"/>
  <c r="I34" i="24"/>
  <c r="H34" i="24"/>
  <c r="P33" i="24"/>
  <c r="O33" i="24"/>
  <c r="N33" i="24"/>
  <c r="M33" i="24"/>
  <c r="L33" i="24"/>
  <c r="K33" i="24"/>
  <c r="J33" i="24"/>
  <c r="I33" i="24"/>
  <c r="H33" i="24"/>
  <c r="P32" i="24"/>
  <c r="O32" i="24"/>
  <c r="N32" i="24"/>
  <c r="M32" i="24"/>
  <c r="L32" i="24"/>
  <c r="K32" i="24"/>
  <c r="J32" i="24"/>
  <c r="I32" i="24"/>
  <c r="H32" i="24"/>
  <c r="P31" i="24"/>
  <c r="O31" i="24"/>
  <c r="N31" i="24"/>
  <c r="M31" i="24"/>
  <c r="L31" i="24"/>
  <c r="K31" i="24"/>
  <c r="J31" i="24"/>
  <c r="I31" i="24"/>
  <c r="H31" i="24"/>
  <c r="P29" i="24"/>
  <c r="O29" i="24"/>
  <c r="N29" i="24"/>
  <c r="M29" i="24"/>
  <c r="L29" i="24"/>
  <c r="K29" i="24"/>
  <c r="J29" i="24"/>
  <c r="I29" i="24"/>
  <c r="H29" i="24"/>
  <c r="P28" i="24"/>
  <c r="O28" i="24"/>
  <c r="N28" i="24"/>
  <c r="M28" i="24"/>
  <c r="L28" i="24"/>
  <c r="K28" i="24"/>
  <c r="J28" i="24"/>
  <c r="I28" i="24"/>
  <c r="H28" i="24"/>
  <c r="P27" i="24"/>
  <c r="O27" i="24"/>
  <c r="N27" i="24"/>
  <c r="M27" i="24"/>
  <c r="L27" i="24"/>
  <c r="K27" i="24"/>
  <c r="J27" i="24"/>
  <c r="I27" i="24"/>
  <c r="H27" i="24"/>
  <c r="P26" i="24"/>
  <c r="O26" i="24"/>
  <c r="N26" i="24"/>
  <c r="M26" i="24"/>
  <c r="L26" i="24"/>
  <c r="K26" i="24"/>
  <c r="J26" i="24"/>
  <c r="I26" i="24"/>
  <c r="H26" i="24"/>
  <c r="P24" i="24"/>
  <c r="O24" i="24"/>
  <c r="N24" i="24"/>
  <c r="M24" i="24"/>
  <c r="L24" i="24"/>
  <c r="K24" i="24"/>
  <c r="J24" i="24"/>
  <c r="I24" i="24"/>
  <c r="H24" i="24"/>
  <c r="P23" i="24"/>
  <c r="O23" i="24"/>
  <c r="N23" i="24"/>
  <c r="M23" i="24"/>
  <c r="L23" i="24"/>
  <c r="K23" i="24"/>
  <c r="J23" i="24"/>
  <c r="I23" i="24"/>
  <c r="H23" i="24"/>
  <c r="P22" i="24"/>
  <c r="O22" i="24"/>
  <c r="N22" i="24"/>
  <c r="M22" i="24"/>
  <c r="L22" i="24"/>
  <c r="K22" i="24"/>
  <c r="J22" i="24"/>
  <c r="I22" i="24"/>
  <c r="H22" i="24"/>
  <c r="P20" i="24"/>
  <c r="O20" i="24"/>
  <c r="N20" i="24"/>
  <c r="M20" i="24"/>
  <c r="L20" i="24"/>
  <c r="K20" i="24"/>
  <c r="J20" i="24"/>
  <c r="I20" i="24"/>
  <c r="H20" i="24"/>
  <c r="P19" i="24"/>
  <c r="O19" i="24"/>
  <c r="N19" i="24"/>
  <c r="M19" i="24"/>
  <c r="L19" i="24"/>
  <c r="K19" i="24"/>
  <c r="J19" i="24"/>
  <c r="I19" i="24"/>
  <c r="H19" i="24"/>
  <c r="P16" i="24"/>
  <c r="O16" i="24"/>
  <c r="N16" i="24"/>
  <c r="M16" i="24"/>
  <c r="L16" i="24"/>
  <c r="K16" i="24"/>
  <c r="J16" i="24"/>
  <c r="I16" i="24"/>
  <c r="H16" i="24"/>
  <c r="P15" i="24"/>
  <c r="O15" i="24"/>
  <c r="N15" i="24"/>
  <c r="M15" i="24"/>
  <c r="L15" i="24"/>
  <c r="K15" i="24"/>
  <c r="J15" i="24"/>
  <c r="I15" i="24"/>
  <c r="H15" i="24"/>
  <c r="P14" i="24"/>
  <c r="O14" i="24"/>
  <c r="N14" i="24"/>
  <c r="M14" i="24"/>
  <c r="L14" i="24"/>
  <c r="K14" i="24"/>
  <c r="J14" i="24"/>
  <c r="I14" i="24"/>
  <c r="H14" i="24"/>
  <c r="P13" i="24"/>
  <c r="O13" i="24"/>
  <c r="N13" i="24"/>
  <c r="M13" i="24"/>
  <c r="L13" i="24"/>
  <c r="K13" i="24"/>
  <c r="J13" i="24"/>
  <c r="I13" i="24"/>
  <c r="H13" i="24"/>
  <c r="P11" i="24"/>
  <c r="O11" i="24"/>
  <c r="N11" i="24"/>
  <c r="M11" i="24"/>
  <c r="L11" i="24"/>
  <c r="K11" i="24"/>
  <c r="J11" i="24"/>
  <c r="I11" i="24"/>
  <c r="H11" i="24"/>
  <c r="P10" i="24"/>
  <c r="O10" i="24"/>
  <c r="N10" i="24"/>
  <c r="M10" i="24"/>
  <c r="L10" i="24"/>
  <c r="K10" i="24"/>
  <c r="J10" i="24"/>
  <c r="I10" i="24"/>
  <c r="H10" i="24"/>
  <c r="P9" i="24"/>
  <c r="O9" i="24"/>
  <c r="N9" i="24"/>
  <c r="M9" i="24"/>
  <c r="L9" i="24"/>
  <c r="K9" i="24"/>
  <c r="J9" i="24"/>
  <c r="I9" i="24"/>
  <c r="H9" i="24"/>
  <c r="P8" i="24"/>
  <c r="O8" i="24"/>
  <c r="N8" i="24"/>
  <c r="M8" i="24"/>
  <c r="L8" i="24"/>
  <c r="K8" i="24"/>
  <c r="J8" i="24"/>
  <c r="I8" i="24"/>
  <c r="H8" i="24"/>
  <c r="P7" i="24"/>
  <c r="O7" i="24"/>
  <c r="N7" i="24"/>
  <c r="M7" i="24"/>
  <c r="L7" i="24"/>
  <c r="K7" i="24"/>
  <c r="J7" i="24"/>
  <c r="I7" i="24"/>
  <c r="H7" i="24"/>
  <c r="P6" i="24"/>
  <c r="O6" i="24"/>
  <c r="N6" i="24"/>
  <c r="M6" i="24"/>
  <c r="L6" i="24"/>
  <c r="K6" i="24"/>
  <c r="J6" i="24"/>
  <c r="I6" i="24"/>
  <c r="H6" i="24"/>
  <c r="P5" i="24"/>
  <c r="O5" i="24"/>
  <c r="N5" i="24"/>
  <c r="M5" i="24"/>
  <c r="L5" i="24"/>
  <c r="K5" i="24"/>
  <c r="J5" i="24"/>
  <c r="I5" i="24"/>
  <c r="H5" i="24"/>
  <c r="P3" i="24"/>
  <c r="O3" i="24"/>
  <c r="N3" i="24"/>
  <c r="M3" i="24"/>
  <c r="L3" i="24"/>
  <c r="K3" i="24"/>
  <c r="J3" i="24"/>
  <c r="I3" i="24"/>
  <c r="H3" i="24"/>
  <c r="P2" i="24"/>
  <c r="O2" i="24"/>
  <c r="N2" i="24"/>
  <c r="M2" i="24"/>
  <c r="L2" i="24"/>
  <c r="K2" i="24"/>
  <c r="J2" i="24"/>
  <c r="I2" i="24"/>
  <c r="H2" i="2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<sst xmlns="http://schemas.openxmlformats.org/spreadsheetml/2006/main" count="1331" uniqueCount="633">
  <si>
    <t>代码</t>
  </si>
  <si>
    <t>英文名</t>
  </si>
  <si>
    <t>AMAZON</t>
  </si>
  <si>
    <t>MICROSOFT</t>
  </si>
  <si>
    <t>信息技术</t>
  </si>
  <si>
    <t>软件与服务</t>
  </si>
  <si>
    <t>软件</t>
  </si>
  <si>
    <t>FACEBOOK</t>
  </si>
  <si>
    <t>SALESFORCE</t>
  </si>
  <si>
    <t>应用软件</t>
  </si>
  <si>
    <t>Wind一级行业</t>
  </si>
  <si>
    <t>Wind二级行业</t>
  </si>
  <si>
    <t>Wind三级行业</t>
  </si>
  <si>
    <t>Wind四级行业</t>
  </si>
  <si>
    <t>行业</t>
    <phoneticPr fontId="0" type="noConversion"/>
  </si>
  <si>
    <t xml:space="preserve">P/E(TTM) </t>
  </si>
  <si>
    <t>Price/Cash Flow (TTM)</t>
  </si>
  <si>
    <t>Price/Sales (TTM)</t>
  </si>
  <si>
    <t>Revenue Growth (Last 5 Years)</t>
  </si>
  <si>
    <t>Cash Flow Growth Rate (Last 5 Years)</t>
  </si>
  <si>
    <t>EBITD Margin (TTM)</t>
  </si>
  <si>
    <t>Price / Book</t>
  </si>
  <si>
    <t>Business</t>
  </si>
  <si>
    <t>Platform, Service, Retail</t>
  </si>
  <si>
    <t>Platform, Service, Game</t>
  </si>
  <si>
    <t>Services</t>
  </si>
  <si>
    <t>ALPHABET INC</t>
  </si>
  <si>
    <t>GOOG</t>
  </si>
  <si>
    <t>Advertisement, Platform</t>
  </si>
  <si>
    <t>FB</t>
  </si>
  <si>
    <t>Advertisement</t>
  </si>
  <si>
    <t>Current Ratio</t>
  </si>
  <si>
    <t>MSFT</t>
  </si>
  <si>
    <t>AMZN</t>
  </si>
  <si>
    <t>CRM</t>
  </si>
  <si>
    <t>Cloud</t>
  </si>
  <si>
    <t>Return on Equity (TTM)</t>
  </si>
  <si>
    <t>Software</t>
  </si>
  <si>
    <t>ORACLE</t>
  </si>
  <si>
    <t>ORCL</t>
  </si>
  <si>
    <t>Database and Application</t>
  </si>
  <si>
    <t>SAP</t>
  </si>
  <si>
    <t>SW Service</t>
  </si>
  <si>
    <t>Total Debt/Equity (MRQ)</t>
  </si>
  <si>
    <t>`</t>
  </si>
  <si>
    <t>ALIBABA</t>
  </si>
  <si>
    <t>BABA</t>
  </si>
  <si>
    <t>e-commerce</t>
  </si>
  <si>
    <t>AKAMAI</t>
  </si>
  <si>
    <t>AKAM</t>
  </si>
  <si>
    <t>CDN</t>
  </si>
  <si>
    <t>MONGODB</t>
  </si>
  <si>
    <t>MDB</t>
  </si>
  <si>
    <t>Non SQL</t>
  </si>
  <si>
    <t>CLOUDERA</t>
  </si>
  <si>
    <t>CLDR</t>
  </si>
  <si>
    <t>市值（十亿美元）</t>
  </si>
  <si>
    <t>Free Cash Flow (TTM) (million)</t>
  </si>
  <si>
    <t>VMWARE</t>
  </si>
  <si>
    <t>VMW</t>
  </si>
  <si>
    <t>Cloud VM</t>
  </si>
  <si>
    <t>SQUARE</t>
  </si>
  <si>
    <t>SQ</t>
  </si>
  <si>
    <t>Hardware</t>
  </si>
  <si>
    <t>Payment</t>
  </si>
  <si>
    <t>Service</t>
  </si>
  <si>
    <t>Network</t>
  </si>
  <si>
    <t>SHOPIFY</t>
  </si>
  <si>
    <t>SHOP</t>
  </si>
  <si>
    <t>e-commerce platform</t>
  </si>
  <si>
    <t>ALTERYX</t>
  </si>
  <si>
    <t>AYX</t>
  </si>
  <si>
    <t>Data analysis</t>
  </si>
  <si>
    <t>ZOOM</t>
  </si>
  <si>
    <t>ZM</t>
  </si>
  <si>
    <t>Video Communication</t>
  </si>
  <si>
    <t>COSTCO</t>
  </si>
  <si>
    <t>COST</t>
  </si>
  <si>
    <t>Whole sale, membership</t>
  </si>
  <si>
    <t>WALMART</t>
  </si>
  <si>
    <t>WMT</t>
  </si>
  <si>
    <t>Supermarket</t>
  </si>
  <si>
    <t>TARGET</t>
  </si>
  <si>
    <t>TGT</t>
  </si>
  <si>
    <t>Free Cash Flow (TTM) (billion)</t>
  </si>
  <si>
    <t>KROGER</t>
  </si>
  <si>
    <t>KR</t>
  </si>
  <si>
    <t>Supermarket Grocery</t>
  </si>
  <si>
    <t>HOME DEPOT</t>
  </si>
  <si>
    <t>HD</t>
  </si>
  <si>
    <t>DOLLAR GENERAL</t>
  </si>
  <si>
    <t>DG</t>
  </si>
  <si>
    <t>Low price market</t>
  </si>
  <si>
    <t>DOLLAR TREE</t>
  </si>
  <si>
    <t>DLTR</t>
  </si>
  <si>
    <t>CISCO</t>
  </si>
  <si>
    <t>CSCO</t>
  </si>
  <si>
    <t>Network device</t>
  </si>
  <si>
    <t>Juniper Networks</t>
  </si>
  <si>
    <t>JNPR</t>
  </si>
  <si>
    <t>FORTINET</t>
  </si>
  <si>
    <t>FTNT</t>
  </si>
  <si>
    <t xml:space="preserve">SDN security </t>
  </si>
  <si>
    <t>PALO ALTO NETWORKS</t>
  </si>
  <si>
    <t>PANW</t>
  </si>
  <si>
    <t>CHECK POINT SOFTWARE</t>
  </si>
  <si>
    <t>CHKP</t>
  </si>
  <si>
    <t>WORK</t>
  </si>
  <si>
    <t>F5 NETWORKS</t>
  </si>
  <si>
    <t>FFIV</t>
  </si>
  <si>
    <t>WDAY</t>
  </si>
  <si>
    <t>Cloud application</t>
  </si>
  <si>
    <t>TWILIO</t>
  </si>
  <si>
    <t>TWLO</t>
  </si>
  <si>
    <t>ATLASSIAN</t>
  </si>
  <si>
    <t>TEAM</t>
  </si>
  <si>
    <t>Development tooling</t>
  </si>
  <si>
    <t>SERVICENOW</t>
  </si>
  <si>
    <t>NOW</t>
  </si>
  <si>
    <t>AUTODESK</t>
  </si>
  <si>
    <t>ADSK</t>
  </si>
  <si>
    <t>Auto CAD</t>
  </si>
  <si>
    <t>INTUIT INC</t>
  </si>
  <si>
    <t>INTU</t>
  </si>
  <si>
    <t>Turbo Tax</t>
  </si>
  <si>
    <t>Oil and Gas</t>
  </si>
  <si>
    <t>XOM</t>
  </si>
  <si>
    <t>RDSB</t>
  </si>
  <si>
    <t>PSX</t>
  </si>
  <si>
    <t>SLB</t>
  </si>
  <si>
    <t>EXXON MOBIL</t>
  </si>
  <si>
    <t>Free Cash Flow (TTM) (Billion)</t>
  </si>
  <si>
    <t>Drill and refinery</t>
  </si>
  <si>
    <t>ROYAL DUTCH SHELL</t>
  </si>
  <si>
    <t>PHILLIPS 66</t>
  </si>
  <si>
    <t>Refinery</t>
  </si>
  <si>
    <t>SCHLUMBERGER</t>
  </si>
  <si>
    <t>Exploration</t>
  </si>
  <si>
    <t>CHEVRON</t>
  </si>
  <si>
    <t>CVX</t>
  </si>
  <si>
    <t>Gold</t>
  </si>
  <si>
    <t>IBM</t>
  </si>
  <si>
    <t>APPLE</t>
  </si>
  <si>
    <t>HP</t>
  </si>
  <si>
    <t>DELL</t>
  </si>
  <si>
    <t>Smart phone</t>
  </si>
  <si>
    <t>Server, IT system</t>
  </si>
  <si>
    <t>HPQ</t>
  </si>
  <si>
    <t>PC and Printer</t>
  </si>
  <si>
    <t>PC</t>
  </si>
  <si>
    <t>Bank</t>
  </si>
  <si>
    <t>JP MORGAN CHASE</t>
  </si>
  <si>
    <t>JPM</t>
  </si>
  <si>
    <t>Banking, deposit and loan, security trading</t>
  </si>
  <si>
    <t>BANK OF AMERICA</t>
  </si>
  <si>
    <t>BAC</t>
  </si>
  <si>
    <t>WELLS FARGO</t>
  </si>
  <si>
    <t>WFC</t>
  </si>
  <si>
    <t>C</t>
  </si>
  <si>
    <t>CITIGROUP INC</t>
  </si>
  <si>
    <t>Insurance</t>
  </si>
  <si>
    <t>PRUDENTIAL FINANCIAL</t>
  </si>
  <si>
    <t>PRU</t>
  </si>
  <si>
    <t>Life policy, asset management</t>
  </si>
  <si>
    <t>METLIFE</t>
  </si>
  <si>
    <t>MET</t>
  </si>
  <si>
    <t>AIG</t>
  </si>
  <si>
    <t>AMERICAN INTERNATIONAL GROUP</t>
  </si>
  <si>
    <t>Life policy, casualty insurance.</t>
  </si>
  <si>
    <t>OKTA INC</t>
  </si>
  <si>
    <t>OKTA</t>
  </si>
  <si>
    <t>Identity, single sign on</t>
  </si>
  <si>
    <t>Growth</t>
  </si>
  <si>
    <t>THE TRADE DESK</t>
  </si>
  <si>
    <t>TTD</t>
  </si>
  <si>
    <t>Advertisement Trade</t>
  </si>
  <si>
    <t>ROKU</t>
  </si>
  <si>
    <t>Mediea Stream download devices</t>
  </si>
  <si>
    <t>Aerospace</t>
  </si>
  <si>
    <t>BOEING</t>
  </si>
  <si>
    <t>BA</t>
  </si>
  <si>
    <t xml:space="preserve">air craft </t>
  </si>
  <si>
    <t>LOCKHEED MARTIN</t>
  </si>
  <si>
    <t>LMT</t>
  </si>
  <si>
    <t>F35, F22</t>
  </si>
  <si>
    <t>RTX</t>
  </si>
  <si>
    <t xml:space="preserve">Radar and Missile </t>
  </si>
  <si>
    <t>RAYTHEON TECHNOLOGIES</t>
  </si>
  <si>
    <t>Automotive</t>
  </si>
  <si>
    <t>FORD MOTOR</t>
  </si>
  <si>
    <t>F</t>
  </si>
  <si>
    <t>car and truck</t>
  </si>
  <si>
    <t>GENERAL MOTORS</t>
  </si>
  <si>
    <t>GM</t>
  </si>
  <si>
    <t>TESLA INC</t>
  </si>
  <si>
    <t>TSLA</t>
  </si>
  <si>
    <t>Electricity Car</t>
  </si>
  <si>
    <t>Airline</t>
  </si>
  <si>
    <t>ALASKA AIR GROUP</t>
  </si>
  <si>
    <t>ALK</t>
  </si>
  <si>
    <t>SOUTHWEST AIRLINES</t>
  </si>
  <si>
    <t>LUV</t>
  </si>
  <si>
    <t>UAL</t>
  </si>
  <si>
    <t>DAL</t>
  </si>
  <si>
    <t>DELTA AIR LINES</t>
  </si>
  <si>
    <t>AAL</t>
  </si>
  <si>
    <t>AMERICAN AIRLINES GROUP</t>
  </si>
  <si>
    <t>UNITED AIRLINES</t>
  </si>
  <si>
    <t>JETBLUE AIRWAYS</t>
  </si>
  <si>
    <t>JBLU</t>
  </si>
  <si>
    <t>missing</t>
  </si>
  <si>
    <t>HAWAIIAN HOLDINGS</t>
  </si>
  <si>
    <t>HA</t>
  </si>
  <si>
    <t>Cruise</t>
  </si>
  <si>
    <t>ROYAL CARIBBEAN CRUISES</t>
  </si>
  <si>
    <t>RCL</t>
  </si>
  <si>
    <t>CCL</t>
  </si>
  <si>
    <t>CARNIVAL CORP</t>
  </si>
  <si>
    <t>INTC</t>
  </si>
  <si>
    <t>INTEL</t>
  </si>
  <si>
    <t>CPU</t>
  </si>
  <si>
    <t>NVIDIA</t>
  </si>
  <si>
    <t>NVDA</t>
  </si>
  <si>
    <t>GPU</t>
  </si>
  <si>
    <t>ADVANCED MICRO DEVICES</t>
  </si>
  <si>
    <t>AMD</t>
  </si>
  <si>
    <t>CPU, desktop and datacenter</t>
  </si>
  <si>
    <t>Memory</t>
  </si>
  <si>
    <t>MICRON TECHNOLOGY</t>
  </si>
  <si>
    <t>MU</t>
  </si>
  <si>
    <t>Memoey</t>
  </si>
  <si>
    <t>Communication</t>
  </si>
  <si>
    <t>QCOM</t>
  </si>
  <si>
    <t>QUALCOMM</t>
  </si>
  <si>
    <t>SKYWORKS SOLUTIONS</t>
  </si>
  <si>
    <t>SWKS</t>
  </si>
  <si>
    <t>mobile chip</t>
  </si>
  <si>
    <t>RF chip</t>
  </si>
  <si>
    <t>QORVO INC</t>
  </si>
  <si>
    <t>QRVO</t>
  </si>
  <si>
    <t>BROADCOM INC</t>
  </si>
  <si>
    <t>AVGO</t>
  </si>
  <si>
    <t>Communication solution</t>
  </si>
  <si>
    <t>Telecom</t>
  </si>
  <si>
    <t>T</t>
  </si>
  <si>
    <t>VZ</t>
  </si>
  <si>
    <t>TMUS</t>
  </si>
  <si>
    <t>AT&amp;T INC</t>
  </si>
  <si>
    <t>VERIZON COMMUNICATIONS</t>
  </si>
  <si>
    <t>T MOBILE US</t>
  </si>
  <si>
    <t>VISA INC</t>
  </si>
  <si>
    <t>V</t>
  </si>
  <si>
    <t>Credit Card Settlement</t>
  </si>
  <si>
    <t>MA</t>
  </si>
  <si>
    <t>MASTERCARD INCORPORATED</t>
  </si>
  <si>
    <t>AMERICAN EXPRESS COMPANY</t>
  </si>
  <si>
    <t>AXP</t>
  </si>
  <si>
    <t>Credit Card Settlement and loaner</t>
  </si>
  <si>
    <t>Rating</t>
  </si>
  <si>
    <t>MOODYS CORP</t>
  </si>
  <si>
    <t>MCO</t>
  </si>
  <si>
    <t>Credit Rating and Report</t>
  </si>
  <si>
    <t>GOLDMAN SACHS GROUP</t>
  </si>
  <si>
    <t>Investment Bank</t>
  </si>
  <si>
    <t>GS</t>
  </si>
  <si>
    <t>Investment</t>
  </si>
  <si>
    <t>Food and Drink</t>
  </si>
  <si>
    <t>STARBUCKS CORPORATION</t>
  </si>
  <si>
    <t>SBUX</t>
  </si>
  <si>
    <t>Coffee</t>
  </si>
  <si>
    <t>MCD</t>
  </si>
  <si>
    <t>MCDONALDS CORP</t>
  </si>
  <si>
    <t>Hamburg, Fast food</t>
  </si>
  <si>
    <t>RESTAURANT BRANDS INTERNATIONAL</t>
  </si>
  <si>
    <t>QSR</t>
  </si>
  <si>
    <t>Burger King</t>
  </si>
  <si>
    <t>DOMINOS PIZZA</t>
  </si>
  <si>
    <t>DPZ</t>
  </si>
  <si>
    <t>Online booking Pizza on internet booking</t>
  </si>
  <si>
    <t>CHIPOTLE MEXICAN GRILL</t>
  </si>
  <si>
    <t>CMG</t>
  </si>
  <si>
    <t>MEXICAN GRILL</t>
  </si>
  <si>
    <t>KIRKLAND LAKE GOLD</t>
  </si>
  <si>
    <t>KL</t>
  </si>
  <si>
    <t>Gold mine, lowest cost</t>
  </si>
  <si>
    <t>GOLD</t>
  </si>
  <si>
    <t>BARRICK GOLD CORPORATION</t>
  </si>
  <si>
    <t>NEWMONT CORPORATION</t>
  </si>
  <si>
    <t>NEM</t>
  </si>
  <si>
    <t>Gold mine</t>
  </si>
  <si>
    <t>COLM</t>
  </si>
  <si>
    <t>NKE</t>
  </si>
  <si>
    <t>LULU</t>
  </si>
  <si>
    <t>COLUMBIA SPORTSWEAR</t>
  </si>
  <si>
    <t>Sportsware</t>
  </si>
  <si>
    <t>NIKE INC</t>
  </si>
  <si>
    <t>Sports shoes</t>
  </si>
  <si>
    <t>LULULEMON ATHLETICA INC</t>
  </si>
  <si>
    <t>KO</t>
  </si>
  <si>
    <t>COCA COLA COMPANY</t>
  </si>
  <si>
    <t>Soda</t>
  </si>
  <si>
    <t>Consumer Goods</t>
  </si>
  <si>
    <t>MMM</t>
  </si>
  <si>
    <t>3M COMPANY</t>
  </si>
  <si>
    <t>Mask and Tape</t>
  </si>
  <si>
    <t>PG</t>
  </si>
  <si>
    <t>Shampoo</t>
  </si>
  <si>
    <t>Price/Cash Flow (MRQ)</t>
  </si>
  <si>
    <t>CRWD</t>
  </si>
  <si>
    <t>CROWDSTRIKE HOLDINGS INC</t>
  </si>
  <si>
    <t>Cyber security</t>
  </si>
  <si>
    <t>ELASTIC NV</t>
  </si>
  <si>
    <t>ESTC</t>
  </si>
  <si>
    <t>Elastic Search</t>
  </si>
  <si>
    <t>Hotel</t>
  </si>
  <si>
    <t>H</t>
  </si>
  <si>
    <t>HYATT HOTELS CORPORATION</t>
  </si>
  <si>
    <t>MGM</t>
  </si>
  <si>
    <t>MGM RESORTS INTERNATIONAL</t>
  </si>
  <si>
    <t>WYNN</t>
  </si>
  <si>
    <t>WYNN RESORTS LTD</t>
  </si>
  <si>
    <t>HILTON WORLDWIDE HOLDINGS</t>
  </si>
  <si>
    <t>HLT</t>
  </si>
  <si>
    <t>MARRIOTT INTERNATIONAL</t>
  </si>
  <si>
    <t>MAR</t>
  </si>
  <si>
    <t>PROCTER AND GAMBLE CO</t>
  </si>
  <si>
    <t>PBR</t>
  </si>
  <si>
    <t>Oil and gas in Brazil</t>
  </si>
  <si>
    <t>PETROLEO BRASILEIRO</t>
  </si>
  <si>
    <t>BP</t>
  </si>
  <si>
    <t>BP PLC</t>
  </si>
  <si>
    <t>Oil and gas in British</t>
  </si>
  <si>
    <t>Drill and refinery in Dutch</t>
  </si>
  <si>
    <t>GES</t>
  </si>
  <si>
    <t>GUESS INC</t>
  </si>
  <si>
    <t>Clothes</t>
  </si>
  <si>
    <t>BCS</t>
  </si>
  <si>
    <t>CS</t>
  </si>
  <si>
    <t>RBS</t>
  </si>
  <si>
    <t>BARCLAYS PLC</t>
  </si>
  <si>
    <t>UBS</t>
  </si>
  <si>
    <t>CREDIT SUISSE</t>
  </si>
  <si>
    <t>ROYAL BANK OF SCOTLAND GROUP</t>
  </si>
  <si>
    <t>UBS GROUP AG</t>
  </si>
  <si>
    <t>Year</t>
  </si>
  <si>
    <t>Sales</t>
  </si>
  <si>
    <t>EBITD</t>
  </si>
  <si>
    <t>Gross Margin</t>
  </si>
  <si>
    <t>Income</t>
  </si>
  <si>
    <t>Profit Margin</t>
  </si>
  <si>
    <t>Cash Flow Operation</t>
  </si>
  <si>
    <t>CapEx</t>
  </si>
  <si>
    <t>Free Cash Flow</t>
  </si>
  <si>
    <t>Free Cash Ratio</t>
  </si>
  <si>
    <t>Free Cash Growth</t>
  </si>
  <si>
    <t>Current Asset</t>
  </si>
  <si>
    <t>Inventory</t>
  </si>
  <si>
    <t>Current Liabilities</t>
  </si>
  <si>
    <t>Quick Ratio</t>
  </si>
  <si>
    <t>Non-Curr Asset</t>
  </si>
  <si>
    <t>Intangible Assets</t>
  </si>
  <si>
    <t>LT Libilities</t>
  </si>
  <si>
    <t>Debt Ratio</t>
  </si>
  <si>
    <t>Company</t>
  </si>
  <si>
    <t>APPL</t>
  </si>
  <si>
    <t>AVTI</t>
  </si>
  <si>
    <t>EA</t>
  </si>
  <si>
    <t>TWTR</t>
  </si>
  <si>
    <t>MOMO</t>
  </si>
  <si>
    <t>OXY</t>
  </si>
  <si>
    <t>CVE</t>
  </si>
  <si>
    <t>RDS</t>
  </si>
  <si>
    <t>M</t>
  </si>
  <si>
    <t>JWN</t>
  </si>
  <si>
    <t>DIS</t>
  </si>
  <si>
    <t>NFLX</t>
  </si>
  <si>
    <t>EDU</t>
  </si>
  <si>
    <t>GE</t>
  </si>
  <si>
    <t>TimeLine</t>
  </si>
  <si>
    <t>SUM_10</t>
  </si>
  <si>
    <t>MktCap</t>
  </si>
  <si>
    <t>Return</t>
  </si>
  <si>
    <t>Remark</t>
  </si>
  <si>
    <t>cash flow</t>
  </si>
  <si>
    <t>income</t>
  </si>
  <si>
    <t>*</t>
  </si>
  <si>
    <t>EXEL</t>
  </si>
  <si>
    <t>Entertainment</t>
  </si>
  <si>
    <t>NETFLIX INC</t>
  </si>
  <si>
    <t>Movie Streaming</t>
  </si>
  <si>
    <t>WALT DISNEY</t>
  </si>
  <si>
    <t>Theme Park and Movie Streaming</t>
  </si>
  <si>
    <t>TEXAS INSTRUMENTS</t>
  </si>
  <si>
    <t>TXN</t>
  </si>
  <si>
    <t>NOKIA CORP</t>
  </si>
  <si>
    <t>NOK</t>
  </si>
  <si>
    <t>5 G station</t>
  </si>
  <si>
    <t>Equipment</t>
  </si>
  <si>
    <t>Instrument Device</t>
  </si>
  <si>
    <t>APPLIED MATERIALS</t>
  </si>
  <si>
    <t>AMAT</t>
  </si>
  <si>
    <t>Medicine</t>
  </si>
  <si>
    <t>PFIZER INC</t>
  </si>
  <si>
    <t>PFE</t>
  </si>
  <si>
    <t>MERCK AND CO INC</t>
  </si>
  <si>
    <t>MRK</t>
  </si>
  <si>
    <t>GILEAD SCIENCES</t>
  </si>
  <si>
    <t>GILD</t>
  </si>
  <si>
    <t>ABBOTT LABORATORIES</t>
  </si>
  <si>
    <t>EXELIXIS INC</t>
  </si>
  <si>
    <t>ABT</t>
  </si>
  <si>
    <t>Test</t>
  </si>
  <si>
    <t>DXCM</t>
  </si>
  <si>
    <t>Glucose monitoring</t>
  </si>
  <si>
    <t>DEXCOM INC</t>
  </si>
  <si>
    <t>JOHNSON AND JOHNSON</t>
  </si>
  <si>
    <t>JNJ</t>
  </si>
  <si>
    <t>AMGEN INC</t>
  </si>
  <si>
    <t>AMGN</t>
  </si>
  <si>
    <t>ALIGN TECHNOLOGY</t>
  </si>
  <si>
    <t>ALGN</t>
  </si>
  <si>
    <t>Dentistry Equipment</t>
  </si>
  <si>
    <t>ULTA</t>
  </si>
  <si>
    <t>ULTA BEAUTY INC</t>
  </si>
  <si>
    <t>Beauty Retail</t>
  </si>
  <si>
    <t>L BRANDS INC</t>
  </si>
  <si>
    <t>LB</t>
  </si>
  <si>
    <t>MONSTER BEVERAGE</t>
  </si>
  <si>
    <t>MNST</t>
  </si>
  <si>
    <t>Sparkling Water</t>
  </si>
  <si>
    <t>Finance</t>
  </si>
  <si>
    <t>HEALTHEQUITY INC</t>
  </si>
  <si>
    <t>HQY</t>
  </si>
  <si>
    <t>HSA account management</t>
  </si>
  <si>
    <t>Post cancer treatment</t>
  </si>
  <si>
    <t>Education</t>
  </si>
  <si>
    <t>PLURALSIGHT</t>
  </si>
  <si>
    <t>PS</t>
  </si>
  <si>
    <t>Online Education</t>
  </si>
  <si>
    <t>Security</t>
  </si>
  <si>
    <t>PING IDENTITY HOLDING</t>
  </si>
  <si>
    <t>PING</t>
  </si>
  <si>
    <t>Identity</t>
  </si>
  <si>
    <t>Digital Workflow</t>
  </si>
  <si>
    <t>Streamline enterprise management</t>
  </si>
  <si>
    <t>WORKDAY INC</t>
  </si>
  <si>
    <t>SLACK TECHNOLOGIES INC</t>
  </si>
  <si>
    <t>Workflow auto mation</t>
  </si>
  <si>
    <t>VEEVA SYSTEMS INC</t>
  </si>
  <si>
    <t>VEEV</t>
  </si>
  <si>
    <t xml:space="preserve">Pharmaceutical Online Application </t>
  </si>
  <si>
    <t>cloud security, compliance</t>
  </si>
  <si>
    <t>QLYS</t>
  </si>
  <si>
    <t>QUALYS INC</t>
  </si>
  <si>
    <t>FASTLY INC</t>
  </si>
  <si>
    <t>FSLY</t>
  </si>
  <si>
    <t>Edge cloud platform</t>
  </si>
  <si>
    <t>ZUORA INC</t>
  </si>
  <si>
    <t>ZUO</t>
  </si>
  <si>
    <t>Subscription Management</t>
  </si>
  <si>
    <t>DOCUSIGN INC</t>
  </si>
  <si>
    <t>DOCU</t>
  </si>
  <si>
    <t>Digital Signature</t>
  </si>
  <si>
    <t>Tax management</t>
  </si>
  <si>
    <t>AVALARA INC</t>
  </si>
  <si>
    <t>AVLR</t>
  </si>
  <si>
    <t>PLAN</t>
  </si>
  <si>
    <t>Cloud Planning</t>
  </si>
  <si>
    <t>ANAPLAN INC</t>
  </si>
  <si>
    <t>SPLUNK INC</t>
  </si>
  <si>
    <t>SPLK</t>
  </si>
  <si>
    <t>Big Data Search</t>
  </si>
  <si>
    <t>ADOBE INC</t>
  </si>
  <si>
    <t>ADBE</t>
  </si>
  <si>
    <t>PDF Editor</t>
  </si>
  <si>
    <t>APPF</t>
  </si>
  <si>
    <t>APPFOLIO INC</t>
  </si>
  <si>
    <t>Property Management Software</t>
  </si>
  <si>
    <t>DATADOG INC</t>
  </si>
  <si>
    <t>DDOG</t>
  </si>
  <si>
    <t>Cloud Monitoring on Server and Data</t>
  </si>
  <si>
    <t>Game</t>
  </si>
  <si>
    <t>ELECTRONIC ARTS INC</t>
  </si>
  <si>
    <t>FIFA 2018</t>
  </si>
  <si>
    <t>ACTIVISION BLIZZARD INC</t>
  </si>
  <si>
    <t>ATVI</t>
  </si>
  <si>
    <t>ZYNGA INC</t>
  </si>
  <si>
    <t>ZNGA</t>
  </si>
  <si>
    <t>Mobile Game</t>
  </si>
  <si>
    <t>SPOTIFY TECHNOLOGY</t>
  </si>
  <si>
    <t>TTWO</t>
  </si>
  <si>
    <t>TAKE-TWO INTERACTIVE</t>
  </si>
  <si>
    <t>Online Game</t>
  </si>
  <si>
    <t>SPOT</t>
  </si>
  <si>
    <t>Music Streaming</t>
  </si>
  <si>
    <t>Revenue/Employee (TTM)</t>
  </si>
  <si>
    <t>Manufacture</t>
  </si>
  <si>
    <t>TAIWAN SEMICONDUCTOR</t>
  </si>
  <si>
    <t>TSM</t>
  </si>
  <si>
    <t>Manufactor</t>
  </si>
  <si>
    <t>MAXIM INTEGRATED PRODUCTS</t>
  </si>
  <si>
    <t>MXIM</t>
  </si>
  <si>
    <t>Restaurant</t>
  </si>
  <si>
    <t>HERSHEY COMPANY</t>
  </si>
  <si>
    <t>HSY</t>
  </si>
  <si>
    <t>Chocolate</t>
  </si>
  <si>
    <t>ANHEUSER BUSCH INBEV NV</t>
  </si>
  <si>
    <t>BUD</t>
  </si>
  <si>
    <t>Beer</t>
  </si>
  <si>
    <t>COLGATE-PALMOLIVE CO</t>
  </si>
  <si>
    <t>CL</t>
  </si>
  <si>
    <t>Renewable Energy</t>
  </si>
  <si>
    <t>NEE</t>
  </si>
  <si>
    <t>NEXTERA ENERGY INC</t>
  </si>
  <si>
    <t>Mobile Payment</t>
  </si>
  <si>
    <t>PYPL</t>
  </si>
  <si>
    <t>PAYPAL</t>
  </si>
  <si>
    <t>Online payment</t>
  </si>
  <si>
    <t>COUPA SOFTWARE INC</t>
  </si>
  <si>
    <t>COUP</t>
  </si>
  <si>
    <t>Cloud Spending Management</t>
  </si>
  <si>
    <t>KIMBERLY-CLARK CORP</t>
  </si>
  <si>
    <t>KMB</t>
  </si>
  <si>
    <t>Toilet Paper</t>
  </si>
  <si>
    <t>ENERGIZER HOLDINGS</t>
  </si>
  <si>
    <t>ENR</t>
  </si>
  <si>
    <t>Battery</t>
  </si>
  <si>
    <t>K</t>
  </si>
  <si>
    <t>KELLOGG COMPANY</t>
  </si>
  <si>
    <t>Food manufactor</t>
  </si>
  <si>
    <t>KRAFT HEINZ CO</t>
  </si>
  <si>
    <t>KHC</t>
  </si>
  <si>
    <t>Grocery manufactor</t>
  </si>
  <si>
    <t>UN</t>
  </si>
  <si>
    <t>UNILEVER NV</t>
  </si>
  <si>
    <t>Soap</t>
  </si>
  <si>
    <t>GIS</t>
  </si>
  <si>
    <t>GENERAL MILLS INC</t>
  </si>
  <si>
    <t>Meet Processing</t>
  </si>
  <si>
    <t>Tooth Paste</t>
  </si>
  <si>
    <t>CAMPBELL SOUP</t>
  </si>
  <si>
    <t>CPB</t>
  </si>
  <si>
    <t>Soup</t>
  </si>
  <si>
    <t>HORMEL FOODS CORPORATION</t>
  </si>
  <si>
    <t>HRL</t>
  </si>
  <si>
    <t>Bacon</t>
  </si>
  <si>
    <t>DNKN</t>
  </si>
  <si>
    <t>DUNKIN' BRANDS GROUP INC</t>
  </si>
  <si>
    <t>Donuts</t>
  </si>
  <si>
    <t>WENDYS CO</t>
  </si>
  <si>
    <t>WEN</t>
  </si>
  <si>
    <t>Fast food</t>
  </si>
  <si>
    <t>Fashion</t>
  </si>
  <si>
    <t>FTCH</t>
  </si>
  <si>
    <t>FARFETCH LTD</t>
  </si>
  <si>
    <t>Online luxury retail</t>
  </si>
  <si>
    <t>YUM! BRANDS INC</t>
  </si>
  <si>
    <t>YUM</t>
  </si>
  <si>
    <t>Fried chicken</t>
  </si>
  <si>
    <t>GLAXOSMITHKLINE PLC</t>
  </si>
  <si>
    <t>GSK</t>
  </si>
  <si>
    <t>CARDINAL HEALTH</t>
  </si>
  <si>
    <t>Treatment</t>
  </si>
  <si>
    <t>CAH</t>
  </si>
  <si>
    <t>Healthcare product</t>
  </si>
  <si>
    <t>ABBV</t>
  </si>
  <si>
    <t>ABBVIE INC</t>
  </si>
  <si>
    <t>LOW</t>
  </si>
  <si>
    <t>Gardening</t>
  </si>
  <si>
    <t>CVS HEALTH CORPORATION</t>
  </si>
  <si>
    <t>CVS</t>
  </si>
  <si>
    <t>LOWE'S COMPANIES</t>
  </si>
  <si>
    <t>Drug store</t>
  </si>
  <si>
    <t>WALGREENS BOOTS ALLIANCE</t>
  </si>
  <si>
    <t>WBA</t>
  </si>
  <si>
    <t>ALLSTATE CORPORATION</t>
  </si>
  <si>
    <t>ALL</t>
  </si>
  <si>
    <t>Property insurance</t>
  </si>
  <si>
    <t>EBAY INC</t>
  </si>
  <si>
    <t>EBAY</t>
  </si>
  <si>
    <t>Online second hand goods</t>
  </si>
  <si>
    <t>TJX</t>
  </si>
  <si>
    <t>TJ MAX</t>
  </si>
  <si>
    <t>Discount Luxury Goods</t>
  </si>
  <si>
    <t>ROSS STORES INC</t>
  </si>
  <si>
    <t>ROST</t>
  </si>
  <si>
    <t>Discount Apartment Store</t>
  </si>
  <si>
    <t>AZO</t>
  </si>
  <si>
    <t>AUTOZONE INC</t>
  </si>
  <si>
    <t>Auto Parts</t>
  </si>
  <si>
    <t>CARMAX INC</t>
  </si>
  <si>
    <t>KMX</t>
  </si>
  <si>
    <t>Used Car Retailer</t>
  </si>
  <si>
    <t>KOHLS CORPORATION</t>
  </si>
  <si>
    <t>KSS</t>
  </si>
  <si>
    <t>Department Store</t>
  </si>
  <si>
    <t>BEST BUY CO INC</t>
  </si>
  <si>
    <t>BBY</t>
  </si>
  <si>
    <t>Electronic Products</t>
  </si>
  <si>
    <t>O REILLY AUTOMOTIVE INC</t>
  </si>
  <si>
    <t>ORLY</t>
  </si>
  <si>
    <t>MACYS INC</t>
  </si>
  <si>
    <t>NORDSTROM INC</t>
  </si>
  <si>
    <t>Fashion Department Store</t>
  </si>
  <si>
    <t>Retail</t>
  </si>
  <si>
    <t>WAYFAIR INC</t>
  </si>
  <si>
    <t>W</t>
  </si>
  <si>
    <t>Online furniture and goods</t>
  </si>
  <si>
    <t>DIGITAL REALTY TRUST INC</t>
  </si>
  <si>
    <t>DLR</t>
  </si>
  <si>
    <t>Data center facility</t>
  </si>
  <si>
    <t>IRON MOUNTAIN INC</t>
  </si>
  <si>
    <t>IRM</t>
  </si>
  <si>
    <t>Document and data center</t>
  </si>
  <si>
    <t>REALTY INCOME CORP</t>
  </si>
  <si>
    <t>O</t>
  </si>
  <si>
    <t>REIT</t>
  </si>
  <si>
    <t>NATIONAL RETAIL PROPERTIES</t>
  </si>
  <si>
    <t>NNN</t>
  </si>
  <si>
    <t>STAG INDUSTRIAL INC</t>
  </si>
  <si>
    <t>STAG</t>
  </si>
  <si>
    <t>Industry</t>
  </si>
  <si>
    <t>KITE REALTY GROUP TRUST</t>
  </si>
  <si>
    <t>KRG</t>
  </si>
  <si>
    <t>OMEGA HEALTHCARE INVESTORS</t>
  </si>
  <si>
    <t>OHI</t>
  </si>
  <si>
    <t>Healthcare</t>
  </si>
  <si>
    <t>DHC</t>
  </si>
  <si>
    <t>DIVERSIFIED HEALTHCARE TRUST</t>
  </si>
  <si>
    <t>Capital</t>
  </si>
  <si>
    <t>STORE CAPITAL CORP</t>
  </si>
  <si>
    <t>STOR</t>
  </si>
  <si>
    <t>CALL OF DUTY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</si>
</sst>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164" formatCode="0.0"/>
    <numFmt numFmtId="165" formatCode="0.0%"/>
    <numFmt numFmtId="166" formatCode="&quot;$&quot;#,##0.00"/>
  </numFmts>
  <fonts count="6">
    <font>
      <sz val="11"/>
      <color theme="1"/>
      <name val="Microsoft YaHei UI"/>
      <family val="2"/>
    </font>
    <font>
      <sz val="11"/>
      <color theme="1"/>
      <name val="Calibri"/>
      <family val="2"/>
      <scheme val="minor"/>
    </font>
    <font>
      <sz val="11"/>
      <color theme="1"/>
      <name val="Microsoft YaHei UI"/>
      <family val="2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.19999999999999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rgb="FFB2B2B2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2" fillId="4" borderId="12" applyNumberFormat="0" applyFont="0" applyAlignment="0" applyProtection="0"/>
  </cellStyleXfs>
  <cellXfs count="114">
    <xf numFmtId="0" fontId="0" fillId="0" borderId="0" xfId="0"/>
    <xf numFmtId="1" fontId="4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65" fontId="3" fillId="2" borderId="0" xfId="1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0" fontId="0" fillId="0" borderId="2" xfId="0" applyNumberFormat="1" applyBorder="1"/>
    <xf numFmtId="10" fontId="0" fillId="0" borderId="0" xfId="0" applyNumberFormat="1" applyBorder="1"/>
    <xf numFmtId="10" fontId="0" fillId="0" borderId="7" xfId="0" applyNumberFormat="1" applyBorder="1"/>
    <xf numFmtId="0" fontId="0" fillId="0" borderId="5" xfId="0" applyFill="1" applyBorder="1"/>
    <xf numFmtId="8" fontId="0" fillId="0" borderId="0" xfId="0" applyNumberFormat="1" applyBorder="1"/>
    <xf numFmtId="6" fontId="0" fillId="0" borderId="0" xfId="0" applyNumberFormat="1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" fontId="0" fillId="0" borderId="2" xfId="0" applyNumberFormat="1" applyBorder="1"/>
    <xf numFmtId="2" fontId="0" fillId="0" borderId="2" xfId="0" applyNumberFormat="1" applyBorder="1"/>
    <xf numFmtId="0" fontId="0" fillId="0" borderId="3" xfId="0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1" fontId="0" fillId="0" borderId="0" xfId="0" applyNumberFormat="1" applyBorder="1"/>
    <xf numFmtId="2" fontId="0" fillId="0" borderId="0" xfId="0" applyNumberFormat="1" applyBorder="1"/>
    <xf numFmtId="1" fontId="0" fillId="0" borderId="7" xfId="0" applyNumberFormat="1" applyBorder="1"/>
    <xf numFmtId="2" fontId="0" fillId="0" borderId="7" xfId="0" applyNumberFormat="1" applyBorder="1"/>
    <xf numFmtId="8" fontId="0" fillId="0" borderId="2" xfId="0" applyNumberFormat="1" applyBorder="1"/>
    <xf numFmtId="8" fontId="0" fillId="0" borderId="7" xfId="0" applyNumberFormat="1" applyBorder="1"/>
    <xf numFmtId="4" fontId="0" fillId="0" borderId="0" xfId="0" applyNumberFormat="1" applyBorder="1"/>
    <xf numFmtId="0" fontId="3" fillId="2" borderId="0" xfId="0" applyFont="1" applyFill="1" applyAlignment="1">
      <alignment horizontal="center" vertical="center"/>
    </xf>
    <xf numFmtId="0" fontId="0" fillId="0" borderId="0" xfId="0" applyFill="1" applyBorder="1"/>
    <xf numFmtId="166" fontId="0" fillId="0" borderId="2" xfId="0" applyNumberFormat="1" applyBorder="1"/>
    <xf numFmtId="166" fontId="0" fillId="0" borderId="0" xfId="0" applyNumberFormat="1" applyBorder="1"/>
    <xf numFmtId="2" fontId="0" fillId="0" borderId="0" xfId="0" applyNumberFormat="1" applyFill="1" applyBorder="1"/>
    <xf numFmtId="10" fontId="0" fillId="0" borderId="0" xfId="0" applyNumberFormat="1"/>
    <xf numFmtId="4" fontId="0" fillId="0" borderId="0" xfId="0" applyNumberFormat="1" applyFill="1" applyBorder="1"/>
    <xf numFmtId="0" fontId="0" fillId="0" borderId="4" xfId="0" applyBorder="1" applyAlignment="1">
      <alignment wrapText="1"/>
    </xf>
    <xf numFmtId="0" fontId="0" fillId="0" borderId="2" xfId="0" applyFill="1" applyBorder="1"/>
    <xf numFmtId="4" fontId="0" fillId="0" borderId="7" xfId="0" applyNumberFormat="1" applyBorder="1"/>
    <xf numFmtId="8" fontId="0" fillId="0" borderId="0" xfId="0" applyNumberFormat="1" applyBorder="1" applyAlignment="1">
      <alignment horizontal="right" indent="1"/>
    </xf>
    <xf numFmtId="8" fontId="0" fillId="0" borderId="7" xfId="0" applyNumberFormat="1" applyBorder="1" applyAlignment="1">
      <alignment horizontal="right" indent="1"/>
    </xf>
    <xf numFmtId="166" fontId="0" fillId="0" borderId="7" xfId="0" applyNumberFormat="1" applyBorder="1"/>
    <xf numFmtId="1" fontId="0" fillId="4" borderId="12" xfId="2" applyNumberFormat="1" applyFont="1"/>
    <xf numFmtId="8" fontId="0" fillId="4" borderId="12" xfId="2" applyNumberFormat="1" applyFont="1"/>
    <xf numFmtId="0" fontId="0" fillId="4" borderId="12" xfId="2" applyFont="1"/>
    <xf numFmtId="10" fontId="0" fillId="4" borderId="12" xfId="2" applyNumberFormat="1" applyFont="1"/>
    <xf numFmtId="2" fontId="0" fillId="4" borderId="12" xfId="2" applyNumberFormat="1" applyFont="1"/>
    <xf numFmtId="4" fontId="0" fillId="4" borderId="12" xfId="2" applyNumberFormat="1" applyFont="1"/>
    <xf numFmtId="0" fontId="0" fillId="0" borderId="4" xfId="0" applyFill="1" applyBorder="1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10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  <xf numFmtId="3" fontId="5" fillId="0" borderId="0" xfId="0" applyNumberFormat="1" applyFont="1" applyAlignment="1">
      <alignment horizontal="right" vertical="top" wrapText="1"/>
    </xf>
    <xf numFmtId="0" fontId="0" fillId="4" borderId="13" xfId="2" applyFont="1" applyBorder="1"/>
    <xf numFmtId="8" fontId="0" fillId="0" borderId="0" xfId="0" applyNumberFormat="1"/>
    <xf numFmtId="2" fontId="0" fillId="0" borderId="0" xfId="0" applyNumberFormat="1"/>
    <xf numFmtId="1" fontId="0" fillId="0" borderId="0" xfId="0" applyNumberFormat="1" applyFill="1" applyBorder="1"/>
    <xf numFmtId="166" fontId="4" fillId="3" borderId="0" xfId="0" applyNumberFormat="1" applyFont="1" applyFill="1" applyAlignment="1">
      <alignment horizontal="center" vertical="center"/>
    </xf>
    <xf numFmtId="166" fontId="0" fillId="4" borderId="12" xfId="2" applyNumberFormat="1" applyFont="1"/>
    <xf numFmtId="166" fontId="0" fillId="0" borderId="0" xfId="0" applyNumberFormat="1" applyFill="1" applyBorder="1"/>
    <xf numFmtId="166" fontId="3" fillId="2" borderId="0" xfId="1" applyNumberFormat="1" applyFont="1" applyFill="1" applyBorder="1" applyAlignment="1">
      <alignment horizontal="center" vertical="center"/>
    </xf>
    <xf numFmtId="166" fontId="0" fillId="0" borderId="0" xfId="0" applyNumberFormat="1"/>
    <xf numFmtId="166" fontId="0" fillId="0" borderId="7" xfId="0" applyNumberFormat="1" applyBorder="1" applyAlignment="1">
      <alignment horizontal="right" indent="1"/>
    </xf>
    <xf numFmtId="0" fontId="0" fillId="0" borderId="7" xfId="0" applyFill="1" applyBorder="1"/>
    <xf numFmtId="0" fontId="0" fillId="0" borderId="14" xfId="0" applyBorder="1"/>
    <xf numFmtId="1" fontId="0" fillId="5" borderId="0" xfId="0" applyNumberFormat="1" applyFill="1" applyBorder="1"/>
    <xf numFmtId="8" fontId="0" fillId="5" borderId="0" xfId="0" applyNumberFormat="1" applyFill="1" applyBorder="1"/>
    <xf numFmtId="0" fontId="0" fillId="5" borderId="0" xfId="0" applyFill="1" applyBorder="1"/>
    <xf numFmtId="10" fontId="0" fillId="5" borderId="0" xfId="0" applyNumberFormat="1" applyFill="1" applyBorder="1"/>
    <xf numFmtId="0" fontId="0" fillId="5" borderId="5" xfId="0" applyFill="1" applyBorder="1"/>
    <xf numFmtId="10" fontId="0" fillId="0" borderId="0" xfId="0" applyNumberFormat="1" applyFill="1" applyBorder="1"/>
    <xf numFmtId="0" fontId="0" fillId="5" borderId="4" xfId="0" applyFill="1" applyBorder="1"/>
    <xf numFmtId="2" fontId="0" fillId="5" borderId="0" xfId="0" applyNumberFormat="1" applyFill="1" applyBorder="1"/>
    <xf numFmtId="0" fontId="0" fillId="5" borderId="0" xfId="0" applyFill="1"/>
    <xf numFmtId="0" fontId="0" fillId="5" borderId="3" xfId="0" applyFill="1" applyBorder="1"/>
    <xf numFmtId="166" fontId="0" fillId="0" borderId="0" xfId="0" applyNumberFormat="1" applyBorder="1" applyAlignment="1">
      <alignment horizontal="right" indent="1"/>
    </xf>
    <xf numFmtId="166" fontId="0" fillId="5" borderId="0" xfId="0" applyNumberFormat="1" applyFill="1" applyBorder="1"/>
    <xf numFmtId="0" fontId="0" fillId="5" borderId="1" xfId="0" applyFill="1" applyBorder="1"/>
    <xf numFmtId="0" fontId="0" fillId="5" borderId="2" xfId="0" applyFill="1" applyBorder="1"/>
    <xf numFmtId="1" fontId="0" fillId="5" borderId="2" xfId="0" applyNumberFormat="1" applyFill="1" applyBorder="1"/>
    <xf numFmtId="8" fontId="0" fillId="5" borderId="2" xfId="0" applyNumberFormat="1" applyFill="1" applyBorder="1"/>
    <xf numFmtId="10" fontId="0" fillId="5" borderId="2" xfId="0" applyNumberFormat="1" applyFill="1" applyBorder="1"/>
    <xf numFmtId="166" fontId="0" fillId="5" borderId="2" xfId="0" applyNumberFormat="1" applyFill="1" applyBorder="1"/>
    <xf numFmtId="8" fontId="0" fillId="0" borderId="0" xfId="0" applyNumberFormat="1" applyFill="1" applyBorder="1"/>
    <xf numFmtId="7" fontId="0" fillId="0" borderId="0" xfId="0" applyNumberFormat="1" applyBorder="1"/>
    <xf numFmtId="7" fontId="0" fillId="5" borderId="0" xfId="0" applyNumberFormat="1" applyFill="1" applyBorder="1"/>
    <xf numFmtId="10" fontId="0" fillId="5" borderId="0" xfId="0" applyNumberFormat="1" applyFill="1"/>
    <xf numFmtId="2" fontId="0" fillId="5" borderId="0" xfId="0" applyNumberFormat="1" applyFill="1"/>
    <xf numFmtId="166" fontId="0" fillId="5" borderId="0" xfId="0" applyNumberFormat="1" applyFill="1"/>
    <xf numFmtId="0" fontId="0" fillId="0" borderId="0" xfId="0" applyFill="1"/>
    <xf numFmtId="166" fontId="0" fillId="0" borderId="0" xfId="0" applyNumberFormat="1" applyFill="1"/>
    <xf numFmtId="10" fontId="0" fillId="0" borderId="0" xfId="0" applyNumberFormat="1" applyFill="1"/>
    <xf numFmtId="40" fontId="0" fillId="0" borderId="0" xfId="0" applyNumberFormat="1" applyFill="1" applyBorder="1"/>
    <xf numFmtId="8" fontId="0" fillId="5" borderId="0" xfId="0" applyNumberFormat="1" applyFill="1"/>
    <xf numFmtId="0" fontId="0" fillId="5" borderId="12" xfId="2" applyFont="1" applyFill="1"/>
    <xf numFmtId="1" fontId="0" fillId="5" borderId="12" xfId="2" applyNumberFormat="1" applyFont="1" applyFill="1"/>
    <xf numFmtId="8" fontId="0" fillId="5" borderId="12" xfId="2" applyNumberFormat="1" applyFont="1" applyFill="1"/>
    <xf numFmtId="10" fontId="0" fillId="5" borderId="12" xfId="2" applyNumberFormat="1" applyFont="1" applyFill="1"/>
    <xf numFmtId="0" fontId="0" fillId="5" borderId="13" xfId="2" applyFont="1" applyFill="1" applyBorder="1"/>
  </cellXfs>
  <cellStyles count="3">
    <cellStyle name="Normal" xfId="0" builtinId="0"/>
    <cellStyle name="Note" xfId="2" builtinId="10"/>
    <cellStyle name="百分比 2" xfId="1" xr:uid="{C8AF7215-F716-4618-AD3B-896E421FAB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4BCA-42DA-4C85-9005-E70B6BE65D74}">
  <dimension ref="A1:V71"/>
  <sheetViews>
    <sheetView tabSelected="1" topLeftCell="A41" zoomScale="68" zoomScaleNormal="68" workbookViewId="0">
      <selection activeCell="G12" sqref="G12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2" width="23.52734375" customWidth="1"/>
    <col min="13" max="13" width="22.292968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 ht="14.65" customHeight="1">
      <c r="A2" s="17" t="s">
        <v>35</v>
      </c>
      <c r="B2" s="109" t="s">
        <v>3</v>
      </c>
      <c r="C2" s="109"/>
      <c r="D2" s="109"/>
      <c r="E2" s="109"/>
      <c r="F2" s="109"/>
      <c r="G2" s="110" t="s">
        <v>32</v>
      </c>
      <c r="H2" s="111">
        <v>1360</v>
      </c>
      <c r="I2" s="111">
        <v>40.58</v>
      </c>
      <c r="J2" s="109">
        <v>31.11</v>
      </c>
      <c r="K2" s="109">
        <v>14.47</v>
      </c>
      <c r="L2" s="109">
        <v>24.21</v>
      </c>
      <c r="M2" s="109">
        <v>21.96</v>
      </c>
      <c r="N2" s="109">
        <v>10.16</v>
      </c>
      <c r="O2" s="112">
        <v>7.8E-2</v>
      </c>
      <c r="P2" s="112">
        <v>0.14069999999999999</v>
      </c>
      <c r="Q2" s="112">
        <v>0.45700000000000002</v>
      </c>
      <c r="R2" s="112">
        <v>0.4289</v>
      </c>
      <c r="S2" s="112">
        <v>0.79149999999999998</v>
      </c>
      <c r="T2" s="109">
        <v>2.77</v>
      </c>
      <c r="U2" s="111">
        <v>963190</v>
      </c>
      <c r="V2" s="113" t="s">
        <v>24</v>
      </c>
    </row>
    <row r="3" spans="1:22">
      <c r="A3" s="18"/>
      <c r="B3" s="109" t="s">
        <v>2</v>
      </c>
      <c r="C3" s="109"/>
      <c r="D3" s="109"/>
      <c r="E3" s="109"/>
      <c r="F3" s="109"/>
      <c r="G3" s="110" t="s">
        <v>33</v>
      </c>
      <c r="H3" s="111">
        <v>1180</v>
      </c>
      <c r="I3" s="111">
        <v>21.65</v>
      </c>
      <c r="J3" s="109">
        <v>103.22</v>
      </c>
      <c r="K3" s="109">
        <v>21.36</v>
      </c>
      <c r="L3" s="109">
        <v>35.200000000000003</v>
      </c>
      <c r="M3" s="109">
        <v>31.65</v>
      </c>
      <c r="N3" s="109">
        <v>4.1900000000000004</v>
      </c>
      <c r="O3" s="112">
        <v>0.2581</v>
      </c>
      <c r="P3" s="112">
        <v>0.50409999999999999</v>
      </c>
      <c r="Q3" s="112">
        <v>0.13020000000000001</v>
      </c>
      <c r="R3" s="112">
        <v>0.2107</v>
      </c>
      <c r="S3" s="112">
        <v>1.2494000000000001</v>
      </c>
      <c r="T3" s="109">
        <v>2.12</v>
      </c>
      <c r="U3" s="111">
        <v>371270</v>
      </c>
      <c r="V3" s="113" t="s">
        <v>23</v>
      </c>
    </row>
    <row r="4" spans="1:22">
      <c r="A4" s="18"/>
      <c r="B4" s="11" t="s">
        <v>8</v>
      </c>
      <c r="C4" s="12" t="s">
        <v>4</v>
      </c>
      <c r="D4" s="12" t="s">
        <v>5</v>
      </c>
      <c r="E4" s="12" t="s">
        <v>6</v>
      </c>
      <c r="F4" s="12" t="s">
        <v>9</v>
      </c>
      <c r="G4" s="34" t="s">
        <v>34</v>
      </c>
      <c r="H4" s="24">
        <v>145.22</v>
      </c>
      <c r="I4" s="24">
        <v>3.69</v>
      </c>
      <c r="J4" s="12">
        <v>813.1</v>
      </c>
      <c r="K4" s="12">
        <v>5.38</v>
      </c>
      <c r="L4" s="12">
        <v>59.95</v>
      </c>
      <c r="M4" s="42">
        <v>87.98</v>
      </c>
      <c r="N4" s="12">
        <v>7.93</v>
      </c>
      <c r="O4" s="21">
        <v>0.26050000000000001</v>
      </c>
      <c r="P4" s="21">
        <v>0.4052</v>
      </c>
      <c r="Q4" s="21">
        <v>0.15429999999999999</v>
      </c>
      <c r="R4" s="21">
        <v>5.0000000000000001E-3</v>
      </c>
      <c r="S4" s="21">
        <v>0.1847</v>
      </c>
      <c r="T4" s="12">
        <v>1.02</v>
      </c>
      <c r="U4" s="24">
        <v>344000</v>
      </c>
      <c r="V4" s="13" t="s">
        <v>25</v>
      </c>
    </row>
    <row r="5" spans="1:22">
      <c r="A5" s="18"/>
      <c r="B5" s="11" t="s">
        <v>26</v>
      </c>
      <c r="C5" s="12"/>
      <c r="D5" s="12"/>
      <c r="E5" s="12"/>
      <c r="F5" s="12"/>
      <c r="G5" s="34" t="s">
        <v>27</v>
      </c>
      <c r="H5" s="24">
        <v>880.38</v>
      </c>
      <c r="I5" s="24">
        <v>30.97</v>
      </c>
      <c r="J5" s="12">
        <v>26.01</v>
      </c>
      <c r="K5" s="12">
        <v>4.59</v>
      </c>
      <c r="L5" s="12">
        <v>19.239999999999998</v>
      </c>
      <c r="M5" s="42">
        <v>15.68</v>
      </c>
      <c r="N5" s="12">
        <v>5.47</v>
      </c>
      <c r="O5" s="21">
        <v>0.19650000000000001</v>
      </c>
      <c r="P5" s="21">
        <v>0.19939999999999999</v>
      </c>
      <c r="Q5" s="21">
        <v>0.2974</v>
      </c>
      <c r="R5" s="21">
        <v>0.1779</v>
      </c>
      <c r="S5" s="21">
        <v>7.9299999999999995E-2</v>
      </c>
      <c r="T5" s="12">
        <v>3.75</v>
      </c>
      <c r="U5" s="24">
        <v>1401840</v>
      </c>
      <c r="V5" s="13" t="s">
        <v>28</v>
      </c>
    </row>
    <row r="6" spans="1:22">
      <c r="A6" s="18"/>
      <c r="B6" s="88" t="s">
        <v>7</v>
      </c>
      <c r="C6" s="88"/>
      <c r="D6" s="88"/>
      <c r="E6" s="88"/>
      <c r="F6" s="88"/>
      <c r="G6" s="88" t="s">
        <v>29</v>
      </c>
      <c r="H6" s="103">
        <v>511.19</v>
      </c>
      <c r="I6" s="103">
        <v>21.21</v>
      </c>
      <c r="J6" s="88">
        <v>27.83</v>
      </c>
      <c r="K6" s="88">
        <v>5.53</v>
      </c>
      <c r="L6" s="88">
        <v>21.12</v>
      </c>
      <c r="M6" s="88">
        <v>14.97</v>
      </c>
      <c r="N6" s="88">
        <v>7.24</v>
      </c>
      <c r="O6" s="101">
        <v>0.41489999999999999</v>
      </c>
      <c r="P6" s="101">
        <v>0.42099999999999999</v>
      </c>
      <c r="Q6" s="101">
        <v>0.49120000000000003</v>
      </c>
      <c r="R6" s="101">
        <v>0.19969999999999999</v>
      </c>
      <c r="S6" s="101">
        <v>0.10489999999999999</v>
      </c>
      <c r="T6" s="88">
        <v>4.67</v>
      </c>
      <c r="U6" s="108">
        <v>1632260</v>
      </c>
      <c r="V6" s="84" t="s">
        <v>30</v>
      </c>
    </row>
    <row r="7" spans="1:22">
      <c r="A7" s="31"/>
      <c r="B7" s="11" t="s">
        <v>45</v>
      </c>
      <c r="C7" s="12"/>
      <c r="D7" s="12"/>
      <c r="E7" s="12"/>
      <c r="F7" s="12"/>
      <c r="G7" s="34" t="s">
        <v>46</v>
      </c>
      <c r="H7" s="24">
        <v>541.99</v>
      </c>
      <c r="I7" s="24"/>
      <c r="J7" s="12">
        <v>22.12</v>
      </c>
      <c r="K7" s="12">
        <v>6.37</v>
      </c>
      <c r="L7" s="12">
        <v>18.23</v>
      </c>
      <c r="M7" s="42">
        <v>14.53</v>
      </c>
      <c r="N7" s="12">
        <v>7.56</v>
      </c>
      <c r="O7" s="21">
        <v>0.46060000000000001</v>
      </c>
      <c r="P7" s="21">
        <v>0.3584</v>
      </c>
      <c r="Q7" s="21">
        <v>0.25929999999999997</v>
      </c>
      <c r="R7" s="21">
        <v>0.2944</v>
      </c>
      <c r="S7" s="21">
        <v>0.16450000000000001</v>
      </c>
      <c r="T7" s="12">
        <v>1.47</v>
      </c>
      <c r="U7" s="24">
        <v>703600</v>
      </c>
      <c r="V7" s="13" t="s">
        <v>47</v>
      </c>
    </row>
    <row r="8" spans="1:22">
      <c r="A8" s="31"/>
      <c r="B8" s="11" t="s">
        <v>58</v>
      </c>
      <c r="C8" s="12"/>
      <c r="D8" s="12"/>
      <c r="E8" s="12"/>
      <c r="F8" s="12"/>
      <c r="G8" s="34" t="s">
        <v>59</v>
      </c>
      <c r="H8" s="24">
        <v>57.01</v>
      </c>
      <c r="I8" s="24">
        <v>3.59</v>
      </c>
      <c r="J8" s="12">
        <v>9.0500000000000007</v>
      </c>
      <c r="K8" s="12">
        <v>12.1</v>
      </c>
      <c r="L8" s="12">
        <v>8.77</v>
      </c>
      <c r="M8" s="42">
        <v>41.13</v>
      </c>
      <c r="N8" s="12">
        <v>5.2</v>
      </c>
      <c r="O8" s="21">
        <v>0.1237</v>
      </c>
      <c r="P8" s="21">
        <v>0.41670000000000001</v>
      </c>
      <c r="Q8" s="21"/>
      <c r="R8" s="21">
        <v>1.3802000000000001</v>
      </c>
      <c r="S8" s="21">
        <v>0.95050000000000001</v>
      </c>
      <c r="T8" s="12">
        <v>0.75</v>
      </c>
      <c r="U8" s="24">
        <v>348740</v>
      </c>
      <c r="V8" s="13" t="s">
        <v>60</v>
      </c>
    </row>
    <row r="9" spans="1:22">
      <c r="A9" s="31"/>
      <c r="B9" s="14"/>
      <c r="C9" s="15"/>
      <c r="D9" s="15"/>
      <c r="E9" s="15"/>
      <c r="F9" s="15"/>
      <c r="G9" s="36"/>
      <c r="H9" s="39"/>
      <c r="I9" s="39"/>
      <c r="J9" s="15"/>
      <c r="K9" s="15"/>
      <c r="L9" s="15"/>
      <c r="M9" s="15"/>
      <c r="N9" s="15"/>
      <c r="O9" s="22"/>
      <c r="P9" s="22"/>
      <c r="Q9" s="22"/>
      <c r="R9" s="22"/>
      <c r="S9" s="22"/>
      <c r="T9" s="15"/>
      <c r="U9" s="15"/>
      <c r="V9" s="16"/>
    </row>
    <row r="10" spans="1:22">
      <c r="A10" s="26" t="s">
        <v>172</v>
      </c>
      <c r="B10" s="93" t="s">
        <v>67</v>
      </c>
      <c r="C10" s="93"/>
      <c r="D10" s="93"/>
      <c r="E10" s="93"/>
      <c r="F10" s="93"/>
      <c r="G10" s="93" t="s">
        <v>68</v>
      </c>
      <c r="H10" s="97">
        <v>68.739999999999995</v>
      </c>
      <c r="I10" s="93"/>
      <c r="J10" s="93"/>
      <c r="K10" s="93">
        <v>26.58</v>
      </c>
      <c r="L10" s="93"/>
      <c r="M10" s="93">
        <v>1340.61</v>
      </c>
      <c r="N10" s="93">
        <v>42.63</v>
      </c>
      <c r="O10" s="96">
        <v>0.71940000000000004</v>
      </c>
      <c r="P10" s="96">
        <v>0.38279999999999997</v>
      </c>
      <c r="Q10" s="96">
        <v>-6.6799999999999998E-2</v>
      </c>
      <c r="R10" s="96">
        <v>-4.9299999999999997E-2</v>
      </c>
      <c r="S10" s="96">
        <v>5.0299999999999997E-2</v>
      </c>
      <c r="T10" s="93">
        <v>10.65</v>
      </c>
      <c r="U10" s="95">
        <v>315630</v>
      </c>
      <c r="V10" s="89" t="s">
        <v>69</v>
      </c>
    </row>
    <row r="11" spans="1:22">
      <c r="A11" s="31"/>
      <c r="B11" s="82" t="s">
        <v>173</v>
      </c>
      <c r="C11" s="82"/>
      <c r="D11" s="82"/>
      <c r="E11" s="82"/>
      <c r="F11" s="82"/>
      <c r="G11" s="82" t="s">
        <v>174</v>
      </c>
      <c r="H11" s="91">
        <v>11.1</v>
      </c>
      <c r="I11" s="81">
        <v>2.4E-2</v>
      </c>
      <c r="J11" s="82">
        <v>74.06</v>
      </c>
      <c r="K11" s="82">
        <v>21.24</v>
      </c>
      <c r="L11" s="82">
        <v>84.54</v>
      </c>
      <c r="M11" s="82">
        <v>50.34</v>
      </c>
      <c r="N11" s="82">
        <v>16.62</v>
      </c>
      <c r="O11" s="83">
        <v>0.71509999999999996</v>
      </c>
      <c r="P11" s="83">
        <v>1.8495999999999999</v>
      </c>
      <c r="Q11" s="83">
        <v>0.20250000000000001</v>
      </c>
      <c r="R11" s="83">
        <v>0.2094</v>
      </c>
      <c r="S11" s="83">
        <v>0.30930000000000002</v>
      </c>
      <c r="T11" s="82">
        <v>1.61</v>
      </c>
      <c r="U11" s="81">
        <v>504620</v>
      </c>
      <c r="V11" s="84" t="s">
        <v>175</v>
      </c>
    </row>
    <row r="12" spans="1:22">
      <c r="A12" s="31"/>
      <c r="B12" s="11" t="s">
        <v>176</v>
      </c>
      <c r="C12" s="12"/>
      <c r="D12" s="12"/>
      <c r="E12" s="12"/>
      <c r="F12" s="12"/>
      <c r="G12" s="34" t="s">
        <v>176</v>
      </c>
      <c r="H12" s="24">
        <v>14.6</v>
      </c>
      <c r="I12" s="24">
        <v>-6.3469999999999999E-2</v>
      </c>
      <c r="J12" s="12"/>
      <c r="K12" s="42">
        <v>28.76</v>
      </c>
      <c r="L12" s="12"/>
      <c r="M12" s="12"/>
      <c r="N12" s="42">
        <v>8.91</v>
      </c>
      <c r="O12" s="21">
        <v>0.28689999999999999</v>
      </c>
      <c r="P12" s="21">
        <v>3.0700000000000002E-2</v>
      </c>
      <c r="Q12" s="21">
        <v>-4.0300000000000002E-2</v>
      </c>
      <c r="R12" s="21">
        <v>-0.12089999999999999</v>
      </c>
      <c r="S12" s="21">
        <v>0.60019999999999996</v>
      </c>
      <c r="T12" s="45">
        <v>2.62</v>
      </c>
      <c r="U12" s="98">
        <v>684190</v>
      </c>
      <c r="V12" s="13" t="s">
        <v>177</v>
      </c>
    </row>
    <row r="13" spans="1:22">
      <c r="A13" s="31"/>
      <c r="B13" s="11" t="s">
        <v>70</v>
      </c>
      <c r="G13" t="s">
        <v>71</v>
      </c>
      <c r="H13" s="69">
        <v>7.92</v>
      </c>
      <c r="I13" s="69">
        <v>2.274E-2</v>
      </c>
      <c r="J13">
        <v>319.26</v>
      </c>
      <c r="K13">
        <v>21.11</v>
      </c>
      <c r="L13">
        <v>201.73</v>
      </c>
      <c r="M13">
        <v>55.02</v>
      </c>
      <c r="N13">
        <v>18.55</v>
      </c>
      <c r="O13" s="46">
        <v>0.50670000000000004</v>
      </c>
      <c r="P13" s="46">
        <v>0.11360000000000001</v>
      </c>
      <c r="Q13" s="46">
        <v>0.111</v>
      </c>
      <c r="R13" s="46">
        <v>7.3899999999999993E-2</v>
      </c>
      <c r="S13" s="46">
        <v>1.7283999999999999</v>
      </c>
      <c r="T13">
        <v>2.8</v>
      </c>
      <c r="U13" s="69">
        <v>348260</v>
      </c>
      <c r="V13" s="13" t="s">
        <v>72</v>
      </c>
    </row>
    <row r="14" spans="1:22">
      <c r="A14" s="31"/>
      <c r="B14" s="11" t="s">
        <v>114</v>
      </c>
      <c r="C14" s="12"/>
      <c r="D14" s="12"/>
      <c r="E14" s="12"/>
      <c r="F14" s="12"/>
      <c r="G14" s="34" t="s">
        <v>115</v>
      </c>
      <c r="H14" s="24">
        <v>37.369999999999997</v>
      </c>
      <c r="I14" s="24">
        <v>0.50673999999999997</v>
      </c>
      <c r="J14" s="12">
        <v>51.99</v>
      </c>
      <c r="K14" s="42"/>
      <c r="L14" s="12"/>
      <c r="M14" s="12"/>
      <c r="N14" s="42">
        <v>26.15</v>
      </c>
      <c r="O14" s="21">
        <v>0.41260000000000002</v>
      </c>
      <c r="P14" s="21">
        <v>0.77390000000000003</v>
      </c>
      <c r="Q14" s="21">
        <v>4.3999999999999997E-2</v>
      </c>
      <c r="R14" s="21">
        <v>-0.3468</v>
      </c>
      <c r="S14" s="21">
        <v>1.4045000000000001</v>
      </c>
      <c r="T14" s="45">
        <v>1.1200000000000001</v>
      </c>
      <c r="U14" s="98">
        <v>419880</v>
      </c>
      <c r="V14" s="13" t="s">
        <v>111</v>
      </c>
    </row>
    <row r="15" spans="1:22">
      <c r="A15" s="31"/>
      <c r="B15" s="11" t="s">
        <v>112</v>
      </c>
      <c r="C15" s="12"/>
      <c r="D15" s="12"/>
      <c r="E15" s="12"/>
      <c r="F15" s="12"/>
      <c r="G15" s="34" t="s">
        <v>113</v>
      </c>
      <c r="H15" s="24">
        <v>14.93</v>
      </c>
      <c r="I15" s="24">
        <v>-5.3240000000000003E-2</v>
      </c>
      <c r="J15" s="12"/>
      <c r="K15" s="42">
        <v>3.58</v>
      </c>
      <c r="L15" s="12"/>
      <c r="M15" s="12"/>
      <c r="N15" s="42">
        <v>12.77</v>
      </c>
      <c r="O15" s="21">
        <v>0.6643</v>
      </c>
      <c r="P15" s="21">
        <v>0.51060000000000005</v>
      </c>
      <c r="Q15" s="21">
        <v>-0.21479999999999999</v>
      </c>
      <c r="R15" s="21">
        <v>-7.5899999999999995E-2</v>
      </c>
      <c r="S15" s="21">
        <v>0.14960000000000001</v>
      </c>
      <c r="T15" s="45">
        <v>8.56</v>
      </c>
      <c r="U15" s="98">
        <v>390520</v>
      </c>
      <c r="V15" s="13" t="s">
        <v>116</v>
      </c>
    </row>
    <row r="16" spans="1:22">
      <c r="A16" s="31"/>
      <c r="B16" s="11" t="s">
        <v>73</v>
      </c>
      <c r="C16" s="12"/>
      <c r="D16" s="12"/>
      <c r="E16" s="12"/>
      <c r="F16" s="12"/>
      <c r="G16" s="34" t="s">
        <v>74</v>
      </c>
      <c r="H16" s="24">
        <v>41.83</v>
      </c>
      <c r="I16" s="24"/>
      <c r="J16" s="40">
        <v>1667.33</v>
      </c>
      <c r="K16" s="12">
        <v>53.81</v>
      </c>
      <c r="L16" s="12">
        <v>989.03</v>
      </c>
      <c r="M16" s="12">
        <v>583.32000000000005</v>
      </c>
      <c r="N16" s="12">
        <v>66.319999999999993</v>
      </c>
      <c r="O16" s="21">
        <v>0.32669999999999999</v>
      </c>
      <c r="P16" s="21">
        <v>1.0944</v>
      </c>
      <c r="Q16" s="21">
        <v>4.6800000000000001E-2</v>
      </c>
      <c r="R16" s="21">
        <v>3.3000000000000002E-2</v>
      </c>
      <c r="S16" s="21">
        <v>8.6900000000000005E-2</v>
      </c>
      <c r="T16" s="12">
        <v>3.63</v>
      </c>
      <c r="U16" s="24">
        <v>245920</v>
      </c>
      <c r="V16" s="13" t="s">
        <v>75</v>
      </c>
    </row>
    <row r="17" spans="1:22">
      <c r="A17" s="31"/>
      <c r="B17" s="11"/>
      <c r="C17" s="12"/>
      <c r="D17" s="12"/>
      <c r="E17" s="12"/>
      <c r="F17" s="12"/>
      <c r="G17" s="34"/>
      <c r="H17" s="24"/>
      <c r="I17" s="24"/>
      <c r="J17" s="40"/>
      <c r="K17" s="12"/>
      <c r="L17" s="12"/>
      <c r="M17" s="12"/>
      <c r="N17" s="12"/>
      <c r="O17" s="21"/>
      <c r="P17" s="21"/>
      <c r="Q17" s="21"/>
      <c r="R17" s="21"/>
      <c r="S17" s="21"/>
      <c r="T17" s="12"/>
      <c r="U17" s="40"/>
      <c r="V17" s="13"/>
    </row>
    <row r="18" spans="1:22">
      <c r="A18" s="31"/>
      <c r="B18" s="11"/>
      <c r="C18" s="12"/>
      <c r="D18" s="12"/>
      <c r="E18" s="12"/>
      <c r="F18" s="12"/>
      <c r="G18" s="34"/>
      <c r="H18" s="24"/>
      <c r="I18" s="24"/>
      <c r="J18" s="40"/>
      <c r="K18" s="42"/>
      <c r="L18" s="12"/>
      <c r="M18" s="42"/>
      <c r="N18" s="42"/>
      <c r="O18" s="21"/>
      <c r="P18" s="21"/>
      <c r="Q18" s="21"/>
      <c r="R18" s="21"/>
      <c r="S18" s="21"/>
      <c r="T18" s="45"/>
      <c r="U18" s="47"/>
      <c r="V18" s="13"/>
    </row>
    <row r="19" spans="1:22">
      <c r="A19" s="31"/>
      <c r="B19" s="11"/>
      <c r="C19" s="12"/>
      <c r="D19" s="12"/>
      <c r="E19" s="12"/>
      <c r="F19" s="12"/>
      <c r="G19" s="12"/>
      <c r="H19" s="34"/>
      <c r="I19" s="3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40"/>
      <c r="V19" s="13"/>
    </row>
    <row r="20" spans="1:22">
      <c r="A20" s="31"/>
      <c r="B20" s="11"/>
      <c r="C20" s="12"/>
      <c r="D20" s="12"/>
      <c r="E20" s="12"/>
      <c r="F20" s="12"/>
      <c r="G20" s="34"/>
      <c r="H20" s="24"/>
      <c r="I20" s="24"/>
      <c r="J20" s="40"/>
      <c r="K20" s="42"/>
      <c r="L20" s="12"/>
      <c r="M20" s="42"/>
      <c r="N20" s="42"/>
      <c r="O20" s="21"/>
      <c r="P20" s="21"/>
      <c r="Q20" s="21"/>
      <c r="R20" s="21"/>
      <c r="S20" s="21"/>
      <c r="T20" s="45"/>
      <c r="U20" s="47"/>
      <c r="V20" s="16"/>
    </row>
    <row r="21" spans="1:22">
      <c r="A21" s="26" t="s">
        <v>439</v>
      </c>
      <c r="B21" s="8" t="s">
        <v>169</v>
      </c>
      <c r="C21" s="9"/>
      <c r="D21" s="9"/>
      <c r="E21" s="9"/>
      <c r="F21" s="9"/>
      <c r="G21" s="28" t="s">
        <v>170</v>
      </c>
      <c r="H21" s="38">
        <v>18.600000000000001</v>
      </c>
      <c r="I21" s="38">
        <v>4.0160000000000001E-2</v>
      </c>
      <c r="J21" s="9"/>
      <c r="K21" s="49">
        <v>55.63</v>
      </c>
      <c r="L21" s="9"/>
      <c r="M21" s="9"/>
      <c r="N21" s="9">
        <v>30.7</v>
      </c>
      <c r="O21" s="20">
        <v>0.46820000000000001</v>
      </c>
      <c r="P21" s="20">
        <v>0.2059</v>
      </c>
      <c r="Q21" s="20">
        <v>-0.28079999999999999</v>
      </c>
      <c r="R21" s="20">
        <v>-0.64580000000000004</v>
      </c>
      <c r="S21" s="20">
        <v>2.7242999999999999</v>
      </c>
      <c r="T21" s="9">
        <v>2</v>
      </c>
      <c r="U21" s="9"/>
      <c r="V21" s="10" t="s">
        <v>171</v>
      </c>
    </row>
    <row r="22" spans="1:22">
      <c r="A22" s="31"/>
      <c r="B22" s="11" t="s">
        <v>309</v>
      </c>
      <c r="C22" s="12"/>
      <c r="D22" s="12"/>
      <c r="E22" s="12"/>
      <c r="F22" s="12"/>
      <c r="G22" s="34" t="s">
        <v>308</v>
      </c>
      <c r="H22" s="24">
        <v>15.33</v>
      </c>
      <c r="I22" s="24">
        <v>1.2460000000000001E-2</v>
      </c>
      <c r="J22" s="40"/>
      <c r="K22" s="42">
        <v>35.58</v>
      </c>
      <c r="L22" s="12"/>
      <c r="M22" s="42">
        <v>-179.93</v>
      </c>
      <c r="N22" s="42">
        <v>31.45</v>
      </c>
      <c r="O22" s="21">
        <v>0.32300000000000001</v>
      </c>
      <c r="P22" s="21">
        <v>-1.5299999999999999E-2</v>
      </c>
      <c r="Q22" s="21">
        <v>-0.25459999999999999</v>
      </c>
      <c r="R22" s="21">
        <v>-0.3332</v>
      </c>
      <c r="S22" s="21"/>
      <c r="T22" s="45">
        <v>2.2799999999999998</v>
      </c>
      <c r="U22" s="45"/>
      <c r="V22" s="13" t="s">
        <v>310</v>
      </c>
    </row>
    <row r="23" spans="1:22">
      <c r="A23" s="31"/>
      <c r="B23" s="11" t="s">
        <v>440</v>
      </c>
      <c r="G23" t="s">
        <v>441</v>
      </c>
      <c r="H23" s="69">
        <v>1.89</v>
      </c>
      <c r="I23" s="69">
        <v>-2.8999999999999998E-3</v>
      </c>
      <c r="K23">
        <v>2.94</v>
      </c>
      <c r="L23">
        <v>59.19</v>
      </c>
      <c r="M23">
        <v>43.53</v>
      </c>
      <c r="N23">
        <v>7.67</v>
      </c>
      <c r="O23" s="21">
        <v>7.0800000000000002E-2</v>
      </c>
      <c r="P23" s="21">
        <v>-8.14E-2</v>
      </c>
      <c r="Q23" s="21">
        <v>0.1797</v>
      </c>
      <c r="R23" s="21">
        <v>-2.3999999999999998E-3</v>
      </c>
      <c r="S23" s="21">
        <v>7.17E-2</v>
      </c>
      <c r="T23">
        <v>3.36</v>
      </c>
      <c r="V23" s="13" t="s">
        <v>442</v>
      </c>
    </row>
    <row r="24" spans="1:22">
      <c r="A24" s="31"/>
      <c r="B24" s="11" t="s">
        <v>453</v>
      </c>
      <c r="C24" s="12"/>
      <c r="D24" s="12"/>
      <c r="E24" s="12"/>
      <c r="F24" s="12"/>
      <c r="G24" s="2" t="s">
        <v>452</v>
      </c>
      <c r="H24" s="24">
        <v>4.0999999999999996</v>
      </c>
      <c r="I24" s="24">
        <v>0.13303000000000001</v>
      </c>
      <c r="J24" s="40">
        <v>62.38</v>
      </c>
      <c r="K24" s="42">
        <v>10.88</v>
      </c>
      <c r="L24" s="42">
        <v>12.11</v>
      </c>
      <c r="M24" s="42">
        <v>40.72</v>
      </c>
      <c r="N24" s="42">
        <v>12.73</v>
      </c>
      <c r="O24" s="21">
        <v>0.19209999999999999</v>
      </c>
      <c r="P24" s="21">
        <v>0.18990000000000001</v>
      </c>
      <c r="Q24" s="21">
        <v>0.32929999999999998</v>
      </c>
      <c r="R24" s="21">
        <v>0.18429999999999999</v>
      </c>
      <c r="S24" s="21">
        <v>0.1341</v>
      </c>
      <c r="T24" s="45">
        <v>1.8</v>
      </c>
      <c r="U24" s="45"/>
      <c r="V24" s="13" t="s">
        <v>451</v>
      </c>
    </row>
    <row r="25" spans="1:22">
      <c r="A25" s="31"/>
      <c r="B25" s="11"/>
      <c r="C25" s="12"/>
      <c r="D25" s="12"/>
      <c r="E25" s="12"/>
      <c r="F25" s="12"/>
      <c r="G25" s="2"/>
      <c r="H25" s="24"/>
      <c r="I25" s="24"/>
      <c r="J25" s="40"/>
      <c r="K25" s="42"/>
      <c r="L25" s="42"/>
      <c r="M25" s="42"/>
      <c r="N25" s="42"/>
      <c r="O25" s="21"/>
      <c r="P25" s="21"/>
      <c r="Q25" s="21"/>
      <c r="R25" s="21"/>
      <c r="S25" s="21"/>
      <c r="T25" s="45"/>
      <c r="U25" s="45"/>
      <c r="V25" s="13"/>
    </row>
    <row r="26" spans="1:22">
      <c r="A26" s="26" t="s">
        <v>481</v>
      </c>
      <c r="B26" s="8" t="s">
        <v>482</v>
      </c>
      <c r="C26" s="9"/>
      <c r="D26" s="9"/>
      <c r="E26" s="9"/>
      <c r="F26" s="9"/>
      <c r="G26" s="28" t="s">
        <v>366</v>
      </c>
      <c r="H26" s="38">
        <v>33.200000000000003</v>
      </c>
      <c r="I26" s="38">
        <v>1.76</v>
      </c>
      <c r="J26" s="9">
        <v>12.01</v>
      </c>
      <c r="K26" s="49">
        <v>5.13</v>
      </c>
      <c r="L26" s="9">
        <v>11.29</v>
      </c>
      <c r="M26" s="9">
        <v>21.56</v>
      </c>
      <c r="N26" s="9">
        <v>6.24</v>
      </c>
      <c r="O26" s="20">
        <v>6.7199999999999996E-2</v>
      </c>
      <c r="P26" s="20">
        <v>0.40920000000000001</v>
      </c>
      <c r="Q26" s="20">
        <v>0.2611</v>
      </c>
      <c r="R26" s="20">
        <v>0.43190000000000001</v>
      </c>
      <c r="S26" s="20">
        <v>0.1711</v>
      </c>
      <c r="T26" s="9">
        <v>3.08</v>
      </c>
      <c r="U26" s="38">
        <v>555460</v>
      </c>
      <c r="V26" s="10" t="s">
        <v>483</v>
      </c>
    </row>
    <row r="27" spans="1:22">
      <c r="A27" s="31"/>
      <c r="B27" s="11" t="s">
        <v>484</v>
      </c>
      <c r="C27" s="12"/>
      <c r="D27" s="12"/>
      <c r="E27" s="12"/>
      <c r="F27" s="12"/>
      <c r="G27" s="34" t="s">
        <v>485</v>
      </c>
      <c r="H27" s="24">
        <v>48.99</v>
      </c>
      <c r="I27" s="24">
        <v>1.72</v>
      </c>
      <c r="J27" s="40">
        <v>32.68</v>
      </c>
      <c r="K27" s="42">
        <v>4.0199999999999996</v>
      </c>
      <c r="L27" s="42">
        <v>23.6</v>
      </c>
      <c r="M27" s="42">
        <v>18.2</v>
      </c>
      <c r="N27" s="42">
        <v>7.54</v>
      </c>
      <c r="O27" s="21">
        <v>8.0399999999999999E-2</v>
      </c>
      <c r="P27" s="21">
        <v>0.1162</v>
      </c>
      <c r="Q27" s="21">
        <v>0.35639999999999999</v>
      </c>
      <c r="R27" s="21">
        <v>0.1237</v>
      </c>
      <c r="S27" s="21">
        <v>0.23019999999999999</v>
      </c>
      <c r="T27" s="45">
        <v>2.91</v>
      </c>
      <c r="U27" s="24">
        <v>705330</v>
      </c>
      <c r="V27" s="13" t="s">
        <v>632</v>
      </c>
    </row>
    <row r="28" spans="1:22">
      <c r="A28" s="31"/>
      <c r="B28" s="11" t="s">
        <v>486</v>
      </c>
      <c r="G28" t="s">
        <v>487</v>
      </c>
      <c r="H28" s="69">
        <v>7.16</v>
      </c>
      <c r="I28" s="69">
        <v>0.23919000000000001</v>
      </c>
      <c r="J28" s="47">
        <v>188.5</v>
      </c>
      <c r="K28">
        <v>3.85</v>
      </c>
      <c r="L28">
        <v>58.53</v>
      </c>
      <c r="M28">
        <v>111.05</v>
      </c>
      <c r="N28">
        <v>5.37</v>
      </c>
      <c r="O28" s="21">
        <v>0.13869999999999999</v>
      </c>
      <c r="P28" s="21">
        <v>-3.2300000000000002E-2</v>
      </c>
      <c r="Q28" s="21">
        <v>4.3E-3</v>
      </c>
      <c r="R28" s="21">
        <v>2.2700000000000001E-2</v>
      </c>
      <c r="S28" s="21">
        <v>0.36270000000000002</v>
      </c>
      <c r="T28">
        <v>1.73</v>
      </c>
      <c r="U28" s="69">
        <v>701890</v>
      </c>
      <c r="V28" s="13" t="s">
        <v>488</v>
      </c>
    </row>
    <row r="29" spans="1:22">
      <c r="A29" s="31"/>
      <c r="B29" s="11" t="s">
        <v>491</v>
      </c>
      <c r="C29" s="12"/>
      <c r="D29" s="12"/>
      <c r="E29" s="12"/>
      <c r="F29" s="12"/>
      <c r="G29" s="2" t="s">
        <v>490</v>
      </c>
      <c r="H29" s="24">
        <v>13.72</v>
      </c>
      <c r="I29" s="24">
        <v>0.83518000000000003</v>
      </c>
      <c r="J29" s="40">
        <v>40.76</v>
      </c>
      <c r="K29" s="42">
        <v>6.28</v>
      </c>
      <c r="L29" s="42">
        <v>33.6</v>
      </c>
      <c r="M29" s="42">
        <v>18.93</v>
      </c>
      <c r="N29" s="42">
        <v>4.7699999999999996</v>
      </c>
      <c r="O29" s="21">
        <v>2.5700000000000001E-2</v>
      </c>
      <c r="P29" s="21">
        <v>9.7999999999999997E-3</v>
      </c>
      <c r="Q29" s="21">
        <v>0.15060000000000001</v>
      </c>
      <c r="R29" s="21">
        <v>0.1555</v>
      </c>
      <c r="S29" s="21">
        <v>7.3099999999999998E-2</v>
      </c>
      <c r="T29" s="45">
        <v>1.51</v>
      </c>
      <c r="U29" s="69">
        <v>585910</v>
      </c>
      <c r="V29" s="13" t="s">
        <v>492</v>
      </c>
    </row>
    <row r="30" spans="1:22">
      <c r="A30" s="31"/>
      <c r="B30" s="11"/>
      <c r="H30"/>
      <c r="I30"/>
      <c r="O30" s="21"/>
      <c r="P30" s="21"/>
      <c r="Q30" s="21"/>
      <c r="R30" s="21"/>
      <c r="S30" s="21"/>
      <c r="U30" s="76"/>
      <c r="V30" s="13"/>
    </row>
    <row r="31" spans="1:22">
      <c r="A31" s="26" t="s">
        <v>65</v>
      </c>
      <c r="B31" s="8" t="s">
        <v>48</v>
      </c>
      <c r="C31" s="9"/>
      <c r="D31" s="9"/>
      <c r="E31" s="9"/>
      <c r="F31" s="9"/>
      <c r="G31" s="28" t="s">
        <v>49</v>
      </c>
      <c r="H31" s="38">
        <v>17.07</v>
      </c>
      <c r="I31" s="38">
        <v>0.49623</v>
      </c>
      <c r="J31" s="9">
        <v>36.200000000000003</v>
      </c>
      <c r="K31" s="49">
        <v>4.95</v>
      </c>
      <c r="L31" s="9">
        <v>19.38</v>
      </c>
      <c r="M31" s="9">
        <v>18.309999999999999</v>
      </c>
      <c r="N31" s="9">
        <v>5.92</v>
      </c>
      <c r="O31" s="20">
        <v>8.0600000000000005E-2</v>
      </c>
      <c r="P31" s="20">
        <v>8.7499999999999994E-2</v>
      </c>
      <c r="Q31" s="20">
        <v>0.34200000000000003</v>
      </c>
      <c r="R31" s="20">
        <v>0.13819999999999999</v>
      </c>
      <c r="S31" s="20">
        <v>0.73029999999999995</v>
      </c>
      <c r="T31" s="9">
        <v>3.28</v>
      </c>
      <c r="U31" s="43">
        <v>382110</v>
      </c>
      <c r="V31" s="10" t="s">
        <v>50</v>
      </c>
    </row>
    <row r="32" spans="1:22">
      <c r="A32" s="31"/>
      <c r="B32" s="11" t="s">
        <v>51</v>
      </c>
      <c r="C32" s="12"/>
      <c r="D32" s="12"/>
      <c r="E32" s="12"/>
      <c r="F32" s="12"/>
      <c r="G32" s="34" t="s">
        <v>52</v>
      </c>
      <c r="H32" s="24">
        <v>8.85</v>
      </c>
      <c r="I32" s="24">
        <v>-3.3099999999999997E-2</v>
      </c>
      <c r="J32" s="40"/>
      <c r="K32" s="42">
        <v>44.09</v>
      </c>
      <c r="L32" s="12"/>
      <c r="M32" s="42"/>
      <c r="N32" s="42">
        <v>20.62</v>
      </c>
      <c r="O32" s="21">
        <v>0.45229999999999998</v>
      </c>
      <c r="P32" s="21">
        <v>0.1799</v>
      </c>
      <c r="Q32" s="21">
        <v>-0.30940000000000001</v>
      </c>
      <c r="R32" s="21">
        <v>-0.89</v>
      </c>
      <c r="S32" s="21">
        <v>11.9099</v>
      </c>
      <c r="T32" s="45">
        <v>3.37</v>
      </c>
      <c r="U32" s="74">
        <v>232610</v>
      </c>
      <c r="V32" s="13" t="s">
        <v>53</v>
      </c>
    </row>
    <row r="33" spans="1:22">
      <c r="A33" s="31"/>
      <c r="B33" s="11" t="s">
        <v>54</v>
      </c>
      <c r="G33" t="s">
        <v>55</v>
      </c>
      <c r="H33" s="69">
        <v>2.2799999999999998</v>
      </c>
      <c r="I33" s="69">
        <v>-4.403E-2</v>
      </c>
      <c r="K33">
        <v>1.49</v>
      </c>
      <c r="N33">
        <v>2.76</v>
      </c>
      <c r="O33" s="21">
        <v>0.36749999999999999</v>
      </c>
      <c r="P33" s="21">
        <v>4.6699999999999998E-2</v>
      </c>
      <c r="Q33" s="21">
        <v>-0.31180000000000002</v>
      </c>
      <c r="R33" s="21">
        <v>-0.22950000000000001</v>
      </c>
      <c r="S33" s="21">
        <v>0.14699999999999999</v>
      </c>
      <c r="T33">
        <v>1.31</v>
      </c>
      <c r="U33" s="76"/>
      <c r="V33" s="13" t="s">
        <v>53</v>
      </c>
    </row>
    <row r="34" spans="1:22">
      <c r="A34" s="31"/>
      <c r="B34" s="11" t="s">
        <v>117</v>
      </c>
      <c r="G34" t="s">
        <v>118</v>
      </c>
      <c r="H34">
        <v>56.76</v>
      </c>
      <c r="I34" s="69">
        <v>0.97108000000000005</v>
      </c>
      <c r="J34" s="12">
        <v>94.51</v>
      </c>
      <c r="K34" s="12">
        <v>37.380000000000003</v>
      </c>
      <c r="L34" s="12">
        <v>63.94</v>
      </c>
      <c r="M34" s="42">
        <v>19.91</v>
      </c>
      <c r="N34" s="42">
        <v>16.239999999999998</v>
      </c>
      <c r="O34" s="21">
        <v>0.3836</v>
      </c>
      <c r="P34" s="21">
        <v>0.44950000000000001</v>
      </c>
      <c r="Q34" s="21">
        <v>8.5199999999999998E-2</v>
      </c>
      <c r="R34" s="21">
        <v>0.41689999999999999</v>
      </c>
      <c r="S34" s="21">
        <v>0.53139999999999998</v>
      </c>
      <c r="T34" s="35">
        <v>1.07</v>
      </c>
      <c r="U34" s="44">
        <v>358490</v>
      </c>
      <c r="V34" s="23" t="s">
        <v>443</v>
      </c>
    </row>
    <row r="35" spans="1:22">
      <c r="A35" s="31"/>
      <c r="B35" s="11" t="s">
        <v>445</v>
      </c>
      <c r="G35" s="12" t="s">
        <v>110</v>
      </c>
      <c r="H35" s="24">
        <v>34.590000000000003</v>
      </c>
      <c r="I35" s="24">
        <v>0.52159999999999995</v>
      </c>
      <c r="J35" s="40"/>
      <c r="K35" s="42">
        <v>15.07</v>
      </c>
      <c r="L35" s="12"/>
      <c r="M35" s="12"/>
      <c r="N35" s="42">
        <v>9.41</v>
      </c>
      <c r="O35" s="21">
        <v>0.35709999999999997</v>
      </c>
      <c r="P35" s="21">
        <v>5.5999999999999999E-3</v>
      </c>
      <c r="Q35" s="21">
        <v>-6.3200000000000006E-2</v>
      </c>
      <c r="R35" s="21">
        <v>-0.2122</v>
      </c>
      <c r="S35" s="21">
        <v>0.63129999999999997</v>
      </c>
      <c r="T35" s="45">
        <v>1.01</v>
      </c>
      <c r="U35" s="74">
        <v>297310</v>
      </c>
      <c r="V35" s="13" t="s">
        <v>444</v>
      </c>
    </row>
    <row r="36" spans="1:22">
      <c r="A36" s="31"/>
      <c r="B36" s="11" t="s">
        <v>454</v>
      </c>
      <c r="C36" s="12"/>
      <c r="D36" s="12"/>
      <c r="E36" s="12"/>
      <c r="F36" s="12"/>
      <c r="G36" s="2" t="s">
        <v>455</v>
      </c>
      <c r="H36" s="24">
        <v>2.14</v>
      </c>
      <c r="I36" s="24">
        <v>-5.0770000000000003E-2</v>
      </c>
      <c r="J36" s="40"/>
      <c r="K36" s="42">
        <v>12.92</v>
      </c>
      <c r="L36" s="42"/>
      <c r="M36" s="42">
        <v>-58.17</v>
      </c>
      <c r="N36" s="42">
        <v>10.49</v>
      </c>
      <c r="O36" s="21">
        <v>0.13830000000000001</v>
      </c>
      <c r="P36" s="21">
        <v>8.9399999999999993E-2</v>
      </c>
      <c r="Q36" s="21">
        <v>-0.14960000000000001</v>
      </c>
      <c r="R36" s="21">
        <v>-0.31680000000000003</v>
      </c>
      <c r="S36" s="21">
        <v>0.115</v>
      </c>
      <c r="T36" s="45">
        <v>4.9800000000000004</v>
      </c>
      <c r="U36" s="74"/>
      <c r="V36" s="13" t="s">
        <v>456</v>
      </c>
    </row>
    <row r="37" spans="1:22">
      <c r="A37" s="31"/>
      <c r="B37" s="11" t="s">
        <v>457</v>
      </c>
      <c r="C37" s="12"/>
      <c r="D37" s="12"/>
      <c r="E37" s="12"/>
      <c r="F37" s="12"/>
      <c r="G37" s="2" t="s">
        <v>458</v>
      </c>
      <c r="H37" s="24">
        <v>1.19</v>
      </c>
      <c r="I37" s="24">
        <v>-2.5010000000000001E-2</v>
      </c>
      <c r="J37" s="40"/>
      <c r="K37" s="42"/>
      <c r="L37" s="42"/>
      <c r="M37" s="42">
        <v>-14.33</v>
      </c>
      <c r="N37" s="42">
        <v>4.28</v>
      </c>
      <c r="O37" s="21">
        <v>0.19439999999999999</v>
      </c>
      <c r="P37" s="21">
        <v>0.15820000000000001</v>
      </c>
      <c r="Q37" s="21">
        <v>-0.2737</v>
      </c>
      <c r="R37" s="21">
        <v>-0.4914</v>
      </c>
      <c r="S37" s="21">
        <v>0.4773</v>
      </c>
      <c r="T37" s="45">
        <v>1.79</v>
      </c>
      <c r="U37" s="74"/>
      <c r="V37" s="13" t="s">
        <v>459</v>
      </c>
    </row>
    <row r="38" spans="1:22">
      <c r="A38" s="31"/>
      <c r="B38" s="11" t="s">
        <v>460</v>
      </c>
      <c r="C38" s="12"/>
      <c r="D38" s="12"/>
      <c r="E38" s="12"/>
      <c r="F38" s="12"/>
      <c r="G38" s="34" t="s">
        <v>461</v>
      </c>
      <c r="H38" s="24">
        <v>18.84</v>
      </c>
      <c r="I38" s="24">
        <v>4.3650000000000001E-2</v>
      </c>
      <c r="J38" s="40"/>
      <c r="K38" s="42">
        <v>32.369999999999997</v>
      </c>
      <c r="L38" s="12"/>
      <c r="M38" s="42">
        <v>-137.94999999999999</v>
      </c>
      <c r="N38" s="42">
        <v>18.940000000000001</v>
      </c>
      <c r="O38" s="21">
        <v>0.20619999999999999</v>
      </c>
      <c r="P38" s="21">
        <v>0.12709999999999999</v>
      </c>
      <c r="Q38" s="21">
        <v>-0.1472</v>
      </c>
      <c r="R38" s="21">
        <v>-0.36549999999999999</v>
      </c>
      <c r="S38" s="21">
        <v>1.1870000000000001</v>
      </c>
      <c r="T38" s="45">
        <v>1.55</v>
      </c>
      <c r="U38" s="74"/>
      <c r="V38" s="13" t="s">
        <v>462</v>
      </c>
    </row>
    <row r="39" spans="1:22">
      <c r="A39" s="31"/>
      <c r="B39" s="11" t="s">
        <v>468</v>
      </c>
      <c r="C39" s="12"/>
      <c r="D39" s="12"/>
      <c r="E39" s="12"/>
      <c r="F39" s="12"/>
      <c r="G39" s="34" t="s">
        <v>466</v>
      </c>
      <c r="H39" s="24">
        <v>5.27</v>
      </c>
      <c r="I39" s="24">
        <v>-2.9420000000000002E-2</v>
      </c>
      <c r="J39" s="40"/>
      <c r="K39" s="42">
        <v>17.3</v>
      </c>
      <c r="L39" s="12"/>
      <c r="M39" s="42">
        <v>-42.96</v>
      </c>
      <c r="N39" s="42">
        <v>14.76</v>
      </c>
      <c r="O39" s="21">
        <v>0.23630000000000001</v>
      </c>
      <c r="P39" s="21">
        <v>0.29149999999999998</v>
      </c>
      <c r="Q39" s="21">
        <v>-0.36430000000000001</v>
      </c>
      <c r="R39" s="21">
        <v>-0.50239999999999996</v>
      </c>
      <c r="S39" s="21">
        <v>0.1903</v>
      </c>
      <c r="T39" s="45">
        <v>1.71</v>
      </c>
      <c r="U39" s="74"/>
      <c r="V39" s="13" t="s">
        <v>467</v>
      </c>
    </row>
    <row r="40" spans="1:22">
      <c r="A40" s="31"/>
      <c r="B40" s="11" t="s">
        <v>469</v>
      </c>
      <c r="C40" s="12"/>
      <c r="D40" s="12"/>
      <c r="E40" s="12"/>
      <c r="F40" s="12"/>
      <c r="G40" s="34" t="s">
        <v>470</v>
      </c>
      <c r="H40" s="24">
        <v>20.53</v>
      </c>
      <c r="I40" s="24">
        <v>-0.39134000000000002</v>
      </c>
      <c r="J40" s="40"/>
      <c r="K40" s="42">
        <v>11.97</v>
      </c>
      <c r="L40" s="12"/>
      <c r="M40" s="47">
        <v>-4477.8900000000003</v>
      </c>
      <c r="N40" s="42">
        <v>8.48</v>
      </c>
      <c r="O40" s="21">
        <v>0.39229999999999998</v>
      </c>
      <c r="P40" s="21">
        <v>5.62E-2</v>
      </c>
      <c r="Q40" s="21">
        <v>-8.3000000000000004E-2</v>
      </c>
      <c r="R40" s="21">
        <v>-0.2014</v>
      </c>
      <c r="S40" s="21">
        <v>1.1615</v>
      </c>
      <c r="T40" s="45">
        <v>2.64</v>
      </c>
      <c r="U40" s="74"/>
      <c r="V40" s="13" t="s">
        <v>471</v>
      </c>
    </row>
    <row r="41" spans="1:22">
      <c r="A41" s="31"/>
      <c r="B41" s="11" t="s">
        <v>478</v>
      </c>
      <c r="C41" s="12"/>
      <c r="D41" s="12"/>
      <c r="E41" s="12"/>
      <c r="F41" s="12"/>
      <c r="G41" s="2" t="s">
        <v>479</v>
      </c>
      <c r="H41" s="24">
        <v>12.92</v>
      </c>
      <c r="I41" s="24">
        <v>7.9100000000000004E-4</v>
      </c>
      <c r="J41" s="40"/>
      <c r="K41" s="42">
        <v>26.08</v>
      </c>
      <c r="L41" s="42"/>
      <c r="M41" s="42">
        <v>720.32</v>
      </c>
      <c r="N41" s="42">
        <v>35.33</v>
      </c>
      <c r="O41" s="21">
        <v>0.29199999999999998</v>
      </c>
      <c r="P41" s="21">
        <v>1.0047999999999999</v>
      </c>
      <c r="Q41" s="21"/>
      <c r="R41" s="21">
        <v>-3.4000000000000002E-2</v>
      </c>
      <c r="S41" s="21">
        <v>7.7200000000000005E-2</v>
      </c>
      <c r="T41" s="45">
        <v>3.6</v>
      </c>
      <c r="U41" s="74"/>
      <c r="V41" s="13" t="s">
        <v>480</v>
      </c>
    </row>
    <row r="42" spans="1:22">
      <c r="A42" s="31"/>
      <c r="B42" s="11" t="s">
        <v>518</v>
      </c>
      <c r="C42" s="12"/>
      <c r="D42" s="12"/>
      <c r="E42" s="12"/>
      <c r="F42" s="12"/>
      <c r="G42" s="2" t="s">
        <v>519</v>
      </c>
      <c r="H42" s="24">
        <v>11.05</v>
      </c>
      <c r="I42" s="24">
        <v>5.6189999999999997E-2</v>
      </c>
      <c r="J42" s="40"/>
      <c r="K42" s="42">
        <v>25.77</v>
      </c>
      <c r="L42" s="42"/>
      <c r="M42" s="42">
        <v>-188.37</v>
      </c>
      <c r="N42" s="42">
        <v>27.74</v>
      </c>
      <c r="O42" s="21">
        <v>0.50280000000000002</v>
      </c>
      <c r="P42" s="21">
        <v>0.1888</v>
      </c>
      <c r="Q42" s="21">
        <v>-0.10589999999999999</v>
      </c>
      <c r="R42" s="21">
        <v>-0.2165</v>
      </c>
      <c r="S42" s="21">
        <v>1.7579</v>
      </c>
      <c r="T42" s="45">
        <v>1.8</v>
      </c>
      <c r="U42" s="74">
        <v>230190</v>
      </c>
      <c r="V42" s="13" t="s">
        <v>520</v>
      </c>
    </row>
    <row r="43" spans="1:22">
      <c r="A43" s="19"/>
      <c r="B43" s="14"/>
      <c r="C43" s="15"/>
      <c r="D43" s="15"/>
      <c r="E43" s="15"/>
      <c r="F43" s="15"/>
      <c r="I43" s="15"/>
      <c r="J43" s="15"/>
      <c r="U43" s="76"/>
      <c r="V43" s="16"/>
    </row>
    <row r="44" spans="1:22">
      <c r="A44" s="17" t="s">
        <v>37</v>
      </c>
      <c r="B44" s="11" t="s">
        <v>38</v>
      </c>
      <c r="C44" s="27"/>
      <c r="D44" s="27"/>
      <c r="E44" s="27"/>
      <c r="F44" s="27"/>
      <c r="G44" s="28" t="s">
        <v>39</v>
      </c>
      <c r="H44" s="38">
        <v>172.65</v>
      </c>
      <c r="I44" s="43">
        <v>12.4</v>
      </c>
      <c r="J44" s="9">
        <v>17.18</v>
      </c>
      <c r="K44" s="9">
        <v>10.16</v>
      </c>
      <c r="L44" s="9">
        <v>12.93</v>
      </c>
      <c r="M44" s="9">
        <v>12.37</v>
      </c>
      <c r="N44" s="9">
        <v>4.47</v>
      </c>
      <c r="O44" s="20">
        <v>6.4000000000000003E-3</v>
      </c>
      <c r="P44" s="20">
        <v>2E-3</v>
      </c>
      <c r="Q44" s="20">
        <v>0.43230000000000002</v>
      </c>
      <c r="R44" s="20">
        <v>0.61470000000000002</v>
      </c>
      <c r="S44" s="20">
        <v>3.7614999999999998</v>
      </c>
      <c r="T44" s="29">
        <v>2.31</v>
      </c>
      <c r="U44" s="43">
        <v>292400</v>
      </c>
      <c r="V44" s="30" t="s">
        <v>40</v>
      </c>
    </row>
    <row r="45" spans="1:22">
      <c r="A45" s="18"/>
      <c r="B45" s="32" t="s">
        <v>41</v>
      </c>
      <c r="C45" s="33"/>
      <c r="D45" s="33"/>
      <c r="E45" s="33"/>
      <c r="F45" s="33"/>
      <c r="G45" s="34" t="s">
        <v>41</v>
      </c>
      <c r="H45" s="24">
        <v>147.31</v>
      </c>
      <c r="I45" s="24">
        <v>3.01</v>
      </c>
      <c r="J45" s="12">
        <v>39.43</v>
      </c>
      <c r="K45" s="12">
        <v>4.4800000000000004</v>
      </c>
      <c r="L45" s="12">
        <v>25.28</v>
      </c>
      <c r="M45" s="42">
        <v>24.47</v>
      </c>
      <c r="N45" s="12">
        <v>4.76</v>
      </c>
      <c r="O45" s="21">
        <v>7.7899999999999997E-2</v>
      </c>
      <c r="P45" s="21">
        <v>2.3400000000000001E-2</v>
      </c>
      <c r="Q45" s="21">
        <v>0.29559999999999997</v>
      </c>
      <c r="R45" s="21">
        <v>0.1133</v>
      </c>
      <c r="S45" s="21">
        <v>0.51449999999999996</v>
      </c>
      <c r="T45" s="35">
        <v>1.03</v>
      </c>
      <c r="U45" s="44">
        <v>311460</v>
      </c>
      <c r="V45" s="23" t="s">
        <v>42</v>
      </c>
    </row>
    <row r="46" spans="1:22">
      <c r="A46" s="18"/>
      <c r="B46" s="32" t="s">
        <v>122</v>
      </c>
      <c r="C46" s="33"/>
      <c r="D46" s="33"/>
      <c r="E46" s="33"/>
      <c r="F46" s="33"/>
      <c r="G46" s="34" t="s">
        <v>123</v>
      </c>
      <c r="H46" s="24">
        <v>68.78</v>
      </c>
      <c r="I46" s="24">
        <v>2.17</v>
      </c>
      <c r="J46" s="42">
        <v>42.72</v>
      </c>
      <c r="K46" s="42">
        <v>18.09</v>
      </c>
      <c r="L46" s="42">
        <v>36.96</v>
      </c>
      <c r="M46" s="42">
        <v>56.59</v>
      </c>
      <c r="N46" s="42">
        <v>9.6300000000000008</v>
      </c>
      <c r="O46" s="21">
        <v>8.5300000000000001E-2</v>
      </c>
      <c r="P46" s="21">
        <v>0.1099</v>
      </c>
      <c r="Q46" s="21">
        <v>0.30009999999999998</v>
      </c>
      <c r="R46" s="21">
        <v>0.42980000000000002</v>
      </c>
      <c r="S46" s="21">
        <v>0.20230000000000001</v>
      </c>
      <c r="T46" s="35">
        <v>1.79</v>
      </c>
      <c r="U46" s="44">
        <v>758190</v>
      </c>
      <c r="V46" s="23" t="s">
        <v>124</v>
      </c>
    </row>
    <row r="47" spans="1:22">
      <c r="A47" s="18"/>
      <c r="B47" s="32" t="s">
        <v>119</v>
      </c>
      <c r="C47" s="33"/>
      <c r="D47" s="33"/>
      <c r="E47" s="33"/>
      <c r="F47" s="33"/>
      <c r="G47" s="34" t="s">
        <v>120</v>
      </c>
      <c r="H47" s="24">
        <v>39.020000000000003</v>
      </c>
      <c r="I47" s="24">
        <v>1.36</v>
      </c>
      <c r="J47" s="12">
        <v>185.28</v>
      </c>
      <c r="K47" s="12"/>
      <c r="L47" s="12">
        <v>114.29</v>
      </c>
      <c r="M47" s="42">
        <v>59.18</v>
      </c>
      <c r="N47" s="42">
        <v>10.85</v>
      </c>
      <c r="O47" s="21">
        <v>5.4399999999999997E-2</v>
      </c>
      <c r="P47" s="21">
        <v>8.3799999999999999E-2</v>
      </c>
      <c r="Q47" s="21">
        <v>0.15090000000000001</v>
      </c>
      <c r="R47" s="21">
        <v>-1.1436999999999999</v>
      </c>
      <c r="S47" s="21">
        <v>-18.293299999999999</v>
      </c>
      <c r="T47" s="35">
        <v>0.66</v>
      </c>
      <c r="U47" s="44"/>
      <c r="V47" s="23" t="s">
        <v>121</v>
      </c>
    </row>
    <row r="48" spans="1:22">
      <c r="A48" s="18"/>
      <c r="B48" s="11" t="s">
        <v>311</v>
      </c>
      <c r="C48" s="12"/>
      <c r="D48" s="12"/>
      <c r="E48" s="12"/>
      <c r="F48" s="12"/>
      <c r="G48" s="34" t="s">
        <v>312</v>
      </c>
      <c r="H48" s="24">
        <v>4.99</v>
      </c>
      <c r="I48" s="24">
        <v>-4.9750000000000003E-2</v>
      </c>
      <c r="J48" s="40"/>
      <c r="K48" s="42">
        <v>13.93</v>
      </c>
      <c r="L48" s="12"/>
      <c r="M48" s="42">
        <v>-31.94</v>
      </c>
      <c r="N48" s="42">
        <v>12.4</v>
      </c>
      <c r="O48" s="21">
        <v>0.25240000000000001</v>
      </c>
      <c r="P48" s="21">
        <v>0.14630000000000001</v>
      </c>
      <c r="Q48" s="21">
        <v>-0.36609999999999998</v>
      </c>
      <c r="R48" s="21">
        <v>-0.499</v>
      </c>
      <c r="S48" s="21">
        <v>8.6800000000000002E-2</v>
      </c>
      <c r="T48" s="45">
        <v>1.82</v>
      </c>
      <c r="U48" s="74"/>
      <c r="V48" s="13" t="s">
        <v>313</v>
      </c>
    </row>
    <row r="49" spans="1:22">
      <c r="A49" s="18"/>
      <c r="B49" s="11" t="s">
        <v>446</v>
      </c>
      <c r="C49" s="12"/>
      <c r="D49" s="12"/>
      <c r="E49" s="12"/>
      <c r="F49" s="12"/>
      <c r="G49" s="34" t="s">
        <v>107</v>
      </c>
      <c r="H49" s="24">
        <v>14.93</v>
      </c>
      <c r="I49" s="24">
        <v>-6.2019999999999999E-2</v>
      </c>
      <c r="J49" s="40"/>
      <c r="K49" s="42">
        <v>36.75</v>
      </c>
      <c r="L49" s="12"/>
      <c r="M49" s="42"/>
      <c r="N49" s="42">
        <v>23.21</v>
      </c>
      <c r="O49" s="21">
        <v>0.23380000000000001</v>
      </c>
      <c r="P49" s="21">
        <v>0.34029999999999999</v>
      </c>
      <c r="Q49" s="21">
        <v>-0.84189999999999998</v>
      </c>
      <c r="R49" s="21">
        <v>-1.4341999999999999</v>
      </c>
      <c r="S49" s="21">
        <v>0.32</v>
      </c>
      <c r="T49" s="45">
        <v>2.2599999999999998</v>
      </c>
      <c r="U49" s="74"/>
      <c r="V49" s="13" t="s">
        <v>447</v>
      </c>
    </row>
    <row r="50" spans="1:22">
      <c r="A50" s="18"/>
      <c r="B50" s="11" t="s">
        <v>448</v>
      </c>
      <c r="C50" s="12"/>
      <c r="D50" s="12"/>
      <c r="E50" s="12"/>
      <c r="F50" s="12"/>
      <c r="G50" s="71" t="s">
        <v>449</v>
      </c>
      <c r="H50" s="24">
        <v>27.25</v>
      </c>
      <c r="I50" s="24">
        <v>0.43425999999999998</v>
      </c>
      <c r="J50" s="40">
        <v>95.68</v>
      </c>
      <c r="K50" s="42">
        <v>18.03</v>
      </c>
      <c r="L50" s="42">
        <v>84.31</v>
      </c>
      <c r="M50" s="42">
        <v>98.15</v>
      </c>
      <c r="N50" s="42">
        <v>24.51</v>
      </c>
      <c r="O50" s="21">
        <v>0.28660000000000002</v>
      </c>
      <c r="P50" s="21">
        <v>0.4859</v>
      </c>
      <c r="Q50" s="21">
        <v>0.27839999999999998</v>
      </c>
      <c r="R50" s="21">
        <v>0.2006</v>
      </c>
      <c r="S50" s="21">
        <v>3.2899999999999999E-2</v>
      </c>
      <c r="T50" s="45">
        <v>3.84</v>
      </c>
      <c r="U50" s="74"/>
      <c r="V50" s="13" t="s">
        <v>450</v>
      </c>
    </row>
    <row r="51" spans="1:22">
      <c r="A51" s="18"/>
      <c r="B51" s="11" t="s">
        <v>464</v>
      </c>
      <c r="C51" s="12"/>
      <c r="D51" s="12"/>
      <c r="E51" s="12"/>
      <c r="F51" s="12"/>
      <c r="G51" s="2" t="s">
        <v>465</v>
      </c>
      <c r="H51" s="24">
        <v>6.75</v>
      </c>
      <c r="I51" s="24">
        <v>1.221E-2</v>
      </c>
      <c r="J51" s="40"/>
      <c r="K51" s="42">
        <v>16.87</v>
      </c>
      <c r="L51" s="42"/>
      <c r="M51" s="42">
        <v>-205.95</v>
      </c>
      <c r="N51" s="42">
        <v>17.079999999999998</v>
      </c>
      <c r="O51" s="21">
        <v>0.17960000000000001</v>
      </c>
      <c r="P51" s="21">
        <v>-6.2300000000000001E-2</v>
      </c>
      <c r="Q51" s="21">
        <v>-0.1048</v>
      </c>
      <c r="R51" s="21">
        <v>-0.12970000000000001</v>
      </c>
      <c r="S51" s="21">
        <v>0.14460000000000001</v>
      </c>
      <c r="T51" s="45">
        <v>2.0099999999999998</v>
      </c>
      <c r="U51" s="74"/>
      <c r="V51" s="13" t="s">
        <v>463</v>
      </c>
    </row>
    <row r="52" spans="1:22">
      <c r="A52" s="18"/>
      <c r="B52" s="11" t="s">
        <v>472</v>
      </c>
      <c r="C52" s="12"/>
      <c r="D52" s="12"/>
      <c r="E52" s="12"/>
      <c r="F52" s="12"/>
      <c r="G52" s="2" t="s">
        <v>473</v>
      </c>
      <c r="H52" s="24">
        <v>161.06</v>
      </c>
      <c r="I52" s="24">
        <v>4.3099999999999996</v>
      </c>
      <c r="J52" s="40">
        <v>50.52</v>
      </c>
      <c r="K52" s="42">
        <v>15.68</v>
      </c>
      <c r="L52" s="42">
        <v>40.24</v>
      </c>
      <c r="M52" s="42">
        <v>35.229999999999997</v>
      </c>
      <c r="N52" s="42">
        <v>13.84</v>
      </c>
      <c r="O52" s="21">
        <v>9.2200000000000004E-2</v>
      </c>
      <c r="P52" s="21">
        <v>0.44219999999999998</v>
      </c>
      <c r="Q52" s="21">
        <v>0.3679</v>
      </c>
      <c r="R52" s="21">
        <v>0.314</v>
      </c>
      <c r="S52" s="21">
        <v>0.45019999999999999</v>
      </c>
      <c r="T52" s="45">
        <v>0.83</v>
      </c>
      <c r="U52" s="74">
        <v>515210</v>
      </c>
      <c r="V52" s="13" t="s">
        <v>474</v>
      </c>
    </row>
    <row r="53" spans="1:22">
      <c r="A53" s="18"/>
      <c r="B53" s="11" t="s">
        <v>476</v>
      </c>
      <c r="C53" s="12"/>
      <c r="D53" s="12"/>
      <c r="E53" s="12"/>
      <c r="F53" s="12"/>
      <c r="G53" s="2" t="s">
        <v>475</v>
      </c>
      <c r="H53" s="24">
        <v>3.44</v>
      </c>
      <c r="I53" s="24">
        <v>3.0800000000000001E-2</v>
      </c>
      <c r="J53" s="40">
        <v>98.84</v>
      </c>
      <c r="K53" s="42">
        <v>29.18</v>
      </c>
      <c r="L53" s="42">
        <v>58.51</v>
      </c>
      <c r="M53" s="42">
        <v>80.78</v>
      </c>
      <c r="N53" s="42">
        <v>13.41</v>
      </c>
      <c r="O53" s="21">
        <v>0.39960000000000001</v>
      </c>
      <c r="P53" s="21">
        <v>0.64880000000000004</v>
      </c>
      <c r="Q53" s="21">
        <v>0.1139</v>
      </c>
      <c r="R53" s="21">
        <v>0.30840000000000001</v>
      </c>
      <c r="S53" s="21">
        <v>0.6421</v>
      </c>
      <c r="T53" s="45">
        <v>1.46</v>
      </c>
      <c r="U53" s="74"/>
      <c r="V53" s="13" t="s">
        <v>477</v>
      </c>
    </row>
    <row r="54" spans="1:22">
      <c r="A54" s="18"/>
      <c r="B54" s="11"/>
      <c r="C54" s="12"/>
      <c r="D54" s="12"/>
      <c r="E54" s="12"/>
      <c r="F54" s="12"/>
      <c r="G54" s="2"/>
      <c r="H54" s="24"/>
      <c r="I54" s="24"/>
      <c r="J54" s="40"/>
      <c r="K54" s="42"/>
      <c r="L54" s="42"/>
      <c r="M54" s="42"/>
      <c r="N54" s="42"/>
      <c r="O54" s="21"/>
      <c r="P54" s="21"/>
      <c r="Q54" s="21"/>
      <c r="R54" s="21"/>
      <c r="S54" s="21"/>
      <c r="T54" s="45"/>
      <c r="U54" s="74"/>
      <c r="V54" s="13"/>
    </row>
    <row r="55" spans="1:22">
      <c r="A55" s="19"/>
      <c r="B55" s="11"/>
      <c r="C55" s="12"/>
      <c r="D55" s="12"/>
      <c r="E55" s="12"/>
      <c r="F55" s="12"/>
      <c r="G55" s="2"/>
      <c r="H55" s="24"/>
      <c r="I55" s="24"/>
      <c r="J55" s="40"/>
      <c r="K55" s="42"/>
      <c r="L55" s="12"/>
      <c r="M55" s="12"/>
      <c r="N55" s="42"/>
      <c r="O55" s="21"/>
      <c r="P55" s="21"/>
      <c r="Q55" s="21"/>
      <c r="R55" s="21"/>
      <c r="S55" s="21"/>
      <c r="T55" s="45"/>
      <c r="U55" s="74"/>
      <c r="V55" s="13"/>
    </row>
    <row r="56" spans="1:22">
      <c r="A56" s="31" t="s">
        <v>63</v>
      </c>
      <c r="B56" s="8" t="s">
        <v>142</v>
      </c>
      <c r="C56" s="9"/>
      <c r="D56" s="9"/>
      <c r="E56" s="9"/>
      <c r="F56" s="9"/>
      <c r="G56" s="28" t="s">
        <v>364</v>
      </c>
      <c r="H56" s="38">
        <v>1210</v>
      </c>
      <c r="I56" s="38">
        <v>63.9</v>
      </c>
      <c r="J56" s="9">
        <v>21.87</v>
      </c>
      <c r="K56" s="9">
        <v>13.01</v>
      </c>
      <c r="L56" s="9">
        <v>17.899999999999999</v>
      </c>
      <c r="M56" s="9">
        <v>12.03</v>
      </c>
      <c r="N56" s="9">
        <v>4.6500000000000004</v>
      </c>
      <c r="O56" s="20">
        <v>7.3099999999999998E-2</v>
      </c>
      <c r="P56" s="20">
        <v>7.3999999999999996E-2</v>
      </c>
      <c r="Q56" s="20">
        <v>0.2918</v>
      </c>
      <c r="R56" s="20">
        <v>0.6018</v>
      </c>
      <c r="S56" s="20">
        <v>1.304</v>
      </c>
      <c r="T56" s="9">
        <v>1.49</v>
      </c>
      <c r="U56" s="43">
        <v>1956070</v>
      </c>
      <c r="V56" s="10" t="s">
        <v>145</v>
      </c>
    </row>
    <row r="57" spans="1:22">
      <c r="A57" s="31"/>
      <c r="B57" s="11" t="s">
        <v>141</v>
      </c>
      <c r="C57" s="12"/>
      <c r="D57" s="12"/>
      <c r="E57" s="12"/>
      <c r="F57" s="12"/>
      <c r="G57" s="34" t="s">
        <v>141</v>
      </c>
      <c r="H57" s="24">
        <v>106.82</v>
      </c>
      <c r="I57" s="24">
        <v>12</v>
      </c>
      <c r="J57" s="12">
        <v>11.92</v>
      </c>
      <c r="K57" s="42">
        <v>5.59</v>
      </c>
      <c r="L57" s="12">
        <v>7.83</v>
      </c>
      <c r="M57" s="42">
        <v>22.88</v>
      </c>
      <c r="N57" s="42">
        <v>1.39</v>
      </c>
      <c r="O57" s="21">
        <v>-3.6299999999999999E-2</v>
      </c>
      <c r="P57" s="21">
        <v>-5.21E-2</v>
      </c>
      <c r="Q57" s="21"/>
      <c r="R57" s="21">
        <v>0.47189999999999999</v>
      </c>
      <c r="S57" s="21">
        <v>3.4729000000000001</v>
      </c>
      <c r="T57" s="45">
        <v>1.24</v>
      </c>
      <c r="U57" s="74">
        <v>217060</v>
      </c>
      <c r="V57" s="13" t="s">
        <v>146</v>
      </c>
    </row>
    <row r="58" spans="1:22">
      <c r="A58" s="31"/>
      <c r="B58" s="11" t="s">
        <v>143</v>
      </c>
      <c r="C58" s="12"/>
      <c r="D58" s="12"/>
      <c r="E58" s="12"/>
      <c r="F58" s="12"/>
      <c r="G58" s="34" t="s">
        <v>147</v>
      </c>
      <c r="H58" s="24">
        <v>22.02</v>
      </c>
      <c r="I58" s="24">
        <v>4.4000000000000004</v>
      </c>
      <c r="J58" s="12">
        <v>7.64</v>
      </c>
      <c r="K58" s="12"/>
      <c r="L58" s="12">
        <v>5.94</v>
      </c>
      <c r="M58" s="42">
        <v>5.98</v>
      </c>
      <c r="N58" s="42">
        <v>0.38</v>
      </c>
      <c r="O58" s="21">
        <v>-0.1202</v>
      </c>
      <c r="P58" s="21">
        <v>-0.16059999999999999</v>
      </c>
      <c r="Q58" s="21">
        <v>8.7400000000000005E-2</v>
      </c>
      <c r="R58" s="21">
        <v>-2.2237</v>
      </c>
      <c r="S58" s="21">
        <v>-3.6903000000000001</v>
      </c>
      <c r="T58" s="45">
        <v>0.78</v>
      </c>
      <c r="U58" s="74">
        <v>1047570</v>
      </c>
      <c r="V58" s="13" t="s">
        <v>148</v>
      </c>
    </row>
    <row r="59" spans="1:22">
      <c r="A59" s="19"/>
      <c r="B59" s="11" t="s">
        <v>144</v>
      </c>
      <c r="C59" s="12"/>
      <c r="D59" s="12"/>
      <c r="E59" s="12"/>
      <c r="F59" s="12"/>
      <c r="G59" s="34" t="s">
        <v>144</v>
      </c>
      <c r="H59" s="24">
        <v>30.43</v>
      </c>
      <c r="I59" s="24">
        <v>7.05</v>
      </c>
      <c r="J59" s="42">
        <v>6.77</v>
      </c>
      <c r="K59" s="12"/>
      <c r="L59" s="42">
        <v>2.77</v>
      </c>
      <c r="M59" s="42">
        <v>3.72</v>
      </c>
      <c r="N59" s="42">
        <v>0.32</v>
      </c>
      <c r="O59" s="21">
        <v>8.3699999999999997E-2</v>
      </c>
      <c r="P59" s="21">
        <v>0.5645</v>
      </c>
      <c r="Q59" s="21">
        <v>0.10489999999999999</v>
      </c>
      <c r="R59" s="21">
        <v>-1.5022</v>
      </c>
      <c r="S59" s="21">
        <v>-34.210900000000002</v>
      </c>
      <c r="T59" s="45">
        <v>0.73</v>
      </c>
      <c r="U59" s="74">
        <v>558510</v>
      </c>
      <c r="V59" s="13" t="s">
        <v>149</v>
      </c>
    </row>
    <row r="60" spans="1:22">
      <c r="A60" s="31" t="s">
        <v>64</v>
      </c>
      <c r="B60" s="8" t="s">
        <v>61</v>
      </c>
      <c r="C60" s="9"/>
      <c r="D60" s="9"/>
      <c r="E60" s="9"/>
      <c r="F60" s="9"/>
      <c r="G60" s="28" t="s">
        <v>62</v>
      </c>
      <c r="H60" s="38">
        <v>27.27</v>
      </c>
      <c r="I60" s="38">
        <v>0.4032</v>
      </c>
      <c r="J60" s="9">
        <v>82.89</v>
      </c>
      <c r="K60" s="9">
        <v>20.440000000000001</v>
      </c>
      <c r="L60" s="9">
        <v>59.7</v>
      </c>
      <c r="M60" s="9">
        <v>16.64</v>
      </c>
      <c r="N60" s="9">
        <v>5.71</v>
      </c>
      <c r="O60" s="20">
        <v>0.40849999999999997</v>
      </c>
      <c r="P60" s="20">
        <v>0.27189999999999998</v>
      </c>
      <c r="Q60" s="20">
        <v>2.3699999999999999E-2</v>
      </c>
      <c r="R60" s="20">
        <v>0.28489999999999999</v>
      </c>
      <c r="S60" s="20">
        <v>0.62819999999999998</v>
      </c>
      <c r="T60" s="9">
        <v>1.62</v>
      </c>
      <c r="U60" s="43">
        <v>1229070</v>
      </c>
      <c r="V60" s="10" t="s">
        <v>514</v>
      </c>
    </row>
    <row r="61" spans="1:22">
      <c r="A61" s="31"/>
      <c r="B61" s="11" t="s">
        <v>516</v>
      </c>
      <c r="C61" s="12"/>
      <c r="D61" s="12"/>
      <c r="E61" s="12"/>
      <c r="F61" s="12"/>
      <c r="G61" s="34" t="s">
        <v>515</v>
      </c>
      <c r="H61" s="24">
        <v>141.47999999999999</v>
      </c>
      <c r="I61" s="24">
        <v>3.86</v>
      </c>
      <c r="J61" s="42">
        <v>58.27</v>
      </c>
      <c r="K61" s="42">
        <v>8.76</v>
      </c>
      <c r="L61" s="42">
        <v>42</v>
      </c>
      <c r="M61" s="42">
        <v>48.19</v>
      </c>
      <c r="N61" s="42">
        <v>7.97</v>
      </c>
      <c r="O61" s="21">
        <v>0.1724</v>
      </c>
      <c r="P61" s="21">
        <v>0.29239999999999999</v>
      </c>
      <c r="Q61" s="21">
        <v>0.20849999999999999</v>
      </c>
      <c r="R61" s="21">
        <v>0.15210000000000001</v>
      </c>
      <c r="S61" s="21">
        <v>0.3241</v>
      </c>
      <c r="T61" s="45">
        <v>1.32</v>
      </c>
      <c r="U61" s="74">
        <v>766030</v>
      </c>
      <c r="V61" s="13" t="s">
        <v>517</v>
      </c>
    </row>
    <row r="62" spans="1:22">
      <c r="A62" s="31"/>
      <c r="B62" s="11"/>
      <c r="C62" s="12"/>
      <c r="D62" s="12"/>
      <c r="E62" s="12"/>
      <c r="F62" s="12"/>
      <c r="G62" s="34"/>
      <c r="H62" s="24"/>
      <c r="I62" s="24"/>
      <c r="J62" s="12"/>
      <c r="K62" s="12"/>
      <c r="L62" s="12"/>
      <c r="M62" s="42"/>
      <c r="N62" s="42"/>
      <c r="O62" s="21"/>
      <c r="P62" s="21"/>
      <c r="Q62" s="21"/>
      <c r="R62" s="21"/>
      <c r="S62" s="21"/>
      <c r="T62" s="45"/>
      <c r="U62" s="74"/>
      <c r="V62" s="13"/>
    </row>
    <row r="63" spans="1:22">
      <c r="A63" s="31"/>
      <c r="B63" s="11"/>
      <c r="C63" s="12"/>
      <c r="D63" s="12"/>
      <c r="E63" s="12"/>
      <c r="F63" s="12"/>
      <c r="G63" s="34"/>
      <c r="H63" s="24"/>
      <c r="I63" s="24"/>
      <c r="J63" s="42"/>
      <c r="K63" s="12"/>
      <c r="L63" s="42"/>
      <c r="M63" s="42"/>
      <c r="N63" s="42"/>
      <c r="O63" s="21"/>
      <c r="P63" s="21"/>
      <c r="Q63" s="21"/>
      <c r="R63" s="21"/>
      <c r="S63" s="21"/>
      <c r="T63" s="45"/>
      <c r="U63" s="74"/>
      <c r="V63" s="13"/>
    </row>
    <row r="64" spans="1:22">
      <c r="A64" s="19"/>
      <c r="B64" s="14"/>
      <c r="C64" s="15"/>
      <c r="D64" s="15"/>
      <c r="E64" s="15"/>
      <c r="F64" s="15"/>
      <c r="G64" s="15"/>
      <c r="H64" s="36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53"/>
      <c r="V64" s="16"/>
    </row>
    <row r="65" spans="1:22">
      <c r="A65" s="31" t="s">
        <v>66</v>
      </c>
      <c r="B65" s="8" t="s">
        <v>95</v>
      </c>
      <c r="C65" s="9"/>
      <c r="D65" s="9"/>
      <c r="E65" s="9"/>
      <c r="F65" s="9"/>
      <c r="G65" s="28" t="s">
        <v>96</v>
      </c>
      <c r="H65" s="38">
        <v>180.16</v>
      </c>
      <c r="I65" s="38">
        <v>14.83</v>
      </c>
      <c r="J65" s="9">
        <v>16.59</v>
      </c>
      <c r="K65" s="9">
        <v>5.16</v>
      </c>
      <c r="L65" s="9">
        <v>14.01</v>
      </c>
      <c r="M65" s="9">
        <v>13.23</v>
      </c>
      <c r="N65" s="9">
        <v>3.51</v>
      </c>
      <c r="O65" s="20">
        <v>1.9400000000000001E-2</v>
      </c>
      <c r="P65" s="20">
        <v>5.8700000000000002E-2</v>
      </c>
      <c r="Q65" s="20">
        <v>0.31929999999999997</v>
      </c>
      <c r="R65" s="20">
        <v>0.31509999999999999</v>
      </c>
      <c r="S65" s="20">
        <v>0.48039999999999999</v>
      </c>
      <c r="T65" s="9">
        <v>1.66</v>
      </c>
      <c r="U65" s="43">
        <v>679180</v>
      </c>
      <c r="V65" s="10" t="s">
        <v>97</v>
      </c>
    </row>
    <row r="66" spans="1:22">
      <c r="A66" s="31"/>
      <c r="B66" s="11" t="s">
        <v>98</v>
      </c>
      <c r="C66" s="12"/>
      <c r="D66" s="12"/>
      <c r="E66" s="12"/>
      <c r="F66" s="12"/>
      <c r="G66" s="34" t="s">
        <v>99</v>
      </c>
      <c r="H66" s="24">
        <v>7.58</v>
      </c>
      <c r="I66" s="24">
        <v>0.41899999999999998</v>
      </c>
      <c r="J66" s="12">
        <v>22.57</v>
      </c>
      <c r="K66" s="42">
        <v>1.66</v>
      </c>
      <c r="L66" s="12">
        <v>13.96</v>
      </c>
      <c r="M66" s="42">
        <v>8.6999999999999993</v>
      </c>
      <c r="N66" s="42">
        <v>1.74</v>
      </c>
      <c r="O66" s="21">
        <v>-8.0000000000000002E-3</v>
      </c>
      <c r="P66" s="21">
        <v>0.2928</v>
      </c>
      <c r="Q66" s="21">
        <v>0.15890000000000001</v>
      </c>
      <c r="R66" s="21">
        <v>7.3800000000000004E-2</v>
      </c>
      <c r="S66" s="21">
        <v>0.40870000000000001</v>
      </c>
      <c r="T66" s="45">
        <v>2.3199999999999998</v>
      </c>
      <c r="U66" s="74">
        <v>471570</v>
      </c>
      <c r="V66" s="13" t="s">
        <v>97</v>
      </c>
    </row>
    <row r="67" spans="1:22">
      <c r="A67" s="31"/>
      <c r="B67" s="11" t="s">
        <v>100</v>
      </c>
      <c r="C67" s="12"/>
      <c r="D67" s="12"/>
      <c r="E67" s="12"/>
      <c r="F67" s="12"/>
      <c r="G67" s="34" t="s">
        <v>101</v>
      </c>
      <c r="H67" s="24">
        <v>19.399999999999999</v>
      </c>
      <c r="I67" s="24">
        <v>0.71579999999999999</v>
      </c>
      <c r="J67" s="12">
        <v>60.09</v>
      </c>
      <c r="K67" s="12">
        <v>16.45</v>
      </c>
      <c r="L67" s="12">
        <v>49.82</v>
      </c>
      <c r="M67" s="42">
        <v>32.99</v>
      </c>
      <c r="N67" s="42">
        <v>8.9700000000000006</v>
      </c>
      <c r="O67" s="21">
        <v>0.2286</v>
      </c>
      <c r="P67" s="21">
        <v>0.52300000000000002</v>
      </c>
      <c r="Q67" s="21">
        <v>0.18820000000000001</v>
      </c>
      <c r="R67" s="21">
        <v>0.2777</v>
      </c>
      <c r="S67" s="21">
        <v>3.49E-2</v>
      </c>
      <c r="T67" s="45">
        <v>1.85</v>
      </c>
      <c r="U67" s="74">
        <v>304460</v>
      </c>
      <c r="V67" s="13" t="s">
        <v>102</v>
      </c>
    </row>
    <row r="68" spans="1:22">
      <c r="A68" s="31"/>
      <c r="B68" s="11" t="s">
        <v>103</v>
      </c>
      <c r="C68" s="12"/>
      <c r="D68" s="12"/>
      <c r="E68" s="12"/>
      <c r="F68" s="12"/>
      <c r="G68" s="34" t="s">
        <v>104</v>
      </c>
      <c r="H68" s="24">
        <v>19.28</v>
      </c>
      <c r="I68" s="24">
        <v>0.89029999999999998</v>
      </c>
      <c r="J68" s="12"/>
      <c r="K68" s="12">
        <v>12.24</v>
      </c>
      <c r="L68" s="12">
        <v>31436.7</v>
      </c>
      <c r="M68" s="42">
        <v>-189.24</v>
      </c>
      <c r="N68" s="42">
        <v>6.04</v>
      </c>
      <c r="O68" s="21">
        <v>0.37119999999999997</v>
      </c>
      <c r="P68" s="21">
        <v>-0.1951</v>
      </c>
      <c r="Q68" s="21">
        <v>2.1999999999999999E-2</v>
      </c>
      <c r="R68" s="21">
        <v>-0.11310000000000001</v>
      </c>
      <c r="S68" s="21">
        <v>1.1623000000000001</v>
      </c>
      <c r="T68" s="45">
        <v>1.8</v>
      </c>
      <c r="U68" s="74">
        <v>444970</v>
      </c>
      <c r="V68" s="13" t="s">
        <v>102</v>
      </c>
    </row>
    <row r="69" spans="1:22">
      <c r="A69" s="31"/>
      <c r="B69" s="11" t="s">
        <v>105</v>
      </c>
      <c r="C69" s="12"/>
      <c r="D69" s="12"/>
      <c r="E69" s="12"/>
      <c r="F69" s="12"/>
      <c r="G69" s="34" t="s">
        <v>106</v>
      </c>
      <c r="H69" s="24">
        <v>15.44</v>
      </c>
      <c r="I69" s="24">
        <v>1.08</v>
      </c>
      <c r="J69" s="12">
        <v>19.47</v>
      </c>
      <c r="K69" s="12">
        <v>4.54</v>
      </c>
      <c r="L69" s="12">
        <v>19.440000000000001</v>
      </c>
      <c r="M69" s="42">
        <v>13.52</v>
      </c>
      <c r="N69" s="42">
        <v>8.2799999999999994</v>
      </c>
      <c r="O69" s="21">
        <v>5.9299999999999999E-2</v>
      </c>
      <c r="P69" s="21">
        <v>4.8399999999999999E-2</v>
      </c>
      <c r="Q69" s="21">
        <v>0.45760000000000001</v>
      </c>
      <c r="R69" s="21">
        <v>0.22689999999999999</v>
      </c>
      <c r="S69" s="21">
        <v>0</v>
      </c>
      <c r="T69" s="45">
        <v>1.59</v>
      </c>
      <c r="U69" s="74">
        <v>390040</v>
      </c>
      <c r="V69" s="13" t="s">
        <v>102</v>
      </c>
    </row>
    <row r="70" spans="1:22">
      <c r="A70" s="31"/>
      <c r="B70" s="11" t="s">
        <v>108</v>
      </c>
      <c r="C70" s="12"/>
      <c r="D70" s="12"/>
      <c r="E70" s="12"/>
      <c r="F70" s="12"/>
      <c r="G70" s="34" t="s">
        <v>109</v>
      </c>
      <c r="H70" s="24">
        <v>7.55</v>
      </c>
      <c r="I70" s="24">
        <v>0.58899999999999997</v>
      </c>
      <c r="J70" s="42">
        <v>18.95</v>
      </c>
      <c r="K70" s="12">
        <v>4.41</v>
      </c>
      <c r="L70" s="42">
        <v>15.95</v>
      </c>
      <c r="M70" s="42">
        <v>16.04</v>
      </c>
      <c r="N70" s="42">
        <v>3.3</v>
      </c>
      <c r="O70" s="21">
        <v>5.2999999999999999E-2</v>
      </c>
      <c r="P70" s="21">
        <v>7.1400000000000005E-2</v>
      </c>
      <c r="Q70" s="21">
        <v>0.2858</v>
      </c>
      <c r="R70" s="21">
        <v>0.23319999999999999</v>
      </c>
      <c r="S70" s="21">
        <v>0.19939999999999999</v>
      </c>
      <c r="T70" s="45">
        <v>1.49</v>
      </c>
      <c r="U70" s="74">
        <v>433150</v>
      </c>
      <c r="V70" s="13" t="s">
        <v>97</v>
      </c>
    </row>
    <row r="71" spans="1:22">
      <c r="A71" s="19"/>
      <c r="B71" s="14"/>
      <c r="C71" s="15"/>
      <c r="D71" s="15"/>
      <c r="E71" s="15"/>
      <c r="F71" s="15"/>
      <c r="G71" s="15"/>
      <c r="H71" s="36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53"/>
      <c r="V71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2558-6560-4774-AEEE-ED34B51A5A0E}">
  <dimension ref="A1:V23"/>
  <sheetViews>
    <sheetView zoomScale="68" zoomScaleNormal="68" workbookViewId="0">
      <selection activeCell="I5" sqref="I5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131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401</v>
      </c>
      <c r="B2" s="8" t="s">
        <v>402</v>
      </c>
      <c r="C2" s="9"/>
      <c r="D2" s="9"/>
      <c r="E2" s="9"/>
      <c r="F2" s="9"/>
      <c r="G2" s="28" t="s">
        <v>403</v>
      </c>
      <c r="H2" s="38">
        <v>206.86</v>
      </c>
      <c r="I2" s="38">
        <v>10.41</v>
      </c>
      <c r="J2" s="9">
        <v>13.02</v>
      </c>
      <c r="K2" s="9">
        <v>3.36</v>
      </c>
      <c r="L2" s="9">
        <v>9.31</v>
      </c>
      <c r="M2" s="9">
        <v>49.39</v>
      </c>
      <c r="N2" s="9">
        <v>4.01</v>
      </c>
      <c r="O2" s="20">
        <v>8.5000000000000006E-3</v>
      </c>
      <c r="P2" s="20">
        <v>8.7800000000000003E-2</v>
      </c>
      <c r="Q2" s="20">
        <v>0.39140000000000003</v>
      </c>
      <c r="R2" s="20">
        <v>0.26390000000000002</v>
      </c>
      <c r="S2" s="20">
        <v>0.84709999999999996</v>
      </c>
      <c r="T2" s="9">
        <v>1.17</v>
      </c>
      <c r="U2" s="43">
        <v>573730</v>
      </c>
      <c r="V2" s="10" t="s">
        <v>401</v>
      </c>
    </row>
    <row r="3" spans="1:22">
      <c r="A3" s="18"/>
      <c r="B3" t="s">
        <v>404</v>
      </c>
      <c r="G3" t="s">
        <v>405</v>
      </c>
      <c r="H3" s="69">
        <v>206.75</v>
      </c>
      <c r="I3" s="69">
        <v>9.9700000000000006</v>
      </c>
      <c r="J3">
        <v>21.37</v>
      </c>
      <c r="K3">
        <v>7.73</v>
      </c>
      <c r="L3">
        <v>15.72</v>
      </c>
      <c r="M3">
        <v>15.99</v>
      </c>
      <c r="N3">
        <v>4.45</v>
      </c>
      <c r="O3" s="46">
        <v>2.0899999999999998E-2</v>
      </c>
      <c r="P3" s="46">
        <v>-5.5800000000000002E-2</v>
      </c>
      <c r="Q3" s="46">
        <v>0.3831</v>
      </c>
      <c r="R3" s="46">
        <v>0.36480000000000001</v>
      </c>
      <c r="S3" s="46">
        <v>1.0557000000000001</v>
      </c>
      <c r="T3">
        <v>1.27</v>
      </c>
      <c r="U3" s="76">
        <v>677200</v>
      </c>
      <c r="V3" s="13" t="s">
        <v>401</v>
      </c>
    </row>
    <row r="4" spans="1:22">
      <c r="A4" s="18"/>
      <c r="B4" t="s">
        <v>406</v>
      </c>
      <c r="G4" t="s">
        <v>407</v>
      </c>
      <c r="H4" s="69">
        <v>100.82</v>
      </c>
      <c r="I4" s="69">
        <v>8.32</v>
      </c>
      <c r="J4">
        <v>18.920000000000002</v>
      </c>
      <c r="K4">
        <v>4.6100000000000003</v>
      </c>
      <c r="L4">
        <v>14.88</v>
      </c>
      <c r="M4">
        <v>8.2799999999999994</v>
      </c>
      <c r="N4">
        <v>4.5</v>
      </c>
      <c r="O4" s="46">
        <v>-2.0400000000000001E-2</v>
      </c>
      <c r="P4" s="46">
        <v>-0.12239999999999999</v>
      </c>
      <c r="Q4" s="46">
        <v>0.28910000000000002</v>
      </c>
      <c r="R4" s="46">
        <v>0.2457</v>
      </c>
      <c r="S4" s="46">
        <v>1.1240000000000001</v>
      </c>
      <c r="T4" s="70">
        <v>3.35</v>
      </c>
      <c r="U4" s="76">
        <v>1902460</v>
      </c>
      <c r="V4" s="13" t="s">
        <v>401</v>
      </c>
    </row>
    <row r="5" spans="1:22">
      <c r="A5" s="18"/>
      <c r="B5" s="88" t="s">
        <v>409</v>
      </c>
      <c r="C5" s="88"/>
      <c r="D5" s="88"/>
      <c r="E5" s="88"/>
      <c r="F5" s="88"/>
      <c r="G5" s="88" t="s">
        <v>386</v>
      </c>
      <c r="H5" s="88">
        <v>8.09</v>
      </c>
      <c r="I5" s="103">
        <v>0.51412000000000002</v>
      </c>
      <c r="J5" s="88">
        <v>26.01</v>
      </c>
      <c r="K5" s="88">
        <v>5.22</v>
      </c>
      <c r="L5" s="88">
        <v>24.43</v>
      </c>
      <c r="M5" s="88">
        <v>28.47</v>
      </c>
      <c r="N5" s="88">
        <v>8.31</v>
      </c>
      <c r="O5" s="88">
        <v>1.0758000000000001</v>
      </c>
      <c r="P5" s="88">
        <v>4.3499999999999997E-2</v>
      </c>
      <c r="Q5" s="88">
        <v>0.39040000000000002</v>
      </c>
      <c r="R5" s="88">
        <v>0.20830000000000001</v>
      </c>
      <c r="S5" s="88">
        <v>3.0099999999999998E-2</v>
      </c>
      <c r="T5" s="88">
        <v>7.48</v>
      </c>
      <c r="U5" s="103">
        <v>1568520</v>
      </c>
      <c r="V5" s="84" t="s">
        <v>434</v>
      </c>
    </row>
    <row r="6" spans="1:22">
      <c r="A6" s="18"/>
      <c r="B6" t="s">
        <v>417</v>
      </c>
      <c r="G6" t="s">
        <v>418</v>
      </c>
      <c r="H6" s="69">
        <v>139.74</v>
      </c>
      <c r="I6" s="69">
        <v>8.5299999999999994</v>
      </c>
      <c r="J6">
        <v>18.36</v>
      </c>
      <c r="K6">
        <v>13.45</v>
      </c>
      <c r="L6">
        <v>14.13</v>
      </c>
      <c r="M6">
        <v>14.53</v>
      </c>
      <c r="N6">
        <v>6.08</v>
      </c>
      <c r="O6" s="46">
        <v>3.09E-2</v>
      </c>
      <c r="P6" s="46">
        <v>6.3799999999999996E-2</v>
      </c>
      <c r="Q6" s="46">
        <v>0.51049999999999995</v>
      </c>
      <c r="R6" s="46">
        <v>0.7429</v>
      </c>
      <c r="S6" s="46">
        <v>3.1459999999999999</v>
      </c>
      <c r="T6" s="70">
        <v>2.46</v>
      </c>
      <c r="U6" s="76">
        <v>998380</v>
      </c>
      <c r="V6" s="13" t="s">
        <v>401</v>
      </c>
    </row>
    <row r="7" spans="1:22">
      <c r="A7" s="18"/>
      <c r="B7" t="s">
        <v>559</v>
      </c>
      <c r="G7" t="s">
        <v>560</v>
      </c>
      <c r="H7" s="69">
        <v>102.06</v>
      </c>
      <c r="I7" s="69">
        <v>8.9499999999999993</v>
      </c>
      <c r="J7">
        <v>17.39</v>
      </c>
      <c r="K7">
        <v>10.16</v>
      </c>
      <c r="L7">
        <v>16.579999999999998</v>
      </c>
      <c r="M7">
        <v>12.53</v>
      </c>
      <c r="N7">
        <v>2.2599999999999998</v>
      </c>
      <c r="O7" s="85">
        <v>2.2599999999999999E-2</v>
      </c>
      <c r="P7" s="46">
        <v>6.2899999999999998E-2</v>
      </c>
      <c r="R7" s="46">
        <v>0.61260000000000003</v>
      </c>
      <c r="S7" s="46">
        <v>2.5457000000000001</v>
      </c>
      <c r="T7" s="70">
        <v>0.76</v>
      </c>
      <c r="U7" s="76">
        <v>454240</v>
      </c>
      <c r="V7" s="13" t="s">
        <v>401</v>
      </c>
    </row>
    <row r="8" spans="1:22">
      <c r="A8" s="18"/>
      <c r="B8" s="60" t="s">
        <v>561</v>
      </c>
      <c r="G8" t="s">
        <v>563</v>
      </c>
      <c r="H8" s="69">
        <v>13.85</v>
      </c>
      <c r="I8" s="69">
        <v>1.67</v>
      </c>
      <c r="K8">
        <v>3.88</v>
      </c>
      <c r="M8">
        <v>7.69</v>
      </c>
      <c r="N8">
        <v>0.09</v>
      </c>
      <c r="O8" s="46">
        <v>9.8299999999999998E-2</v>
      </c>
      <c r="P8" s="46">
        <v>7.7700000000000005E-2</v>
      </c>
      <c r="Q8" s="46">
        <v>1.77E-2</v>
      </c>
      <c r="R8" s="46">
        <v>-1.1654</v>
      </c>
      <c r="S8" s="46">
        <v>8.3683999999999994</v>
      </c>
      <c r="T8" s="70">
        <v>1.06</v>
      </c>
      <c r="U8" s="76">
        <v>3023370</v>
      </c>
      <c r="V8" s="13" t="s">
        <v>564</v>
      </c>
    </row>
    <row r="9" spans="1:22">
      <c r="A9" s="18"/>
      <c r="B9" s="11" t="s">
        <v>566</v>
      </c>
      <c r="C9" s="12"/>
      <c r="D9" s="12"/>
      <c r="E9" s="12"/>
      <c r="F9" s="12"/>
      <c r="G9" s="34" t="s">
        <v>565</v>
      </c>
      <c r="H9" s="24">
        <v>122.51</v>
      </c>
      <c r="I9" s="24">
        <v>12.77</v>
      </c>
      <c r="J9" s="42">
        <v>15.69</v>
      </c>
      <c r="K9" s="42">
        <v>12.37</v>
      </c>
      <c r="L9" s="42">
        <v>12.37</v>
      </c>
      <c r="M9" s="42">
        <v>9.25</v>
      </c>
      <c r="N9" s="42">
        <v>3.68</v>
      </c>
      <c r="O9" s="21">
        <v>0.1076</v>
      </c>
      <c r="P9" s="21">
        <v>0.31059999999999999</v>
      </c>
      <c r="Q9" s="21">
        <v>0.47710000000000002</v>
      </c>
      <c r="R9" s="46">
        <v>-0.96150000000000002</v>
      </c>
      <c r="S9" s="21">
        <v>-8.2095000000000002</v>
      </c>
      <c r="T9" s="70">
        <v>1.55</v>
      </c>
      <c r="U9" s="76">
        <v>1108870</v>
      </c>
      <c r="V9" s="13" t="s">
        <v>401</v>
      </c>
    </row>
    <row r="10" spans="1:22">
      <c r="A10" s="18"/>
      <c r="B10" s="11"/>
      <c r="C10" s="12"/>
      <c r="D10" s="12"/>
      <c r="E10" s="12"/>
      <c r="F10" s="12"/>
      <c r="G10" s="34"/>
      <c r="H10" s="24"/>
      <c r="I10" s="24"/>
      <c r="J10" s="42"/>
      <c r="K10" s="42"/>
      <c r="L10" s="42"/>
      <c r="M10" s="42"/>
      <c r="N10" s="42"/>
      <c r="O10" s="21"/>
      <c r="P10" s="21"/>
      <c r="Q10" s="21"/>
      <c r="R10" s="46"/>
      <c r="S10" s="21"/>
      <c r="T10" s="70"/>
      <c r="U10" s="76"/>
      <c r="V10" s="13"/>
    </row>
    <row r="11" spans="1:22">
      <c r="A11" s="19"/>
      <c r="B11" s="14"/>
      <c r="C11" s="15"/>
      <c r="D11" s="15"/>
      <c r="E11" s="15"/>
      <c r="F11" s="15"/>
      <c r="G11" s="36"/>
      <c r="H11" s="39"/>
      <c r="I11" s="39"/>
      <c r="J11" s="15"/>
      <c r="K11" s="15"/>
      <c r="L11" s="15"/>
      <c r="M11" s="15"/>
      <c r="N11" s="15"/>
      <c r="O11" s="22"/>
      <c r="P11" s="22"/>
      <c r="Q11" s="22"/>
      <c r="R11" s="22"/>
      <c r="S11" s="22"/>
      <c r="T11" s="37" t="s">
        <v>44</v>
      </c>
      <c r="U11" s="53"/>
      <c r="V11" s="16"/>
    </row>
    <row r="12" spans="1:22">
      <c r="A12" s="17" t="s">
        <v>397</v>
      </c>
      <c r="B12" t="s">
        <v>408</v>
      </c>
      <c r="G12" t="s">
        <v>410</v>
      </c>
      <c r="H12" s="69">
        <v>165.78</v>
      </c>
      <c r="I12"/>
      <c r="J12">
        <v>47.51</v>
      </c>
      <c r="K12">
        <v>5.27</v>
      </c>
      <c r="L12">
        <v>28.53</v>
      </c>
      <c r="M12">
        <v>76.19</v>
      </c>
      <c r="N12">
        <v>5.17</v>
      </c>
      <c r="O12" s="46">
        <v>9.5200000000000007E-2</v>
      </c>
      <c r="P12" s="46">
        <v>0.15440000000000001</v>
      </c>
      <c r="R12" s="46">
        <v>0.1129</v>
      </c>
      <c r="S12" s="46"/>
      <c r="T12">
        <v>1.54</v>
      </c>
      <c r="U12" s="76">
        <v>299950</v>
      </c>
      <c r="V12" s="13" t="s">
        <v>411</v>
      </c>
    </row>
    <row r="13" spans="1:22">
      <c r="A13" s="18"/>
      <c r="B13" s="86" t="s">
        <v>414</v>
      </c>
      <c r="C13" s="82"/>
      <c r="D13" s="82"/>
      <c r="E13" s="82"/>
      <c r="F13" s="82"/>
      <c r="G13" s="82" t="s">
        <v>412</v>
      </c>
      <c r="H13" s="82">
        <v>30.45</v>
      </c>
      <c r="I13" s="82">
        <v>0.13450000000000001</v>
      </c>
      <c r="J13" s="82">
        <v>307.81</v>
      </c>
      <c r="K13" s="82">
        <v>40.43</v>
      </c>
      <c r="L13" s="82">
        <v>202.67</v>
      </c>
      <c r="M13" s="82">
        <v>71.150000000000006</v>
      </c>
      <c r="N13" s="82">
        <v>20.57</v>
      </c>
      <c r="O13" s="82">
        <v>0.43080000000000002</v>
      </c>
      <c r="P13" s="82">
        <v>0.60260000000000002</v>
      </c>
      <c r="Q13" s="82">
        <v>0.13450000000000001</v>
      </c>
      <c r="R13" s="82">
        <v>0.1346</v>
      </c>
      <c r="S13" s="82">
        <v>1.3150999999999999</v>
      </c>
      <c r="T13" s="82">
        <v>5.99</v>
      </c>
      <c r="U13" s="100">
        <v>410410</v>
      </c>
      <c r="V13" s="84" t="s">
        <v>413</v>
      </c>
    </row>
    <row r="14" spans="1:22">
      <c r="A14" s="18"/>
      <c r="B14" t="s">
        <v>415</v>
      </c>
      <c r="G14" t="s">
        <v>416</v>
      </c>
      <c r="H14" s="69">
        <v>407.67</v>
      </c>
      <c r="I14"/>
      <c r="J14">
        <v>24.16</v>
      </c>
      <c r="K14">
        <v>6.86</v>
      </c>
      <c r="L14">
        <v>18.2</v>
      </c>
      <c r="M14">
        <v>17.579999999999998</v>
      </c>
      <c r="N14">
        <v>4.93</v>
      </c>
      <c r="O14" s="46">
        <v>0.02</v>
      </c>
      <c r="P14" s="46">
        <v>1.8200000000000001E-2</v>
      </c>
      <c r="R14" s="46">
        <v>0.28860000000000002</v>
      </c>
      <c r="T14">
        <v>1.28</v>
      </c>
      <c r="U14" s="76">
        <v>625790</v>
      </c>
      <c r="V14" s="13" t="s">
        <v>397</v>
      </c>
    </row>
    <row r="15" spans="1:22">
      <c r="A15" s="18"/>
      <c r="B15" s="11" t="s">
        <v>419</v>
      </c>
      <c r="C15" s="12"/>
      <c r="D15" s="12"/>
      <c r="E15" s="12"/>
      <c r="F15" s="12"/>
      <c r="G15" s="34" t="s">
        <v>420</v>
      </c>
      <c r="H15" s="24">
        <v>15.06</v>
      </c>
      <c r="I15" s="24">
        <v>0.59755999999999998</v>
      </c>
      <c r="J15" s="12">
        <v>34.71</v>
      </c>
      <c r="K15" s="42">
        <v>11.53</v>
      </c>
      <c r="L15" s="12">
        <v>29.17</v>
      </c>
      <c r="M15" s="42">
        <v>26.31</v>
      </c>
      <c r="N15" s="42">
        <v>6.32</v>
      </c>
      <c r="O15" s="21">
        <v>0.25869999999999999</v>
      </c>
      <c r="P15" s="21">
        <v>0.26090000000000002</v>
      </c>
      <c r="Q15" s="21">
        <v>0.24660000000000001</v>
      </c>
      <c r="R15" s="21">
        <v>0.33539999999999998</v>
      </c>
      <c r="S15" s="21">
        <v>4.3999999999999997E-2</v>
      </c>
      <c r="T15" s="35">
        <v>1.76</v>
      </c>
      <c r="U15" s="44">
        <v>165780</v>
      </c>
      <c r="V15" s="13" t="s">
        <v>421</v>
      </c>
    </row>
    <row r="16" spans="1:22">
      <c r="A16" s="18"/>
      <c r="B16" s="11"/>
      <c r="C16" s="12"/>
      <c r="D16" s="12"/>
      <c r="E16" s="12"/>
      <c r="F16" s="12"/>
      <c r="G16" s="34"/>
      <c r="H16" s="24"/>
      <c r="I16" s="24"/>
      <c r="J16" s="42"/>
      <c r="K16" s="42"/>
      <c r="L16" s="42"/>
      <c r="M16" s="42"/>
      <c r="N16" s="42"/>
      <c r="O16" s="21"/>
      <c r="P16" s="21"/>
      <c r="Q16" s="21"/>
      <c r="R16" s="46"/>
      <c r="S16" s="21"/>
      <c r="T16" s="35"/>
      <c r="U16" s="44"/>
      <c r="V16" s="13"/>
    </row>
    <row r="17" spans="1:22">
      <c r="A17" s="19"/>
      <c r="B17" s="14"/>
      <c r="C17" s="15"/>
      <c r="D17" s="15"/>
      <c r="E17" s="15"/>
      <c r="F17" s="15"/>
      <c r="G17" s="36"/>
      <c r="H17" s="39"/>
      <c r="I17" s="39"/>
      <c r="J17" s="15"/>
      <c r="K17" s="15"/>
      <c r="L17" s="15"/>
      <c r="M17" s="15"/>
      <c r="N17" s="15"/>
      <c r="O17" s="22"/>
      <c r="P17" s="22"/>
      <c r="Q17" s="22"/>
      <c r="R17" s="22"/>
      <c r="S17" s="22"/>
      <c r="T17" s="37" t="s">
        <v>44</v>
      </c>
      <c r="U17" s="53"/>
      <c r="V17" s="16"/>
    </row>
    <row r="18" spans="1:22">
      <c r="A18" s="18" t="s">
        <v>430</v>
      </c>
      <c r="B18" s="60" t="s">
        <v>431</v>
      </c>
      <c r="C18" s="12"/>
      <c r="D18" s="12"/>
      <c r="E18" s="12"/>
      <c r="F18" s="12"/>
      <c r="G18" s="34" t="s">
        <v>432</v>
      </c>
      <c r="H18" s="24">
        <v>3.65</v>
      </c>
      <c r="I18" s="24">
        <v>9.8570000000000005E-2</v>
      </c>
      <c r="J18" s="42">
        <v>78.98</v>
      </c>
      <c r="K18" s="42">
        <v>3.93</v>
      </c>
      <c r="L18" s="42">
        <v>37.18</v>
      </c>
      <c r="M18" s="42">
        <v>34.58</v>
      </c>
      <c r="N18" s="42">
        <v>6.64</v>
      </c>
      <c r="O18" s="21">
        <v>0.43359999999999999</v>
      </c>
      <c r="P18" s="21">
        <v>0.42699999999999999</v>
      </c>
      <c r="Q18" s="21">
        <v>0.30919999999999997</v>
      </c>
      <c r="R18" s="21">
        <v>4.41E-2</v>
      </c>
      <c r="S18" s="21">
        <v>1.2627999999999999</v>
      </c>
      <c r="T18" s="45">
        <v>5.03</v>
      </c>
      <c r="U18" s="74">
        <v>181510</v>
      </c>
      <c r="V18" s="13" t="s">
        <v>433</v>
      </c>
    </row>
    <row r="19" spans="1:22">
      <c r="A19" s="18"/>
      <c r="B19" s="12"/>
      <c r="C19" s="12"/>
      <c r="D19" s="12"/>
      <c r="E19" s="12"/>
      <c r="F19" s="12"/>
      <c r="G19" s="34"/>
      <c r="H19" s="24"/>
      <c r="I19" s="24"/>
      <c r="J19" s="40"/>
      <c r="K19" s="12"/>
      <c r="L19" s="12"/>
      <c r="M19" s="12"/>
      <c r="N19" s="12"/>
      <c r="O19" s="21"/>
      <c r="P19" s="21"/>
      <c r="Q19" s="21"/>
      <c r="R19" s="21"/>
      <c r="S19" s="21"/>
      <c r="T19" s="12"/>
      <c r="U19" s="44"/>
      <c r="V19" s="13"/>
    </row>
    <row r="20" spans="1:22">
      <c r="A20" s="19"/>
      <c r="B20" s="15"/>
      <c r="C20" s="15"/>
      <c r="D20" s="15"/>
      <c r="E20" s="15"/>
      <c r="F20" s="15"/>
      <c r="G20" s="36"/>
      <c r="H20" s="39"/>
      <c r="I20" s="39"/>
      <c r="J20" s="15"/>
      <c r="K20" s="15"/>
      <c r="L20" s="15"/>
      <c r="M20" s="15"/>
      <c r="N20" s="15"/>
      <c r="O20" s="22"/>
      <c r="P20" s="22"/>
      <c r="Q20" s="22"/>
      <c r="R20" s="22"/>
      <c r="S20" s="22"/>
      <c r="T20" s="15"/>
      <c r="U20" s="53"/>
      <c r="V20" s="16"/>
    </row>
    <row r="21" spans="1:22">
      <c r="A21" s="18" t="s">
        <v>562</v>
      </c>
      <c r="B21" s="60"/>
      <c r="C21" s="12"/>
      <c r="D21" s="12"/>
      <c r="E21" s="12"/>
      <c r="F21" s="12"/>
      <c r="G21" s="34"/>
      <c r="H21" s="24"/>
      <c r="I21" s="24"/>
      <c r="J21" s="42"/>
      <c r="K21" s="42"/>
      <c r="L21" s="42"/>
      <c r="M21" s="42"/>
      <c r="N21" s="42"/>
      <c r="O21" s="21"/>
      <c r="P21" s="21"/>
      <c r="Q21" s="21"/>
      <c r="R21" s="21"/>
      <c r="S21" s="21"/>
      <c r="T21" s="45"/>
      <c r="U21" s="74"/>
      <c r="V21" s="13"/>
    </row>
    <row r="22" spans="1:22">
      <c r="A22" s="18"/>
      <c r="B22" s="12"/>
      <c r="C22" s="12"/>
      <c r="D22" s="12"/>
      <c r="E22" s="12"/>
      <c r="F22" s="12"/>
      <c r="G22" s="34"/>
      <c r="H22" s="24"/>
      <c r="I22" s="24"/>
      <c r="J22" s="40"/>
      <c r="K22" s="12"/>
      <c r="L22" s="12"/>
      <c r="M22" s="12"/>
      <c r="N22" s="12"/>
      <c r="O22" s="21"/>
      <c r="P22" s="21"/>
      <c r="Q22" s="21"/>
      <c r="R22" s="21"/>
      <c r="S22" s="21"/>
      <c r="T22" s="12"/>
      <c r="U22" s="44"/>
      <c r="V22" s="13"/>
    </row>
    <row r="23" spans="1:22">
      <c r="A23" s="19"/>
      <c r="B23" s="15"/>
      <c r="C23" s="15"/>
      <c r="D23" s="15"/>
      <c r="E23" s="15"/>
      <c r="F23" s="15"/>
      <c r="G23" s="36"/>
      <c r="H23" s="39"/>
      <c r="I23" s="39"/>
      <c r="J23" s="15"/>
      <c r="K23" s="15"/>
      <c r="L23" s="15"/>
      <c r="M23" s="15"/>
      <c r="N23" s="15"/>
      <c r="O23" s="22"/>
      <c r="P23" s="22"/>
      <c r="Q23" s="22"/>
      <c r="R23" s="22"/>
      <c r="S23" s="22"/>
      <c r="T23" s="15"/>
      <c r="U23" s="53"/>
      <c r="V23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201E-890B-41A2-9456-C006731550ED}">
  <dimension ref="A1:V64"/>
  <sheetViews>
    <sheetView zoomScale="68" zoomScaleNormal="68" workbookViewId="0">
      <selection activeCell="A23" sqref="A23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1.1757812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604</v>
      </c>
      <c r="B2" s="92" t="s">
        <v>76</v>
      </c>
      <c r="C2" s="93"/>
      <c r="D2" s="93"/>
      <c r="E2" s="93"/>
      <c r="F2" s="93"/>
      <c r="G2" s="94" t="s">
        <v>77</v>
      </c>
      <c r="H2" s="95">
        <v>140.4</v>
      </c>
      <c r="I2" s="95">
        <v>4.18</v>
      </c>
      <c r="J2" s="93">
        <v>37.31</v>
      </c>
      <c r="K2" s="93">
        <v>9.01</v>
      </c>
      <c r="L2" s="93">
        <v>26.21</v>
      </c>
      <c r="M2" s="93">
        <v>25.54</v>
      </c>
      <c r="N2" s="93">
        <v>0.88</v>
      </c>
      <c r="O2" s="96">
        <v>6.2700000000000006E-2</v>
      </c>
      <c r="P2" s="96">
        <v>0.10780000000000001</v>
      </c>
      <c r="Q2" s="96">
        <v>4.1700000000000001E-2</v>
      </c>
      <c r="R2" s="96">
        <v>0.2429</v>
      </c>
      <c r="S2" s="96">
        <v>0.5282</v>
      </c>
      <c r="T2" s="93">
        <v>1.01</v>
      </c>
      <c r="U2" s="97">
        <v>623430</v>
      </c>
      <c r="V2" s="89" t="s">
        <v>78</v>
      </c>
    </row>
    <row r="3" spans="1:22">
      <c r="A3" s="18"/>
      <c r="B3" s="11" t="s">
        <v>79</v>
      </c>
      <c r="C3" s="12"/>
      <c r="D3" s="12"/>
      <c r="E3" s="12"/>
      <c r="F3" s="12"/>
      <c r="G3" s="34" t="s">
        <v>80</v>
      </c>
      <c r="H3" s="24">
        <v>374.23</v>
      </c>
      <c r="I3" s="24">
        <v>14.55</v>
      </c>
      <c r="J3" s="12">
        <v>25.46</v>
      </c>
      <c r="K3" s="12">
        <v>21.36</v>
      </c>
      <c r="L3" s="12">
        <v>14.53</v>
      </c>
      <c r="M3" s="42">
        <v>13.06</v>
      </c>
      <c r="N3" s="12">
        <v>0.72</v>
      </c>
      <c r="O3" s="21">
        <v>1.52E-2</v>
      </c>
      <c r="P3" s="21">
        <v>4.0000000000000001E-3</v>
      </c>
      <c r="Q3" s="21">
        <v>6.2399999999999997E-2</v>
      </c>
      <c r="R3" s="21">
        <v>0.20899999999999999</v>
      </c>
      <c r="S3" s="21">
        <v>0.97009999999999996</v>
      </c>
      <c r="T3" s="12">
        <v>0.79</v>
      </c>
      <c r="U3" s="44">
        <v>238170</v>
      </c>
      <c r="V3" s="13" t="s">
        <v>81</v>
      </c>
    </row>
    <row r="4" spans="1:22">
      <c r="A4" s="18"/>
      <c r="B4" s="11" t="s">
        <v>82</v>
      </c>
      <c r="C4" s="12" t="s">
        <v>4</v>
      </c>
      <c r="D4" s="12" t="s">
        <v>5</v>
      </c>
      <c r="E4" s="12" t="s">
        <v>6</v>
      </c>
      <c r="F4" s="12" t="s">
        <v>9</v>
      </c>
      <c r="G4" s="34" t="s">
        <v>83</v>
      </c>
      <c r="H4" s="24">
        <v>57.19</v>
      </c>
      <c r="I4" s="24">
        <v>4.09</v>
      </c>
      <c r="J4" s="12">
        <v>17.86</v>
      </c>
      <c r="K4" s="12">
        <v>4.9800000000000004</v>
      </c>
      <c r="L4" s="12">
        <v>9.82</v>
      </c>
      <c r="M4" s="42">
        <v>8.5500000000000007</v>
      </c>
      <c r="N4" s="12">
        <v>0.74</v>
      </c>
      <c r="O4" s="21">
        <v>1.47E-2</v>
      </c>
      <c r="P4" s="21">
        <v>5.11E-2</v>
      </c>
      <c r="Q4" s="21">
        <v>9.2799999999999994E-2</v>
      </c>
      <c r="R4" s="21">
        <v>0.28220000000000001</v>
      </c>
      <c r="S4" s="21">
        <v>1.1809000000000001</v>
      </c>
      <c r="T4" s="12">
        <v>0.86</v>
      </c>
      <c r="U4" s="44">
        <v>212260</v>
      </c>
      <c r="V4" s="13" t="s">
        <v>81</v>
      </c>
    </row>
    <row r="5" spans="1:22">
      <c r="A5" s="18"/>
      <c r="B5" s="11" t="s">
        <v>85</v>
      </c>
      <c r="C5" s="12"/>
      <c r="D5" s="12"/>
      <c r="E5" s="12"/>
      <c r="F5" s="12"/>
      <c r="G5" s="34" t="s">
        <v>86</v>
      </c>
      <c r="H5" s="24">
        <v>25.16</v>
      </c>
      <c r="I5" s="24">
        <v>1.54</v>
      </c>
      <c r="J5" s="12">
        <v>15.65</v>
      </c>
      <c r="K5" s="12">
        <v>2.93</v>
      </c>
      <c r="L5" s="12">
        <v>6.09</v>
      </c>
      <c r="M5" s="42">
        <v>6.6</v>
      </c>
      <c r="N5" s="12">
        <v>0.21</v>
      </c>
      <c r="O5" s="21">
        <v>2.4299999999999999E-2</v>
      </c>
      <c r="P5" s="21">
        <v>3.2199999999999999E-2</v>
      </c>
      <c r="Q5" s="21">
        <v>4.3299999999999998E-2</v>
      </c>
      <c r="R5" s="21">
        <v>0.19059999999999999</v>
      </c>
      <c r="S5" s="21">
        <v>2.4620000000000002</v>
      </c>
      <c r="T5" s="12">
        <v>0.76</v>
      </c>
      <c r="U5" s="44">
        <v>281120</v>
      </c>
      <c r="V5" s="13" t="s">
        <v>87</v>
      </c>
    </row>
    <row r="6" spans="1:22">
      <c r="A6" s="18"/>
      <c r="B6" s="11" t="s">
        <v>90</v>
      </c>
      <c r="C6" s="12"/>
      <c r="D6" s="12"/>
      <c r="E6" s="12"/>
      <c r="F6" s="12"/>
      <c r="G6" s="34" t="s">
        <v>91</v>
      </c>
      <c r="H6" s="24">
        <v>45.88</v>
      </c>
      <c r="I6" s="24">
        <v>1.45</v>
      </c>
      <c r="J6" s="42">
        <v>27.38</v>
      </c>
      <c r="K6" s="42">
        <v>6.98</v>
      </c>
      <c r="L6" s="42">
        <v>20.98</v>
      </c>
      <c r="M6" s="42">
        <v>16.649999999999999</v>
      </c>
      <c r="N6" s="42">
        <v>1.68</v>
      </c>
      <c r="O6" s="21">
        <v>7.9799999999999996E-2</v>
      </c>
      <c r="P6" s="21">
        <v>9.5200000000000007E-2</v>
      </c>
      <c r="Q6" s="21">
        <v>0.1023</v>
      </c>
      <c r="R6" s="21">
        <v>0.25679999999999997</v>
      </c>
      <c r="S6" s="21">
        <v>1.7451000000000001</v>
      </c>
      <c r="T6" s="12">
        <v>1.1399999999999999</v>
      </c>
      <c r="U6" s="44">
        <v>194080</v>
      </c>
      <c r="V6" s="13" t="s">
        <v>92</v>
      </c>
    </row>
    <row r="7" spans="1:22">
      <c r="A7" s="18"/>
      <c r="B7" s="11" t="s">
        <v>93</v>
      </c>
      <c r="C7" s="12"/>
      <c r="D7" s="12"/>
      <c r="E7" s="12"/>
      <c r="F7" s="12"/>
      <c r="G7" s="34" t="s">
        <v>94</v>
      </c>
      <c r="H7" s="24">
        <v>19.350000000000001</v>
      </c>
      <c r="I7" s="24">
        <v>0.83499999999999996</v>
      </c>
      <c r="J7" s="42">
        <v>23.49</v>
      </c>
      <c r="K7" s="42">
        <v>3.23</v>
      </c>
      <c r="L7" s="42">
        <v>12.06</v>
      </c>
      <c r="M7" s="42">
        <v>14.68</v>
      </c>
      <c r="N7" s="42">
        <v>0.82</v>
      </c>
      <c r="O7" s="21">
        <v>0.2238</v>
      </c>
      <c r="P7" s="21">
        <v>0.12670000000000001</v>
      </c>
      <c r="Q7" s="21">
        <v>9.5100000000000004E-2</v>
      </c>
      <c r="R7" s="21">
        <v>0.13780000000000001</v>
      </c>
      <c r="S7" s="21">
        <v>1.6036999999999999</v>
      </c>
      <c r="T7" s="35">
        <v>1.1000000000000001</v>
      </c>
      <c r="U7" s="44">
        <v>122270</v>
      </c>
      <c r="V7" s="13" t="s">
        <v>92</v>
      </c>
    </row>
    <row r="8" spans="1:22">
      <c r="A8" s="18"/>
      <c r="B8" s="60" t="s">
        <v>571</v>
      </c>
      <c r="C8" s="12"/>
      <c r="D8" s="12"/>
      <c r="E8" s="12"/>
      <c r="F8" s="12"/>
      <c r="G8" s="34" t="s">
        <v>567</v>
      </c>
      <c r="H8" s="24">
        <v>79.7</v>
      </c>
      <c r="I8" s="24">
        <v>2.82</v>
      </c>
      <c r="J8" s="45">
        <v>19.100000000000001</v>
      </c>
      <c r="K8" s="42">
        <v>31.44</v>
      </c>
      <c r="L8" s="42">
        <v>14.23</v>
      </c>
      <c r="M8" s="42">
        <v>20.93</v>
      </c>
      <c r="N8" s="42">
        <v>1.1200000000000001</v>
      </c>
      <c r="O8" s="21">
        <v>5.11E-2</v>
      </c>
      <c r="P8" s="21">
        <v>6.3500000000000001E-2</v>
      </c>
      <c r="Q8" s="21">
        <v>0.1071</v>
      </c>
      <c r="R8" s="21">
        <v>1.6616</v>
      </c>
      <c r="S8" s="21">
        <v>12.0436</v>
      </c>
      <c r="T8" s="35">
        <v>1.05</v>
      </c>
      <c r="U8" s="44">
        <v>225460</v>
      </c>
      <c r="V8" s="13" t="s">
        <v>568</v>
      </c>
    </row>
    <row r="9" spans="1:22">
      <c r="A9" s="18"/>
      <c r="B9" s="12" t="s">
        <v>88</v>
      </c>
      <c r="C9" s="12"/>
      <c r="D9" s="12"/>
      <c r="E9" s="12"/>
      <c r="F9" s="12"/>
      <c r="G9" s="34" t="s">
        <v>89</v>
      </c>
      <c r="H9" s="24">
        <v>225.55</v>
      </c>
      <c r="I9" s="24">
        <v>11.05</v>
      </c>
      <c r="J9" s="45">
        <v>20.43</v>
      </c>
      <c r="K9" s="42"/>
      <c r="L9" s="42">
        <v>16.68</v>
      </c>
      <c r="M9" s="42">
        <v>18.16</v>
      </c>
      <c r="N9" s="42">
        <v>2.0699999999999998</v>
      </c>
      <c r="O9" s="21">
        <v>5.79E-2</v>
      </c>
      <c r="P9" s="21">
        <v>0.1099</v>
      </c>
      <c r="Q9" s="21">
        <v>0.1618</v>
      </c>
      <c r="R9" s="21">
        <v>-5.9949000000000003</v>
      </c>
      <c r="S9" s="21">
        <v>-18.810700000000001</v>
      </c>
      <c r="T9" s="35">
        <v>1.08</v>
      </c>
      <c r="U9" s="44">
        <v>265160</v>
      </c>
      <c r="V9" s="13" t="s">
        <v>568</v>
      </c>
    </row>
    <row r="10" spans="1:22">
      <c r="A10" s="18"/>
      <c r="B10" s="12" t="s">
        <v>423</v>
      </c>
      <c r="C10" s="12"/>
      <c r="D10" s="12"/>
      <c r="E10" s="12"/>
      <c r="F10" s="12"/>
      <c r="G10" s="34" t="s">
        <v>422</v>
      </c>
      <c r="H10" s="24">
        <v>11.92</v>
      </c>
      <c r="I10" s="24">
        <v>0.80276000000000003</v>
      </c>
      <c r="J10" s="45">
        <v>17.309999999999999</v>
      </c>
      <c r="K10" s="42">
        <v>6.44</v>
      </c>
      <c r="L10" s="42">
        <v>12.1</v>
      </c>
      <c r="M10" s="42">
        <v>9.9600000000000009</v>
      </c>
      <c r="N10" s="42">
        <v>1.64</v>
      </c>
      <c r="O10" s="21">
        <v>0.1794</v>
      </c>
      <c r="P10" s="21">
        <v>0.20830000000000001</v>
      </c>
      <c r="Q10" s="21">
        <v>0.1618</v>
      </c>
      <c r="R10" s="21">
        <v>0.375</v>
      </c>
      <c r="S10" s="21">
        <v>1.0126999999999999</v>
      </c>
      <c r="T10" s="35">
        <v>1.8</v>
      </c>
      <c r="U10" s="44">
        <v>168140</v>
      </c>
      <c r="V10" s="13" t="s">
        <v>424</v>
      </c>
    </row>
    <row r="11" spans="1:22">
      <c r="A11" s="18"/>
      <c r="B11" s="82" t="s">
        <v>569</v>
      </c>
      <c r="C11" s="82"/>
      <c r="D11" s="82"/>
      <c r="E11" s="82"/>
      <c r="F11" s="82"/>
      <c r="G11" s="80" t="s">
        <v>570</v>
      </c>
      <c r="H11" s="81">
        <v>77.73</v>
      </c>
      <c r="I11" s="81">
        <v>10.39</v>
      </c>
      <c r="J11" s="87">
        <v>11.75</v>
      </c>
      <c r="K11" s="82">
        <v>1.25</v>
      </c>
      <c r="L11" s="82">
        <v>7.05</v>
      </c>
      <c r="M11" s="82">
        <v>6.84</v>
      </c>
      <c r="N11" s="87">
        <v>0.3</v>
      </c>
      <c r="O11" s="83">
        <v>0.13</v>
      </c>
      <c r="P11" s="83">
        <v>0.1085</v>
      </c>
      <c r="Q11" s="83">
        <v>6.6500000000000004E-2</v>
      </c>
      <c r="R11" s="83">
        <v>0.1072</v>
      </c>
      <c r="S11" s="83">
        <v>1.3935999999999999</v>
      </c>
      <c r="T11" s="87">
        <v>0.94</v>
      </c>
      <c r="U11" s="91">
        <v>855920</v>
      </c>
      <c r="V11" s="84" t="s">
        <v>572</v>
      </c>
    </row>
    <row r="12" spans="1:22">
      <c r="A12" s="18"/>
      <c r="B12" s="42" t="s">
        <v>573</v>
      </c>
      <c r="C12" s="42"/>
      <c r="D12" s="42"/>
      <c r="E12" s="42"/>
      <c r="F12" s="42"/>
      <c r="G12" s="71" t="s">
        <v>574</v>
      </c>
      <c r="H12" s="98">
        <v>36.68</v>
      </c>
      <c r="I12" s="98">
        <v>5.27</v>
      </c>
      <c r="J12" s="45">
        <v>10.68</v>
      </c>
      <c r="K12" s="42">
        <v>1.56</v>
      </c>
      <c r="L12" s="42">
        <v>6.74</v>
      </c>
      <c r="M12" s="42">
        <v>6.38</v>
      </c>
      <c r="N12" s="42">
        <v>0.27</v>
      </c>
      <c r="O12" s="85">
        <v>0.1237</v>
      </c>
      <c r="P12" s="85">
        <v>0.1313</v>
      </c>
      <c r="Q12" s="85">
        <v>5.21E-2</v>
      </c>
      <c r="R12" s="85">
        <v>0.14710000000000001</v>
      </c>
      <c r="S12" s="85">
        <v>1.7675000000000001</v>
      </c>
      <c r="T12" s="45">
        <v>0.7</v>
      </c>
      <c r="U12" s="74">
        <v>405570</v>
      </c>
      <c r="V12" s="23" t="s">
        <v>572</v>
      </c>
    </row>
    <row r="13" spans="1:22">
      <c r="A13" s="18"/>
      <c r="B13" s="42" t="s">
        <v>578</v>
      </c>
      <c r="C13" s="42"/>
      <c r="D13" s="42"/>
      <c r="E13" s="42"/>
      <c r="F13" s="42"/>
      <c r="G13" s="71" t="s">
        <v>579</v>
      </c>
      <c r="H13" s="98">
        <v>31.24</v>
      </c>
      <c r="I13" s="98">
        <v>2.69</v>
      </c>
      <c r="J13" s="45">
        <v>18.170000000000002</v>
      </c>
      <c r="K13" s="42">
        <v>10.33</v>
      </c>
      <c r="L13" s="42">
        <v>13.22</v>
      </c>
      <c r="M13" s="42">
        <v>12.36</v>
      </c>
      <c r="N13" s="42">
        <v>3.03</v>
      </c>
      <c r="O13" s="85">
        <v>-9.6100000000000005E-2</v>
      </c>
      <c r="P13" s="85">
        <v>0.10009999999999999</v>
      </c>
      <c r="Q13" s="85">
        <v>0.28860000000000002</v>
      </c>
      <c r="R13" s="85">
        <v>0.56820000000000004</v>
      </c>
      <c r="S13" s="85">
        <v>2.9142999999999999</v>
      </c>
      <c r="T13" s="45">
        <v>1.3</v>
      </c>
      <c r="U13" s="74">
        <v>791800</v>
      </c>
      <c r="V13" s="23" t="s">
        <v>580</v>
      </c>
    </row>
    <row r="14" spans="1:22">
      <c r="A14" s="18"/>
      <c r="B14" s="42" t="s">
        <v>582</v>
      </c>
      <c r="G14" s="71" t="s">
        <v>581</v>
      </c>
      <c r="H14" s="98">
        <v>57.86</v>
      </c>
      <c r="I14" s="98">
        <v>2.84</v>
      </c>
      <c r="J14" s="70">
        <v>18</v>
      </c>
      <c r="K14" s="42">
        <v>10.62</v>
      </c>
      <c r="L14" s="42">
        <v>14.09</v>
      </c>
      <c r="M14" s="42">
        <v>12.03</v>
      </c>
      <c r="N14" s="42">
        <v>1.39</v>
      </c>
      <c r="O14" s="46">
        <v>7.4899999999999994E-2</v>
      </c>
      <c r="P14" s="46">
        <v>8.0500000000000002E-2</v>
      </c>
      <c r="Q14" s="46">
        <v>0.12640000000000001</v>
      </c>
      <c r="R14" s="46">
        <v>0.59699999999999998</v>
      </c>
      <c r="S14" s="46">
        <v>1.9274</v>
      </c>
      <c r="T14" s="70">
        <v>1.23</v>
      </c>
      <c r="U14" s="76">
        <v>145860</v>
      </c>
      <c r="V14" s="13" t="s">
        <v>583</v>
      </c>
    </row>
    <row r="15" spans="1:22">
      <c r="A15" s="18"/>
      <c r="B15" s="42" t="s">
        <v>584</v>
      </c>
      <c r="G15" s="71" t="s">
        <v>585</v>
      </c>
      <c r="H15" s="98">
        <v>31.74</v>
      </c>
      <c r="I15" s="98">
        <v>1.62</v>
      </c>
      <c r="J15" s="70">
        <v>19.34</v>
      </c>
      <c r="K15" s="42">
        <v>9.73</v>
      </c>
      <c r="L15" s="42">
        <v>15.96</v>
      </c>
      <c r="M15" s="42">
        <v>14.38</v>
      </c>
      <c r="N15" s="45">
        <v>1.8</v>
      </c>
      <c r="O15" s="46">
        <v>7.7499999999999999E-2</v>
      </c>
      <c r="P15" s="46">
        <v>0.1169</v>
      </c>
      <c r="Q15" s="46">
        <v>0.15570000000000001</v>
      </c>
      <c r="R15" s="46">
        <v>0.50329999999999997</v>
      </c>
      <c r="S15" s="46">
        <v>1.0383</v>
      </c>
      <c r="T15" s="70">
        <v>1.29</v>
      </c>
      <c r="U15" s="76">
        <v>173400</v>
      </c>
      <c r="V15" s="13" t="s">
        <v>586</v>
      </c>
    </row>
    <row r="16" spans="1:22">
      <c r="A16" s="18"/>
      <c r="B16" s="42" t="s">
        <v>588</v>
      </c>
      <c r="G16" s="71" t="s">
        <v>587</v>
      </c>
      <c r="H16" s="98">
        <v>23.36</v>
      </c>
      <c r="I16" s="98">
        <v>1.47</v>
      </c>
      <c r="J16" s="70">
        <v>15.24</v>
      </c>
      <c r="K16" s="42"/>
      <c r="L16" s="42">
        <v>11.88</v>
      </c>
      <c r="M16" s="42">
        <v>14.97</v>
      </c>
      <c r="N16" s="45">
        <v>1.97</v>
      </c>
      <c r="O16" s="46">
        <v>4.5999999999999999E-2</v>
      </c>
      <c r="P16" s="46">
        <v>8.5099999999999995E-2</v>
      </c>
      <c r="Q16" s="46">
        <v>0.21640000000000001</v>
      </c>
      <c r="R16" s="46">
        <v>-0.95469999999999999</v>
      </c>
      <c r="S16" s="46">
        <v>-4.8955000000000002</v>
      </c>
      <c r="T16" s="70">
        <v>0.91</v>
      </c>
      <c r="U16" s="76">
        <v>125810</v>
      </c>
      <c r="V16" s="13" t="s">
        <v>589</v>
      </c>
    </row>
    <row r="17" spans="1:22">
      <c r="A17" s="18"/>
      <c r="B17" s="42" t="s">
        <v>590</v>
      </c>
      <c r="G17" s="71" t="s">
        <v>591</v>
      </c>
      <c r="H17" s="98">
        <v>11.59</v>
      </c>
      <c r="I17" s="98">
        <v>-0.56850000000000001</v>
      </c>
      <c r="J17" s="70">
        <v>13.33</v>
      </c>
      <c r="K17" s="42">
        <v>3.21</v>
      </c>
      <c r="L17" s="42">
        <v>10.57</v>
      </c>
      <c r="M17" s="42">
        <v>10.63</v>
      </c>
      <c r="N17" s="45">
        <v>0.55000000000000004</v>
      </c>
      <c r="O17" s="46">
        <v>7.5700000000000003E-2</v>
      </c>
      <c r="P17" s="46">
        <v>9.4500000000000001E-2</v>
      </c>
      <c r="Q17" s="46">
        <v>6.7900000000000002E-2</v>
      </c>
      <c r="R17" s="46">
        <v>0.24460000000000001</v>
      </c>
      <c r="S17" s="46">
        <v>4.2276999999999996</v>
      </c>
      <c r="T17" s="70">
        <v>2.36</v>
      </c>
      <c r="U17" s="76">
        <v>792020</v>
      </c>
      <c r="V17" s="13" t="s">
        <v>592</v>
      </c>
    </row>
    <row r="18" spans="1:22">
      <c r="A18" s="18"/>
      <c r="B18" s="82" t="s">
        <v>593</v>
      </c>
      <c r="C18" s="88"/>
      <c r="D18" s="88"/>
      <c r="E18" s="88"/>
      <c r="F18" s="88"/>
      <c r="G18" s="80" t="s">
        <v>594</v>
      </c>
      <c r="H18" s="81">
        <v>2.75</v>
      </c>
      <c r="I18" s="81">
        <v>0.80200000000000005</v>
      </c>
      <c r="J18" s="102">
        <v>4.0199999999999996</v>
      </c>
      <c r="K18" s="82">
        <v>0.52</v>
      </c>
      <c r="L18" s="82">
        <v>1.74</v>
      </c>
      <c r="M18" s="82">
        <v>1.39</v>
      </c>
      <c r="N18" s="87">
        <v>0.14000000000000001</v>
      </c>
      <c r="O18" s="101">
        <v>9.7999999999999997E-3</v>
      </c>
      <c r="P18" s="101">
        <v>-1.7100000000000001E-2</v>
      </c>
      <c r="Q18" s="101">
        <v>0.1009</v>
      </c>
      <c r="R18" s="101">
        <v>0.12740000000000001</v>
      </c>
      <c r="S18" s="101">
        <v>1.1236999999999999</v>
      </c>
      <c r="T18" s="102">
        <v>1.58</v>
      </c>
      <c r="U18" s="103">
        <v>163720</v>
      </c>
      <c r="V18" s="84" t="s">
        <v>595</v>
      </c>
    </row>
    <row r="19" spans="1:22">
      <c r="A19" s="18"/>
      <c r="B19" s="82" t="s">
        <v>596</v>
      </c>
      <c r="C19" s="88"/>
      <c r="D19" s="88"/>
      <c r="E19" s="88"/>
      <c r="F19" s="88"/>
      <c r="G19" s="80" t="s">
        <v>597</v>
      </c>
      <c r="H19" s="81">
        <v>18.53</v>
      </c>
      <c r="I19" s="81">
        <v>1.82</v>
      </c>
      <c r="J19" s="102">
        <v>12.44</v>
      </c>
      <c r="K19" s="82">
        <v>5.72</v>
      </c>
      <c r="L19" s="82">
        <v>8.0500000000000007</v>
      </c>
      <c r="M19" s="82">
        <v>4.88</v>
      </c>
      <c r="N19" s="87">
        <v>0.43</v>
      </c>
      <c r="O19" s="101">
        <v>1.77E-2</v>
      </c>
      <c r="P19" s="101">
        <v>4.3499999999999997E-2</v>
      </c>
      <c r="Q19" s="101">
        <v>6.5699999999999995E-2</v>
      </c>
      <c r="R19" s="101">
        <v>0.46550000000000002</v>
      </c>
      <c r="S19" s="101">
        <v>1.1696</v>
      </c>
      <c r="T19" s="102">
        <v>1.08</v>
      </c>
      <c r="U19" s="103">
        <v>349100</v>
      </c>
      <c r="V19" s="84" t="s">
        <v>598</v>
      </c>
    </row>
    <row r="20" spans="1:22">
      <c r="A20" s="18"/>
      <c r="B20" s="11" t="s">
        <v>599</v>
      </c>
      <c r="C20" s="12"/>
      <c r="D20" s="12"/>
      <c r="E20" s="12"/>
      <c r="F20" s="12"/>
      <c r="G20" s="34" t="s">
        <v>600</v>
      </c>
      <c r="H20" s="24">
        <v>27.93</v>
      </c>
      <c r="I20" s="24">
        <v>1.1200000000000001</v>
      </c>
      <c r="J20" s="35">
        <v>21.13</v>
      </c>
      <c r="K20" s="42">
        <v>139.22</v>
      </c>
      <c r="L20" s="42">
        <v>17.22</v>
      </c>
      <c r="M20" s="42">
        <v>18.649999999999999</v>
      </c>
      <c r="N20" s="45">
        <v>2.78</v>
      </c>
      <c r="O20" s="21">
        <v>7.0599999999999996E-2</v>
      </c>
      <c r="P20" s="21">
        <v>0.1123</v>
      </c>
      <c r="Q20" s="21">
        <v>0.21360000000000001</v>
      </c>
      <c r="R20" s="21">
        <v>6.7084000000000001</v>
      </c>
      <c r="S20" s="21">
        <v>59.2607</v>
      </c>
      <c r="T20" s="35">
        <v>0.86</v>
      </c>
      <c r="U20" s="24">
        <v>125780</v>
      </c>
      <c r="V20" s="13" t="s">
        <v>589</v>
      </c>
    </row>
    <row r="21" spans="1:22">
      <c r="A21" s="18"/>
      <c r="B21" s="86" t="s">
        <v>601</v>
      </c>
      <c r="C21" s="82"/>
      <c r="D21" s="82"/>
      <c r="E21" s="82"/>
      <c r="F21" s="82"/>
      <c r="G21" s="80" t="s">
        <v>372</v>
      </c>
      <c r="H21" s="81">
        <v>1.66</v>
      </c>
      <c r="I21" s="81">
        <v>0.70599999999999996</v>
      </c>
      <c r="J21" s="87">
        <v>2.95</v>
      </c>
      <c r="K21" s="82">
        <v>0.26</v>
      </c>
      <c r="L21" s="82">
        <v>1.07</v>
      </c>
      <c r="M21" s="82">
        <v>0.69</v>
      </c>
      <c r="N21" s="87">
        <v>7.0000000000000007E-2</v>
      </c>
      <c r="O21" s="83">
        <v>-2.06E-2</v>
      </c>
      <c r="P21" s="83">
        <v>-9.6199999999999994E-2</v>
      </c>
      <c r="Q21" s="83">
        <v>7.5499999999999998E-2</v>
      </c>
      <c r="R21" s="83">
        <v>0.09</v>
      </c>
      <c r="S21" s="83">
        <v>1.1620999999999999</v>
      </c>
      <c r="T21" s="87">
        <v>1.33</v>
      </c>
      <c r="U21" s="81">
        <v>205940</v>
      </c>
      <c r="V21" s="84" t="s">
        <v>595</v>
      </c>
    </row>
    <row r="22" spans="1:22">
      <c r="A22" s="18"/>
      <c r="B22" s="11" t="s">
        <v>602</v>
      </c>
      <c r="C22" s="12"/>
      <c r="D22" s="12"/>
      <c r="E22" s="12"/>
      <c r="F22" s="12"/>
      <c r="G22" s="34" t="s">
        <v>373</v>
      </c>
      <c r="H22" s="24">
        <v>2.75</v>
      </c>
      <c r="I22" s="24">
        <v>0.30099999999999999</v>
      </c>
      <c r="J22" s="35">
        <v>5.57</v>
      </c>
      <c r="K22" s="42">
        <v>3.38</v>
      </c>
      <c r="L22" s="42">
        <v>2.37</v>
      </c>
      <c r="M22" s="42">
        <v>1.87</v>
      </c>
      <c r="N22" s="45">
        <v>0.18</v>
      </c>
      <c r="O22" s="21">
        <v>2.8199999999999999E-2</v>
      </c>
      <c r="P22" s="21">
        <v>-1.18E-2</v>
      </c>
      <c r="Q22" s="21">
        <v>9.5100000000000004E-2</v>
      </c>
      <c r="R22" s="21">
        <v>0.61229999999999996</v>
      </c>
      <c r="S22" s="21">
        <v>4.8978999999999999</v>
      </c>
      <c r="T22" s="35">
        <v>0.84</v>
      </c>
      <c r="U22" s="24">
        <v>228290</v>
      </c>
      <c r="V22" s="13" t="s">
        <v>603</v>
      </c>
    </row>
    <row r="23" spans="1:22">
      <c r="A23" s="18"/>
      <c r="B23" s="11" t="s">
        <v>605</v>
      </c>
      <c r="C23" s="12"/>
      <c r="D23" s="12"/>
      <c r="E23" s="12"/>
      <c r="F23" s="12"/>
      <c r="G23" s="34" t="s">
        <v>606</v>
      </c>
      <c r="H23" s="24">
        <v>12.55</v>
      </c>
      <c r="I23" s="24">
        <v>-0.59770000000000001</v>
      </c>
      <c r="J23" s="12"/>
      <c r="K23" s="12"/>
      <c r="L23" s="12"/>
      <c r="M23" s="42">
        <v>-11.54</v>
      </c>
      <c r="N23" s="45">
        <v>1.36</v>
      </c>
      <c r="O23" s="85">
        <v>0.47239999999999999</v>
      </c>
      <c r="P23" s="85">
        <v>0.44419999999999998</v>
      </c>
      <c r="Q23" s="85">
        <v>-8.0799999999999997E-2</v>
      </c>
      <c r="R23" s="85">
        <v>1.4525999999999999</v>
      </c>
      <c r="S23" s="85">
        <v>-2.5099</v>
      </c>
      <c r="T23" s="45">
        <v>0.93</v>
      </c>
      <c r="U23" s="98">
        <v>537360</v>
      </c>
      <c r="V23" s="23" t="s">
        <v>607</v>
      </c>
    </row>
    <row r="24" spans="1:22">
      <c r="A24" s="18"/>
      <c r="B24" s="14"/>
      <c r="C24" s="15"/>
      <c r="D24" s="15"/>
      <c r="E24" s="15"/>
      <c r="F24" s="15"/>
      <c r="G24" s="36"/>
      <c r="H24" s="39"/>
      <c r="I24" s="39"/>
      <c r="J24" s="15"/>
      <c r="K24" s="15"/>
      <c r="L24" s="15"/>
      <c r="M24" s="78"/>
      <c r="N24" s="15"/>
      <c r="O24" s="22"/>
      <c r="P24" s="22"/>
      <c r="Q24" s="22"/>
      <c r="R24" s="22"/>
      <c r="S24" s="22"/>
      <c r="T24" s="15"/>
      <c r="U24" s="15"/>
      <c r="V24" s="16"/>
    </row>
    <row r="25" spans="1:22">
      <c r="A25" s="17" t="s">
        <v>266</v>
      </c>
      <c r="B25" s="11" t="s">
        <v>299</v>
      </c>
      <c r="C25" s="12"/>
      <c r="D25" s="12"/>
      <c r="E25" s="12"/>
      <c r="F25" s="12"/>
      <c r="G25" s="34" t="s">
        <v>298</v>
      </c>
      <c r="H25" s="24">
        <v>193.53</v>
      </c>
      <c r="I25" s="24">
        <v>8.2200000000000006</v>
      </c>
      <c r="J25" s="42">
        <v>19.43</v>
      </c>
      <c r="K25" s="42">
        <v>10.43</v>
      </c>
      <c r="L25" s="42">
        <v>16.82</v>
      </c>
      <c r="M25" s="42">
        <v>15.4</v>
      </c>
      <c r="N25" s="42">
        <v>5.19</v>
      </c>
      <c r="O25" s="21">
        <v>-4.1200000000000001E-2</v>
      </c>
      <c r="P25" s="21">
        <v>2.6599999999999999E-2</v>
      </c>
      <c r="Q25" s="21">
        <v>0.32340000000000002</v>
      </c>
      <c r="R25" s="21">
        <v>0.54120000000000001</v>
      </c>
      <c r="S25" s="21">
        <v>2.7753000000000001</v>
      </c>
      <c r="T25" s="12">
        <v>0.84</v>
      </c>
      <c r="U25" s="24">
        <v>431240</v>
      </c>
      <c r="V25" s="13" t="s">
        <v>300</v>
      </c>
    </row>
    <row r="26" spans="1:22">
      <c r="A26" s="18"/>
      <c r="B26" s="86" t="s">
        <v>427</v>
      </c>
      <c r="C26" s="12"/>
      <c r="D26" s="12"/>
      <c r="E26" s="12"/>
      <c r="F26" s="12"/>
      <c r="G26" s="80" t="s">
        <v>428</v>
      </c>
      <c r="H26" s="81">
        <v>32.090000000000003</v>
      </c>
      <c r="I26" s="81">
        <v>1.01</v>
      </c>
      <c r="J26" s="82">
        <v>29.46</v>
      </c>
      <c r="K26" s="82">
        <v>8.08</v>
      </c>
      <c r="L26" s="82">
        <v>27.71</v>
      </c>
      <c r="M26" s="82">
        <v>29.64</v>
      </c>
      <c r="N26" s="82">
        <v>7.71</v>
      </c>
      <c r="O26" s="83">
        <v>0.1125</v>
      </c>
      <c r="P26" s="83">
        <v>0.18090000000000001</v>
      </c>
      <c r="Q26" s="83">
        <v>0.35210000000000002</v>
      </c>
      <c r="R26" s="83">
        <v>0.27629999999999999</v>
      </c>
      <c r="S26" s="83">
        <v>7.1999999999999998E-3</v>
      </c>
      <c r="T26" s="82">
        <v>3.29</v>
      </c>
      <c r="U26" s="81">
        <v>1190370</v>
      </c>
      <c r="V26" s="84" t="s">
        <v>429</v>
      </c>
    </row>
    <row r="27" spans="1:22">
      <c r="A27" s="18"/>
      <c r="B27" s="11" t="s">
        <v>503</v>
      </c>
      <c r="C27" s="12"/>
      <c r="D27" s="12"/>
      <c r="E27" s="12"/>
      <c r="F27" s="12"/>
      <c r="G27" s="34" t="s">
        <v>504</v>
      </c>
      <c r="H27" s="24">
        <v>27.59</v>
      </c>
      <c r="I27" s="24">
        <v>1.34</v>
      </c>
      <c r="J27" s="42">
        <v>25.05</v>
      </c>
      <c r="K27" s="42">
        <v>16.2</v>
      </c>
      <c r="L27" s="42">
        <v>19.690000000000001</v>
      </c>
      <c r="M27" s="42">
        <v>20.18</v>
      </c>
      <c r="N27" s="42">
        <v>3.46</v>
      </c>
      <c r="O27" s="21">
        <v>1.4800000000000001E-2</v>
      </c>
      <c r="P27" s="21">
        <v>6.4600000000000005E-2</v>
      </c>
      <c r="Q27" s="21">
        <v>0.24399999999999999</v>
      </c>
      <c r="R27" s="21">
        <v>0.65300000000000002</v>
      </c>
      <c r="S27" s="21">
        <v>3.1659000000000002</v>
      </c>
      <c r="T27" s="35">
        <v>0.92</v>
      </c>
      <c r="U27" s="24">
        <v>496100</v>
      </c>
      <c r="V27" s="13" t="s">
        <v>505</v>
      </c>
    </row>
    <row r="28" spans="1:22">
      <c r="A28" s="18"/>
      <c r="B28" s="11" t="s">
        <v>506</v>
      </c>
      <c r="C28" s="12"/>
      <c r="D28" s="12"/>
      <c r="E28" s="12"/>
      <c r="F28" s="12"/>
      <c r="G28" s="34" t="s">
        <v>507</v>
      </c>
      <c r="H28" s="24">
        <v>87.76</v>
      </c>
      <c r="I28" s="24">
        <v>8.2200000000000006</v>
      </c>
      <c r="J28" s="42">
        <v>10.16</v>
      </c>
      <c r="K28" s="42">
        <v>1.2</v>
      </c>
      <c r="L28" s="42">
        <v>6.63</v>
      </c>
      <c r="M28" s="42">
        <v>4.9000000000000004</v>
      </c>
      <c r="N28" s="42">
        <v>1.68</v>
      </c>
      <c r="O28" s="21">
        <v>2.1399999999999999E-2</v>
      </c>
      <c r="P28" s="21">
        <v>1.29E-2</v>
      </c>
      <c r="Q28" s="21"/>
      <c r="R28" s="21">
        <v>0.11990000000000001</v>
      </c>
      <c r="S28" s="21">
        <v>1.3608</v>
      </c>
      <c r="T28" s="35">
        <v>0.68</v>
      </c>
      <c r="U28" s="24">
        <v>304390</v>
      </c>
      <c r="V28" s="13" t="s">
        <v>508</v>
      </c>
    </row>
    <row r="29" spans="1:22">
      <c r="A29" s="18"/>
      <c r="B29" s="11" t="s">
        <v>509</v>
      </c>
      <c r="C29" s="12"/>
      <c r="D29" s="12"/>
      <c r="E29" s="12"/>
      <c r="F29" s="12"/>
      <c r="G29" s="34" t="s">
        <v>510</v>
      </c>
      <c r="H29" s="24">
        <v>58.7</v>
      </c>
      <c r="I29" s="24">
        <v>2.95</v>
      </c>
      <c r="J29" s="42">
        <v>23.39</v>
      </c>
      <c r="K29" s="42"/>
      <c r="L29" s="42">
        <v>19.27</v>
      </c>
      <c r="M29" s="42">
        <v>17.3</v>
      </c>
      <c r="N29" s="42">
        <v>3.69</v>
      </c>
      <c r="O29" s="21">
        <v>-1.9E-2</v>
      </c>
      <c r="P29" s="21">
        <v>1.9400000000000001E-2</v>
      </c>
      <c r="Q29" s="21">
        <v>0.27689999999999998</v>
      </c>
      <c r="R29" s="21">
        <v>-15.1244</v>
      </c>
      <c r="S29" s="21">
        <v>72.504300000000001</v>
      </c>
      <c r="T29" s="35">
        <v>1.06</v>
      </c>
      <c r="U29" s="24">
        <v>457520</v>
      </c>
      <c r="V29" s="13" t="s">
        <v>539</v>
      </c>
    </row>
    <row r="30" spans="1:22">
      <c r="A30" s="18"/>
      <c r="B30" s="11" t="s">
        <v>537</v>
      </c>
      <c r="C30" s="12"/>
      <c r="D30" s="12"/>
      <c r="E30" s="12"/>
      <c r="F30" s="12"/>
      <c r="G30" s="34" t="s">
        <v>536</v>
      </c>
      <c r="H30" s="24">
        <v>36.090000000000003</v>
      </c>
      <c r="I30" s="24">
        <v>2.5</v>
      </c>
      <c r="J30" s="42">
        <v>17.12</v>
      </c>
      <c r="K30" s="42">
        <v>4.84</v>
      </c>
      <c r="L30" s="42">
        <v>13.15</v>
      </c>
      <c r="M30" s="42">
        <v>14.97</v>
      </c>
      <c r="N30" s="42">
        <v>2.15</v>
      </c>
      <c r="O30" s="21">
        <v>-1.1900000000000001E-2</v>
      </c>
      <c r="P30" s="21">
        <v>-3.0999999999999999E-3</v>
      </c>
      <c r="Q30" s="21">
        <v>0.20899999999999999</v>
      </c>
      <c r="R30" s="21">
        <v>0.28610000000000002</v>
      </c>
      <c r="S30" s="21">
        <v>1.8532</v>
      </c>
      <c r="T30" s="35">
        <v>0.61</v>
      </c>
      <c r="U30" s="24">
        <v>419130</v>
      </c>
      <c r="V30" s="13" t="s">
        <v>538</v>
      </c>
    </row>
    <row r="31" spans="1:22">
      <c r="A31" s="18"/>
      <c r="B31" s="11" t="s">
        <v>528</v>
      </c>
      <c r="C31" s="12"/>
      <c r="D31" s="12"/>
      <c r="E31" s="12"/>
      <c r="F31" s="12"/>
      <c r="G31" s="34" t="s">
        <v>527</v>
      </c>
      <c r="H31" s="24">
        <v>22.15</v>
      </c>
      <c r="I31" s="24">
        <v>0.94699999999999995</v>
      </c>
      <c r="J31" s="42">
        <v>21.69</v>
      </c>
      <c r="K31" s="42">
        <v>8.1999999999999993</v>
      </c>
      <c r="L31" s="42">
        <v>14.74</v>
      </c>
      <c r="M31" s="42">
        <v>11.94</v>
      </c>
      <c r="N31" s="42">
        <v>1.64</v>
      </c>
      <c r="O31" s="21">
        <v>-1.4200000000000001E-2</v>
      </c>
      <c r="P31" s="21">
        <v>4.9299999999999997E-2</v>
      </c>
      <c r="Q31" s="21">
        <v>0.16900000000000001</v>
      </c>
      <c r="R31" s="21">
        <v>0.37969999999999998</v>
      </c>
      <c r="S31" s="21">
        <v>3.3776999999999999</v>
      </c>
      <c r="T31" s="35">
        <v>0.75</v>
      </c>
      <c r="U31" s="24">
        <v>434450</v>
      </c>
      <c r="V31" s="13" t="s">
        <v>529</v>
      </c>
    </row>
    <row r="32" spans="1:22">
      <c r="A32" s="18"/>
      <c r="B32" s="11" t="s">
        <v>540</v>
      </c>
      <c r="C32" s="12"/>
      <c r="D32" s="12"/>
      <c r="E32" s="12"/>
      <c r="F32" s="12"/>
      <c r="G32" s="34" t="s">
        <v>541</v>
      </c>
      <c r="H32" s="24">
        <v>15.22</v>
      </c>
      <c r="I32" s="24">
        <v>0.86199999999999999</v>
      </c>
      <c r="J32" s="42">
        <v>33.380000000000003</v>
      </c>
      <c r="K32" s="42">
        <v>10.029999999999999</v>
      </c>
      <c r="L32" s="42">
        <v>24.59</v>
      </c>
      <c r="M32" s="42">
        <v>15.22</v>
      </c>
      <c r="N32" s="42">
        <v>1.88</v>
      </c>
      <c r="O32" s="21">
        <v>-3.8999999999999998E-3</v>
      </c>
      <c r="P32" s="21">
        <v>-4.2900000000000001E-2</v>
      </c>
      <c r="R32" s="21">
        <v>0.30209999999999998</v>
      </c>
      <c r="S32" s="21">
        <v>2.4394999999999998</v>
      </c>
      <c r="T32" s="35">
        <v>0.6</v>
      </c>
      <c r="U32" s="24">
        <v>425160</v>
      </c>
      <c r="V32" s="13" t="s">
        <v>542</v>
      </c>
    </row>
    <row r="33" spans="1:22">
      <c r="A33" s="18"/>
      <c r="B33" s="11" t="s">
        <v>543</v>
      </c>
      <c r="C33" s="12"/>
      <c r="D33" s="12"/>
      <c r="E33" s="12"/>
      <c r="F33" s="12"/>
      <c r="G33" s="34" t="s">
        <v>544</v>
      </c>
      <c r="H33" s="24">
        <v>25.04</v>
      </c>
      <c r="I33" s="24">
        <v>0.61129999999999995</v>
      </c>
      <c r="J33" s="42">
        <v>25.75</v>
      </c>
      <c r="K33" s="42">
        <v>4.1900000000000004</v>
      </c>
      <c r="L33" s="42">
        <v>21.61</v>
      </c>
      <c r="M33" s="42">
        <v>21.43</v>
      </c>
      <c r="N33" s="42">
        <v>2.62</v>
      </c>
      <c r="O33" s="21">
        <v>3.8999999999999998E-3</v>
      </c>
      <c r="P33" s="21">
        <v>9.3200000000000005E-2</v>
      </c>
      <c r="Q33" s="46">
        <v>0.1358</v>
      </c>
      <c r="R33" s="21">
        <v>0.1648</v>
      </c>
      <c r="S33" s="21">
        <v>6.2300000000000001E-2</v>
      </c>
      <c r="T33" s="35">
        <v>2.1800000000000002</v>
      </c>
      <c r="U33" s="24">
        <v>506460</v>
      </c>
      <c r="V33" s="13" t="s">
        <v>545</v>
      </c>
    </row>
    <row r="34" spans="1:22">
      <c r="A34" s="18"/>
      <c r="B34" s="86" t="s">
        <v>530</v>
      </c>
      <c r="C34" s="82"/>
      <c r="D34" s="82"/>
      <c r="E34" s="82"/>
      <c r="F34" s="82"/>
      <c r="G34" s="80" t="s">
        <v>531</v>
      </c>
      <c r="H34" s="81">
        <v>35.869999999999997</v>
      </c>
      <c r="I34" s="81">
        <v>2.81</v>
      </c>
      <c r="J34" s="82">
        <v>18.71</v>
      </c>
      <c r="K34" s="82">
        <v>0.7</v>
      </c>
      <c r="L34" s="82">
        <v>12.34</v>
      </c>
      <c r="M34" s="82">
        <v>14.44</v>
      </c>
      <c r="N34" s="82">
        <v>1.42</v>
      </c>
      <c r="O34" s="83">
        <v>0.1799</v>
      </c>
      <c r="P34" s="83">
        <v>0.19939999999999999</v>
      </c>
      <c r="Q34" s="83">
        <v>0.23300000000000001</v>
      </c>
      <c r="R34" s="83">
        <v>3.7100000000000001E-2</v>
      </c>
      <c r="S34" s="83">
        <v>0.64259999999999995</v>
      </c>
      <c r="T34" s="87">
        <v>1.1599999999999999</v>
      </c>
      <c r="U34" s="81">
        <v>680410</v>
      </c>
      <c r="V34" s="84" t="s">
        <v>532</v>
      </c>
    </row>
    <row r="35" spans="1:22">
      <c r="A35" s="19"/>
      <c r="B35" s="14"/>
      <c r="C35" s="15"/>
      <c r="D35" s="15"/>
      <c r="E35" s="15"/>
      <c r="F35" s="15"/>
      <c r="G35" s="36"/>
      <c r="H35" s="39"/>
      <c r="I35" s="53"/>
      <c r="J35" s="15"/>
      <c r="K35" s="15"/>
      <c r="L35" s="15"/>
      <c r="M35" s="15"/>
      <c r="N35" s="15"/>
      <c r="O35" s="22"/>
      <c r="P35" s="22"/>
      <c r="Q35" s="22"/>
      <c r="R35" s="22"/>
      <c r="S35" s="22"/>
      <c r="T35" s="37"/>
      <c r="U35" s="15"/>
      <c r="V35" s="16"/>
    </row>
    <row r="36" spans="1:22">
      <c r="A36" s="17" t="s">
        <v>502</v>
      </c>
      <c r="B36" s="8" t="s">
        <v>267</v>
      </c>
      <c r="C36" s="9"/>
      <c r="D36" s="9"/>
      <c r="E36" s="9"/>
      <c r="F36" s="9"/>
      <c r="G36" s="28" t="s">
        <v>268</v>
      </c>
      <c r="H36" s="38">
        <v>88.26</v>
      </c>
      <c r="I36" s="38">
        <v>2.73</v>
      </c>
      <c r="J36" s="9">
        <v>24.56</v>
      </c>
      <c r="K36" s="9"/>
      <c r="L36" s="9">
        <v>17.53</v>
      </c>
      <c r="M36" s="9">
        <v>17.84</v>
      </c>
      <c r="N36" s="9">
        <v>3.33</v>
      </c>
      <c r="O36" s="20">
        <v>0.1002</v>
      </c>
      <c r="P36" s="20">
        <v>0.1237</v>
      </c>
      <c r="Q36" s="20">
        <v>0.20330000000000001</v>
      </c>
      <c r="R36" s="20">
        <v>-0.66659999999999997</v>
      </c>
      <c r="S36" s="20">
        <v>-3.0518999999999998</v>
      </c>
      <c r="T36" s="9">
        <v>0.93</v>
      </c>
      <c r="U36" s="38">
        <v>77060</v>
      </c>
      <c r="V36" s="10" t="s">
        <v>269</v>
      </c>
    </row>
    <row r="37" spans="1:22">
      <c r="A37" s="18"/>
      <c r="B37" s="11" t="s">
        <v>271</v>
      </c>
      <c r="C37" s="12"/>
      <c r="D37" s="12"/>
      <c r="E37" s="12"/>
      <c r="F37" s="12"/>
      <c r="G37" s="34" t="s">
        <v>270</v>
      </c>
      <c r="H37" s="24">
        <v>135.86000000000001</v>
      </c>
      <c r="I37" s="24">
        <v>5.73</v>
      </c>
      <c r="J37" s="12">
        <v>23.1</v>
      </c>
      <c r="K37" s="12"/>
      <c r="L37" s="12">
        <v>18</v>
      </c>
      <c r="M37" s="42">
        <v>17.100000000000001</v>
      </c>
      <c r="N37" s="12">
        <v>6.53</v>
      </c>
      <c r="O37" s="21">
        <v>-5.1400000000000001E-2</v>
      </c>
      <c r="P37" s="21">
        <v>3.3300000000000003E-2</v>
      </c>
      <c r="Q37" s="21">
        <v>0.49840000000000001</v>
      </c>
      <c r="R37" s="21">
        <v>-0.79890000000000005</v>
      </c>
      <c r="S37" s="21">
        <v>-5.7922000000000002</v>
      </c>
      <c r="T37" s="12">
        <v>1.1100000000000001</v>
      </c>
      <c r="U37" s="44">
        <v>102810</v>
      </c>
      <c r="V37" s="13" t="s">
        <v>272</v>
      </c>
    </row>
    <row r="38" spans="1:22">
      <c r="A38" s="18"/>
      <c r="B38" s="11" t="s">
        <v>273</v>
      </c>
      <c r="C38" s="12" t="s">
        <v>4</v>
      </c>
      <c r="D38" s="12" t="s">
        <v>5</v>
      </c>
      <c r="E38" s="12" t="s">
        <v>6</v>
      </c>
      <c r="F38" s="12" t="s">
        <v>9</v>
      </c>
      <c r="G38" s="34" t="s">
        <v>274</v>
      </c>
      <c r="H38" s="24">
        <v>13.77</v>
      </c>
      <c r="I38" s="24">
        <v>1.41</v>
      </c>
      <c r="J38" s="12">
        <v>19.489999999999998</v>
      </c>
      <c r="K38" s="12">
        <v>6.05</v>
      </c>
      <c r="L38" s="12">
        <v>15.42</v>
      </c>
      <c r="M38" s="42">
        <v>16.32</v>
      </c>
      <c r="N38" s="12">
        <v>2.2799999999999998</v>
      </c>
      <c r="O38" s="21">
        <v>0.36159999999999998</v>
      </c>
      <c r="P38" s="21">
        <v>0.27200000000000002</v>
      </c>
      <c r="Q38" s="21">
        <v>0.39410000000000001</v>
      </c>
      <c r="R38" s="21">
        <v>0.30499999999999999</v>
      </c>
      <c r="S38" s="21">
        <v>5.3666999999999998</v>
      </c>
      <c r="T38" s="12">
        <v>1.17</v>
      </c>
      <c r="U38" s="44">
        <v>889370</v>
      </c>
      <c r="V38" s="13" t="s">
        <v>275</v>
      </c>
    </row>
    <row r="39" spans="1:22">
      <c r="A39" s="18"/>
      <c r="B39" s="11" t="s">
        <v>276</v>
      </c>
      <c r="C39" s="12"/>
      <c r="D39" s="12"/>
      <c r="E39" s="12"/>
      <c r="F39" s="12"/>
      <c r="G39" s="34" t="s">
        <v>277</v>
      </c>
      <c r="H39" s="24">
        <v>14.39</v>
      </c>
      <c r="I39" s="24">
        <v>0.41138999999999998</v>
      </c>
      <c r="J39" s="12">
        <v>38.67</v>
      </c>
      <c r="K39" s="12"/>
      <c r="L39" s="12">
        <v>32.53</v>
      </c>
      <c r="M39" s="42">
        <v>24.26</v>
      </c>
      <c r="N39" s="12">
        <v>4.1399999999999997</v>
      </c>
      <c r="O39" s="21">
        <v>0.12659999999999999</v>
      </c>
      <c r="P39" s="21">
        <v>0.1835</v>
      </c>
      <c r="Q39" s="21">
        <v>0.19059999999999999</v>
      </c>
      <c r="R39" s="21">
        <v>-0.13100000000000001</v>
      </c>
      <c r="S39" s="21">
        <v>-1.2737000000000001</v>
      </c>
      <c r="T39" s="12">
        <v>1.55</v>
      </c>
      <c r="U39" s="44">
        <v>279080</v>
      </c>
      <c r="V39" s="13" t="s">
        <v>278</v>
      </c>
    </row>
    <row r="40" spans="1:22">
      <c r="A40" s="18"/>
      <c r="B40" s="11" t="s">
        <v>279</v>
      </c>
      <c r="C40" s="12"/>
      <c r="D40" s="12"/>
      <c r="E40" s="12"/>
      <c r="F40" s="12"/>
      <c r="G40" s="34" t="s">
        <v>280</v>
      </c>
      <c r="H40" s="24">
        <v>24.12</v>
      </c>
      <c r="I40" s="24">
        <v>0.37378</v>
      </c>
      <c r="J40" s="42">
        <v>72.61</v>
      </c>
      <c r="K40" s="12">
        <v>14.78</v>
      </c>
      <c r="L40" s="42">
        <v>43.33</v>
      </c>
      <c r="M40" s="42">
        <v>44.74</v>
      </c>
      <c r="N40" s="42">
        <v>4.2300000000000004</v>
      </c>
      <c r="O40" s="21">
        <v>6.3399999999999998E-2</v>
      </c>
      <c r="P40" s="21">
        <v>2.5000000000000001E-3</v>
      </c>
      <c r="Q40" s="21">
        <v>0.1207</v>
      </c>
      <c r="R40" s="21">
        <v>0.20780000000000001</v>
      </c>
      <c r="S40" s="21">
        <v>1.7602</v>
      </c>
      <c r="T40" s="12">
        <v>1.56</v>
      </c>
      <c r="U40" s="44">
        <v>68540</v>
      </c>
      <c r="V40" s="13" t="s">
        <v>281</v>
      </c>
    </row>
    <row r="41" spans="1:22">
      <c r="A41" s="18"/>
      <c r="B41" s="11" t="s">
        <v>547</v>
      </c>
      <c r="C41" s="12"/>
      <c r="D41" s="12"/>
      <c r="E41" s="12"/>
      <c r="F41" s="12"/>
      <c r="G41" s="34" t="s">
        <v>546</v>
      </c>
      <c r="H41" s="24">
        <v>5.14</v>
      </c>
      <c r="I41" s="24">
        <v>0.26096999999999998</v>
      </c>
      <c r="J41" s="42">
        <v>21.46</v>
      </c>
      <c r="K41" s="42"/>
      <c r="L41" s="42">
        <v>18.399999999999999</v>
      </c>
      <c r="M41" s="42">
        <v>19.22</v>
      </c>
      <c r="N41" s="42">
        <v>3.75</v>
      </c>
      <c r="O41" s="21">
        <v>0.1285</v>
      </c>
      <c r="P41" s="21">
        <v>4.6800000000000001E-2</v>
      </c>
      <c r="Q41" s="21">
        <v>0.34279999999999999</v>
      </c>
      <c r="R41" s="21">
        <v>-0.37859999999999999</v>
      </c>
      <c r="S41" s="21">
        <v>-5.4268999999999998</v>
      </c>
      <c r="T41" s="35">
        <v>1.58</v>
      </c>
      <c r="U41" s="44">
        <v>1230010</v>
      </c>
      <c r="V41" s="13" t="s">
        <v>548</v>
      </c>
    </row>
    <row r="42" spans="1:22">
      <c r="A42" s="18"/>
      <c r="B42" s="11" t="s">
        <v>549</v>
      </c>
      <c r="C42" s="12"/>
      <c r="D42" s="12"/>
      <c r="E42" s="12"/>
      <c r="F42" s="12"/>
      <c r="G42" s="34" t="s">
        <v>550</v>
      </c>
      <c r="H42" s="24">
        <v>4.38</v>
      </c>
      <c r="I42" s="24">
        <v>0.21448</v>
      </c>
      <c r="J42" s="42">
        <v>32.979999999999997</v>
      </c>
      <c r="K42" s="42">
        <v>7.27</v>
      </c>
      <c r="L42" s="42">
        <v>16.61</v>
      </c>
      <c r="M42" s="42">
        <v>18.16</v>
      </c>
      <c r="N42" s="42">
        <v>2.61</v>
      </c>
      <c r="O42" s="21">
        <v>-3.6799999999999999E-2</v>
      </c>
      <c r="P42" s="21">
        <v>-8.8000000000000005E-3</v>
      </c>
      <c r="Q42" s="21">
        <v>0.23230000000000001</v>
      </c>
      <c r="R42" s="21">
        <v>0.22309999999999999</v>
      </c>
      <c r="S42" s="21">
        <v>7.1920000000000002</v>
      </c>
      <c r="T42" s="35">
        <v>1.9</v>
      </c>
      <c r="U42" s="44">
        <v>128500</v>
      </c>
      <c r="V42" s="13" t="s">
        <v>551</v>
      </c>
    </row>
    <row r="43" spans="1:22">
      <c r="A43" s="18"/>
      <c r="B43" s="11" t="s">
        <v>556</v>
      </c>
      <c r="C43" s="12"/>
      <c r="D43" s="12"/>
      <c r="E43" s="12"/>
      <c r="F43" s="12"/>
      <c r="G43" s="34" t="s">
        <v>557</v>
      </c>
      <c r="H43" s="24">
        <v>25.23</v>
      </c>
      <c r="I43" s="24">
        <v>1.07</v>
      </c>
      <c r="J43" s="42">
        <v>23.41</v>
      </c>
      <c r="K43" s="12"/>
      <c r="L43" s="42">
        <v>20.61</v>
      </c>
      <c r="M43" s="42">
        <v>57.33</v>
      </c>
      <c r="N43" s="42">
        <v>4.51</v>
      </c>
      <c r="O43" s="21">
        <v>-0.15870000000000001</v>
      </c>
      <c r="P43" s="21">
        <v>-3.8899999999999997E-2</v>
      </c>
      <c r="Q43" s="21">
        <v>0.3619</v>
      </c>
      <c r="R43" s="21">
        <v>-0.13789999999999999</v>
      </c>
      <c r="S43" s="21">
        <v>-1.3982000000000001</v>
      </c>
      <c r="T43" s="35">
        <v>1.19</v>
      </c>
      <c r="U43" s="44">
        <v>164880</v>
      </c>
      <c r="V43" s="13" t="s">
        <v>558</v>
      </c>
    </row>
    <row r="44" spans="1:22">
      <c r="A44" s="19"/>
      <c r="B44" s="14"/>
      <c r="C44" s="15"/>
      <c r="D44" s="15"/>
      <c r="E44" s="15"/>
      <c r="F44" s="15"/>
      <c r="G44" s="36"/>
      <c r="H44" s="39"/>
      <c r="I44" s="15"/>
      <c r="J44" s="15"/>
      <c r="K44" s="15"/>
      <c r="L44" s="15"/>
      <c r="M44" s="15"/>
      <c r="N44" s="15"/>
      <c r="O44" s="22"/>
      <c r="P44" s="22"/>
      <c r="Q44" s="22"/>
      <c r="R44" s="22"/>
      <c r="S44" s="22"/>
      <c r="T44" s="37"/>
      <c r="U44" s="53"/>
      <c r="V44" s="16"/>
    </row>
    <row r="45" spans="1:22">
      <c r="A45" s="17" t="s">
        <v>552</v>
      </c>
      <c r="B45" s="88" t="s">
        <v>293</v>
      </c>
      <c r="C45" s="88"/>
      <c r="D45" s="88"/>
      <c r="E45" s="88"/>
      <c r="F45" s="88"/>
      <c r="G45" s="88" t="s">
        <v>290</v>
      </c>
      <c r="H45" s="88">
        <v>4.55</v>
      </c>
      <c r="I45" s="88">
        <v>0.16194</v>
      </c>
      <c r="J45" s="88">
        <v>13.93</v>
      </c>
      <c r="K45" s="88">
        <v>2.62</v>
      </c>
      <c r="L45" s="88">
        <v>13.8</v>
      </c>
      <c r="M45" s="88">
        <v>9.9700000000000006</v>
      </c>
      <c r="N45" s="88">
        <v>1.49</v>
      </c>
      <c r="O45" s="88">
        <v>7.7299999999999994E-2</v>
      </c>
      <c r="P45" s="88">
        <v>0.15340000000000001</v>
      </c>
      <c r="Q45" s="88">
        <v>0.20330000000000001</v>
      </c>
      <c r="R45" s="88">
        <v>0.18959999999999999</v>
      </c>
      <c r="S45" s="88">
        <v>0.23549999999999999</v>
      </c>
      <c r="T45" s="88">
        <v>3.06</v>
      </c>
      <c r="U45" s="88">
        <v>343590</v>
      </c>
      <c r="V45" s="89" t="s">
        <v>294</v>
      </c>
    </row>
    <row r="46" spans="1:22">
      <c r="A46" s="18"/>
      <c r="B46" s="11" t="s">
        <v>295</v>
      </c>
      <c r="C46" s="12"/>
      <c r="D46" s="12"/>
      <c r="E46" s="12"/>
      <c r="F46" s="12"/>
      <c r="G46" s="34" t="s">
        <v>291</v>
      </c>
      <c r="H46" s="24">
        <v>135.83000000000001</v>
      </c>
      <c r="I46" s="24">
        <v>3.43</v>
      </c>
      <c r="J46" s="12">
        <v>32.229999999999997</v>
      </c>
      <c r="K46" s="12">
        <v>14.88</v>
      </c>
      <c r="L46" s="12">
        <v>27.21</v>
      </c>
      <c r="M46" s="42">
        <v>33.39</v>
      </c>
      <c r="N46" s="12">
        <v>3.3</v>
      </c>
      <c r="O46" s="21">
        <v>7.0699999999999999E-2</v>
      </c>
      <c r="P46" s="21">
        <v>8.0699999999999994E-2</v>
      </c>
      <c r="Q46" s="21">
        <v>0.14219999999999999</v>
      </c>
      <c r="R46" s="21">
        <v>0.47139999999999999</v>
      </c>
      <c r="S46" s="21">
        <v>0.7359</v>
      </c>
      <c r="T46" s="35">
        <v>2</v>
      </c>
      <c r="U46" s="44"/>
      <c r="V46" s="13" t="s">
        <v>296</v>
      </c>
    </row>
    <row r="47" spans="1:22">
      <c r="A47" s="18"/>
      <c r="B47" s="11" t="s">
        <v>297</v>
      </c>
      <c r="C47" s="12" t="s">
        <v>4</v>
      </c>
      <c r="D47" s="12" t="s">
        <v>5</v>
      </c>
      <c r="E47" s="12" t="s">
        <v>6</v>
      </c>
      <c r="F47" s="12" t="s">
        <v>9</v>
      </c>
      <c r="G47" s="34" t="s">
        <v>292</v>
      </c>
      <c r="H47" s="24">
        <v>27.59</v>
      </c>
      <c r="I47" s="24">
        <v>0.38627</v>
      </c>
      <c r="J47" s="12">
        <v>42.84</v>
      </c>
      <c r="K47" s="12">
        <v>17.04</v>
      </c>
      <c r="L47" s="12">
        <v>34.15</v>
      </c>
      <c r="M47" s="42">
        <v>19.96</v>
      </c>
      <c r="N47" s="12">
        <v>6.93</v>
      </c>
      <c r="O47" s="21">
        <v>0.17230000000000001</v>
      </c>
      <c r="P47" s="21">
        <v>0.22109999999999999</v>
      </c>
      <c r="Q47" s="21">
        <v>0.2641</v>
      </c>
      <c r="R47" s="21">
        <v>0.39879999999999999</v>
      </c>
      <c r="S47" s="21">
        <v>0.379</v>
      </c>
      <c r="T47" s="35">
        <v>2.56</v>
      </c>
      <c r="U47" s="44"/>
      <c r="V47" s="13" t="s">
        <v>294</v>
      </c>
    </row>
    <row r="48" spans="1:22">
      <c r="A48" s="18"/>
      <c r="B48" s="11" t="s">
        <v>334</v>
      </c>
      <c r="C48" s="12"/>
      <c r="D48" s="12"/>
      <c r="E48" s="12"/>
      <c r="F48" s="12"/>
      <c r="G48" s="34" t="s">
        <v>333</v>
      </c>
      <c r="H48" s="24">
        <v>0.47805999999999998</v>
      </c>
      <c r="I48" s="24">
        <v>0.13603999999999999</v>
      </c>
      <c r="J48" s="42">
        <v>5.04</v>
      </c>
      <c r="K48" s="42">
        <v>0.86</v>
      </c>
      <c r="L48" s="42">
        <v>2.96</v>
      </c>
      <c r="M48" s="42">
        <v>1.22</v>
      </c>
      <c r="N48" s="42">
        <v>0.19</v>
      </c>
      <c r="O48" s="21">
        <v>2.3599999999999999E-2</v>
      </c>
      <c r="P48" s="21">
        <v>-1.3100000000000001E-2</v>
      </c>
      <c r="Q48" s="21">
        <v>5.2699999999999997E-2</v>
      </c>
      <c r="R48" s="21">
        <v>0.16619999999999999</v>
      </c>
      <c r="S48" s="21">
        <v>1.8692</v>
      </c>
      <c r="T48" s="45">
        <v>1.51</v>
      </c>
      <c r="U48" s="74"/>
      <c r="V48" s="13" t="s">
        <v>335</v>
      </c>
    </row>
    <row r="49" spans="1:22">
      <c r="A49" s="18"/>
      <c r="B49" s="11" t="s">
        <v>425</v>
      </c>
      <c r="C49" s="12"/>
      <c r="D49" s="12"/>
      <c r="E49" s="12"/>
      <c r="F49" s="12"/>
      <c r="G49" s="34" t="s">
        <v>426</v>
      </c>
      <c r="H49" s="24">
        <v>2.86</v>
      </c>
      <c r="I49" s="24">
        <v>0.77800000000000002</v>
      </c>
      <c r="J49" s="42"/>
      <c r="K49" s="42"/>
      <c r="L49" s="42">
        <v>12.83</v>
      </c>
      <c r="M49" s="42">
        <v>-15.19</v>
      </c>
      <c r="N49" s="42">
        <v>0.22</v>
      </c>
      <c r="O49" s="21">
        <v>2.4299999999999999E-2</v>
      </c>
      <c r="P49" s="21">
        <v>-0.31569999999999998</v>
      </c>
      <c r="Q49" s="21">
        <v>0.12130000000000001</v>
      </c>
      <c r="R49" s="46">
        <v>0.31990000000000002</v>
      </c>
      <c r="S49" s="21">
        <v>-6.07</v>
      </c>
      <c r="T49" s="45">
        <v>1.26</v>
      </c>
      <c r="U49" s="74"/>
      <c r="V49" s="13" t="s">
        <v>335</v>
      </c>
    </row>
    <row r="50" spans="1:22">
      <c r="A50" s="18"/>
      <c r="B50" s="11" t="s">
        <v>554</v>
      </c>
      <c r="C50" s="12"/>
      <c r="D50" s="12"/>
      <c r="E50" s="12"/>
      <c r="F50" s="12"/>
      <c r="G50" s="34" t="s">
        <v>553</v>
      </c>
      <c r="H50" s="24">
        <v>4.3099999999999996</v>
      </c>
      <c r="I50" s="24">
        <v>-0.16614999999999999</v>
      </c>
      <c r="K50" s="42">
        <v>3.39</v>
      </c>
      <c r="L50" s="42"/>
      <c r="M50" s="42">
        <v>-16.11</v>
      </c>
      <c r="N50" s="42">
        <v>3.85</v>
      </c>
      <c r="O50" s="21">
        <v>0.33350000000000002</v>
      </c>
      <c r="P50" s="21">
        <v>0.29530000000000001</v>
      </c>
      <c r="Q50" s="21">
        <v>-0.27400000000000002</v>
      </c>
      <c r="R50" s="46">
        <v>-0.3322</v>
      </c>
      <c r="S50" s="21">
        <v>0.1022</v>
      </c>
      <c r="T50" s="45">
        <v>2.35</v>
      </c>
      <c r="U50" s="74">
        <v>225300</v>
      </c>
      <c r="V50" s="13" t="s">
        <v>555</v>
      </c>
    </row>
    <row r="51" spans="1:22">
      <c r="A51" s="18"/>
      <c r="B51" s="11"/>
      <c r="C51" s="12"/>
      <c r="D51" s="12"/>
      <c r="E51" s="12"/>
      <c r="F51" s="12"/>
      <c r="G51" s="34"/>
      <c r="H51" s="24"/>
      <c r="I51" s="24"/>
      <c r="J51" s="42"/>
      <c r="K51" s="42"/>
      <c r="L51" s="42"/>
      <c r="M51" s="42"/>
      <c r="N51" s="42"/>
      <c r="O51" s="21"/>
      <c r="P51" s="21"/>
      <c r="Q51" s="21"/>
      <c r="R51" s="46"/>
      <c r="S51" s="21"/>
      <c r="T51" s="45"/>
      <c r="U51" s="74"/>
      <c r="V51" s="13"/>
    </row>
    <row r="52" spans="1:22">
      <c r="A52" s="19"/>
      <c r="B52" s="14"/>
      <c r="C52" s="15"/>
      <c r="D52" s="15"/>
      <c r="E52" s="15"/>
      <c r="F52" s="15"/>
      <c r="G52" s="36"/>
      <c r="H52" s="39"/>
      <c r="I52" s="15"/>
      <c r="J52" s="15"/>
      <c r="K52" s="15"/>
      <c r="L52" s="15"/>
      <c r="M52" s="15"/>
      <c r="N52" s="15"/>
      <c r="O52" s="22"/>
      <c r="P52" s="22"/>
      <c r="Q52" s="22"/>
      <c r="R52" s="22"/>
      <c r="S52" s="22"/>
      <c r="T52" s="37"/>
      <c r="U52" s="53"/>
      <c r="V52" s="16"/>
    </row>
    <row r="53" spans="1:22">
      <c r="A53" s="17" t="s">
        <v>301</v>
      </c>
      <c r="B53" s="8" t="s">
        <v>303</v>
      </c>
      <c r="C53" s="9"/>
      <c r="D53" s="9"/>
      <c r="E53" s="9"/>
      <c r="F53" s="9"/>
      <c r="G53" s="28" t="s">
        <v>302</v>
      </c>
      <c r="H53" s="38">
        <v>83.02</v>
      </c>
      <c r="I53" s="38">
        <v>5.37</v>
      </c>
      <c r="J53" s="9">
        <v>18.48</v>
      </c>
      <c r="K53" s="9">
        <v>8.19</v>
      </c>
      <c r="L53" s="9">
        <v>13.48</v>
      </c>
      <c r="M53" s="9"/>
      <c r="N53" s="9">
        <v>2.58</v>
      </c>
      <c r="O53" s="20">
        <v>2E-3</v>
      </c>
      <c r="P53" s="20">
        <v>-6.4000000000000003E-3</v>
      </c>
      <c r="Q53" s="20">
        <v>0.26950000000000002</v>
      </c>
      <c r="R53" s="20">
        <v>0.45079999999999998</v>
      </c>
      <c r="S53" s="20">
        <v>2.1166</v>
      </c>
      <c r="T53" s="29">
        <v>1.89</v>
      </c>
      <c r="U53" s="43">
        <v>336390</v>
      </c>
      <c r="V53" s="10" t="s">
        <v>304</v>
      </c>
    </row>
    <row r="54" spans="1:22">
      <c r="A54" s="18"/>
      <c r="B54" s="11" t="s">
        <v>325</v>
      </c>
      <c r="C54" s="12"/>
      <c r="D54" s="12"/>
      <c r="E54" s="12"/>
      <c r="F54" s="12"/>
      <c r="G54" s="34" t="s">
        <v>305</v>
      </c>
      <c r="H54" s="24">
        <v>295.58999999999997</v>
      </c>
      <c r="I54" s="24">
        <v>13.52</v>
      </c>
      <c r="J54" s="12">
        <v>67.459999999999994</v>
      </c>
      <c r="K54" s="12">
        <v>6.4</v>
      </c>
      <c r="L54" s="12">
        <v>37.08</v>
      </c>
      <c r="M54" s="12"/>
      <c r="N54" s="12">
        <v>4.22</v>
      </c>
      <c r="O54" s="21">
        <v>-4.0099999999999997E-2</v>
      </c>
      <c r="P54" s="21">
        <v>-0.14499999999999999</v>
      </c>
      <c r="Q54" s="21">
        <v>0.27189999999999998</v>
      </c>
      <c r="R54" s="21">
        <v>0.1018</v>
      </c>
      <c r="S54" s="21">
        <v>0.80710000000000004</v>
      </c>
      <c r="T54" s="35">
        <v>0.73</v>
      </c>
      <c r="U54" s="44">
        <v>725220</v>
      </c>
      <c r="V54" s="13" t="s">
        <v>306</v>
      </c>
    </row>
    <row r="55" spans="1:22">
      <c r="A55" s="18"/>
      <c r="B55" s="11" t="s">
        <v>521</v>
      </c>
      <c r="C55" s="12" t="s">
        <v>4</v>
      </c>
      <c r="D55" s="12" t="s">
        <v>5</v>
      </c>
      <c r="E55" s="12" t="s">
        <v>6</v>
      </c>
      <c r="F55" s="12" t="s">
        <v>9</v>
      </c>
      <c r="G55" s="34" t="s">
        <v>522</v>
      </c>
      <c r="H55" s="24">
        <v>46.61</v>
      </c>
      <c r="I55" s="24">
        <v>1.88</v>
      </c>
      <c r="J55" s="12">
        <v>19.97</v>
      </c>
      <c r="K55" s="12"/>
      <c r="L55" s="12">
        <v>14.37</v>
      </c>
      <c r="M55" s="42">
        <v>13.35</v>
      </c>
      <c r="N55" s="42">
        <v>2.4900000000000002</v>
      </c>
      <c r="O55" s="21">
        <v>-1.3299999999999999E-2</v>
      </c>
      <c r="P55" s="21">
        <v>6.2600000000000003E-2</v>
      </c>
      <c r="Q55" s="21">
        <v>0.23319999999999999</v>
      </c>
      <c r="R55" s="21">
        <v>-18.2119</v>
      </c>
      <c r="S55" s="21">
        <v>-50.586799999999997</v>
      </c>
      <c r="T55" s="35">
        <v>0.79</v>
      </c>
      <c r="U55" s="44">
        <v>470650</v>
      </c>
      <c r="V55" s="13" t="s">
        <v>523</v>
      </c>
    </row>
    <row r="56" spans="1:22">
      <c r="A56" s="18"/>
      <c r="B56" s="11" t="s">
        <v>524</v>
      </c>
      <c r="C56" s="12"/>
      <c r="D56" s="12"/>
      <c r="E56" s="12"/>
      <c r="F56" s="12"/>
      <c r="G56" s="34" t="s">
        <v>525</v>
      </c>
      <c r="H56" s="24">
        <v>2.63</v>
      </c>
      <c r="I56" s="24">
        <v>9.2100000000000001E-2</v>
      </c>
      <c r="J56" s="42">
        <v>118.56</v>
      </c>
      <c r="K56" s="12">
        <v>4.4800000000000004</v>
      </c>
      <c r="L56" s="42">
        <v>17.690000000000001</v>
      </c>
      <c r="M56" s="42">
        <v>8.9499999999999993</v>
      </c>
      <c r="N56" s="42">
        <v>0.99</v>
      </c>
      <c r="O56" s="21">
        <v>6.2700000000000006E-2</v>
      </c>
      <c r="P56" s="21">
        <v>-4.2599999999999999E-2</v>
      </c>
      <c r="Q56" s="21">
        <v>0.19689999999999999</v>
      </c>
      <c r="R56" s="21">
        <v>4.0399999999999998E-2</v>
      </c>
      <c r="S56" s="21">
        <v>6.0693999999999999</v>
      </c>
      <c r="T56" s="35">
        <v>1.93</v>
      </c>
      <c r="U56" s="44">
        <v>354590</v>
      </c>
      <c r="V56" s="13" t="s">
        <v>526</v>
      </c>
    </row>
    <row r="57" spans="1:22">
      <c r="A57" s="18"/>
      <c r="B57" s="11" t="s">
        <v>534</v>
      </c>
      <c r="C57" s="12"/>
      <c r="D57" s="12"/>
      <c r="E57" s="12"/>
      <c r="F57" s="12"/>
      <c r="G57" s="34" t="s">
        <v>533</v>
      </c>
      <c r="H57" s="24">
        <v>128.51</v>
      </c>
      <c r="I57" s="24">
        <v>7.62</v>
      </c>
      <c r="J57" s="12"/>
      <c r="K57" s="42">
        <v>8.7799999999999994</v>
      </c>
      <c r="L57" s="12"/>
      <c r="M57" s="12">
        <v>15.99</v>
      </c>
      <c r="N57" s="42">
        <v>2.2000000000000002</v>
      </c>
      <c r="O57" s="21">
        <v>-1E-3</v>
      </c>
      <c r="P57" s="21">
        <v>2.29E-2</v>
      </c>
      <c r="Q57" s="21"/>
      <c r="R57" s="21"/>
      <c r="S57" s="21">
        <v>2.1076000000000001</v>
      </c>
      <c r="T57" s="35">
        <v>0.8</v>
      </c>
      <c r="U57" s="44">
        <v>389220</v>
      </c>
      <c r="V57" s="13" t="s">
        <v>535</v>
      </c>
    </row>
    <row r="58" spans="1:22">
      <c r="A58" s="19"/>
      <c r="B58" s="14"/>
      <c r="C58" s="15"/>
      <c r="D58" s="15"/>
      <c r="E58" s="15"/>
      <c r="F58" s="15"/>
      <c r="G58" s="36"/>
      <c r="H58" s="39"/>
      <c r="I58" s="15"/>
      <c r="J58" s="15"/>
      <c r="K58" s="15"/>
      <c r="L58" s="15"/>
      <c r="M58" s="15"/>
      <c r="N58" s="15"/>
      <c r="O58" s="22"/>
      <c r="P58" s="22"/>
      <c r="Q58" s="22"/>
      <c r="R58" s="22"/>
      <c r="S58" s="22"/>
      <c r="T58" s="37"/>
      <c r="U58" s="15"/>
      <c r="V58" s="16"/>
    </row>
    <row r="59" spans="1:22">
      <c r="A59" s="17" t="s">
        <v>314</v>
      </c>
      <c r="B59" t="s">
        <v>316</v>
      </c>
      <c r="G59" t="s">
        <v>315</v>
      </c>
      <c r="H59">
        <v>5.35</v>
      </c>
      <c r="I59">
        <v>2.7E-2</v>
      </c>
      <c r="J59">
        <v>7.24</v>
      </c>
      <c r="K59">
        <v>1.46</v>
      </c>
      <c r="L59">
        <v>4.99</v>
      </c>
      <c r="M59">
        <v>3.32</v>
      </c>
      <c r="N59">
        <v>1.0900000000000001</v>
      </c>
      <c r="O59">
        <v>2.5999999999999999E-2</v>
      </c>
      <c r="P59">
        <v>9.4200000000000006E-2</v>
      </c>
      <c r="Q59">
        <v>0.10920000000000001</v>
      </c>
      <c r="R59">
        <v>0.20449999999999999</v>
      </c>
      <c r="S59">
        <v>0.51690000000000003</v>
      </c>
      <c r="T59">
        <v>1.33</v>
      </c>
      <c r="V59" s="79" t="s">
        <v>314</v>
      </c>
    </row>
    <row r="60" spans="1:22">
      <c r="A60" s="18"/>
      <c r="B60" s="56" t="s">
        <v>318</v>
      </c>
      <c r="C60" s="56"/>
      <c r="D60" s="56"/>
      <c r="E60" s="56"/>
      <c r="F60" s="56"/>
      <c r="G60" s="54" t="s">
        <v>317</v>
      </c>
      <c r="H60" s="55">
        <v>7.01</v>
      </c>
      <c r="I60" s="55">
        <v>1.07</v>
      </c>
      <c r="J60" s="56">
        <v>3.52</v>
      </c>
      <c r="K60" s="56">
        <v>1.07</v>
      </c>
      <c r="L60" s="56">
        <v>2.16</v>
      </c>
      <c r="M60" s="56">
        <v>0.75</v>
      </c>
      <c r="N60" s="56">
        <v>0.56000000000000005</v>
      </c>
      <c r="O60" s="57">
        <v>5.0500000000000003E-2</v>
      </c>
      <c r="P60" s="57">
        <v>0.38150000000000001</v>
      </c>
      <c r="Q60" s="57">
        <v>0.20930000000000001</v>
      </c>
      <c r="R60" s="57">
        <v>0.30209999999999998</v>
      </c>
      <c r="S60" s="57">
        <v>2.0200999999999998</v>
      </c>
      <c r="T60" s="56">
        <v>0.92</v>
      </c>
      <c r="U60" s="73">
        <v>147850</v>
      </c>
      <c r="V60" s="68" t="s">
        <v>314</v>
      </c>
    </row>
    <row r="61" spans="1:22">
      <c r="A61" s="18"/>
      <c r="B61" s="60" t="s">
        <v>320</v>
      </c>
      <c r="C61" s="12" t="s">
        <v>4</v>
      </c>
      <c r="D61" s="12" t="s">
        <v>5</v>
      </c>
      <c r="E61" s="12" t="s">
        <v>6</v>
      </c>
      <c r="F61" s="12" t="s">
        <v>9</v>
      </c>
      <c r="G61" s="34" t="s">
        <v>319</v>
      </c>
      <c r="H61" s="24">
        <v>8.23</v>
      </c>
      <c r="I61" s="24">
        <v>-0.16222</v>
      </c>
      <c r="J61" s="42">
        <v>66.62</v>
      </c>
      <c r="K61" s="42">
        <v>4.2300000000000004</v>
      </c>
      <c r="L61" s="42">
        <v>11.01</v>
      </c>
      <c r="M61" s="42">
        <v>20.14</v>
      </c>
      <c r="N61" s="42">
        <v>1.25</v>
      </c>
      <c r="O61" s="21">
        <v>0.04</v>
      </c>
      <c r="P61" s="21">
        <v>-6.4799999999999996E-2</v>
      </c>
      <c r="Q61" s="21">
        <v>0.23269999999999999</v>
      </c>
      <c r="R61" s="21">
        <v>6.3100000000000003E-2</v>
      </c>
      <c r="S61" s="21">
        <v>6.0811999999999999</v>
      </c>
      <c r="T61" s="12">
        <v>1.18</v>
      </c>
      <c r="U61" s="12"/>
      <c r="V61" s="13" t="s">
        <v>314</v>
      </c>
    </row>
    <row r="62" spans="1:22">
      <c r="A62" s="18"/>
      <c r="B62" s="60" t="s">
        <v>321</v>
      </c>
      <c r="C62" s="12"/>
      <c r="D62" s="12"/>
      <c r="E62" s="12"/>
      <c r="F62" s="12"/>
      <c r="G62" s="34" t="s">
        <v>322</v>
      </c>
      <c r="H62" s="24">
        <v>19.91</v>
      </c>
      <c r="I62" s="24">
        <v>1.3</v>
      </c>
      <c r="J62" s="42">
        <v>23.48</v>
      </c>
      <c r="K62" s="12"/>
      <c r="L62" s="42">
        <v>16.600000000000001</v>
      </c>
      <c r="M62" s="42">
        <v>18.78</v>
      </c>
      <c r="N62" s="42">
        <v>2.16</v>
      </c>
      <c r="O62" s="21">
        <v>-2.0799999999999999E-2</v>
      </c>
      <c r="P62" s="21">
        <v>-1.1599999999999999E-2</v>
      </c>
      <c r="Q62" s="21">
        <v>0.20369999999999999</v>
      </c>
      <c r="R62" s="21">
        <v>-5.6839000000000004</v>
      </c>
      <c r="S62" s="21">
        <v>-19.010400000000001</v>
      </c>
      <c r="T62" s="35">
        <v>0.74</v>
      </c>
      <c r="U62" s="35"/>
      <c r="V62" s="13" t="s">
        <v>314</v>
      </c>
    </row>
    <row r="63" spans="1:22">
      <c r="A63" s="18"/>
      <c r="B63" s="60" t="s">
        <v>323</v>
      </c>
      <c r="C63" s="12"/>
      <c r="D63" s="12"/>
      <c r="E63" s="12"/>
      <c r="F63" s="12"/>
      <c r="G63" s="34" t="s">
        <v>324</v>
      </c>
      <c r="H63" s="24">
        <v>26.15</v>
      </c>
      <c r="I63" s="24">
        <v>1.03</v>
      </c>
      <c r="J63" s="42">
        <v>21.3</v>
      </c>
      <c r="K63" s="42">
        <v>24.22</v>
      </c>
      <c r="L63" s="42">
        <v>16.38</v>
      </c>
      <c r="M63" s="42">
        <v>17.53</v>
      </c>
      <c r="N63" s="42">
        <v>1.27</v>
      </c>
      <c r="O63" s="21">
        <v>8.7400000000000005E-2</v>
      </c>
      <c r="P63" s="21">
        <v>0.1183</v>
      </c>
      <c r="Q63" s="21">
        <v>0.1144</v>
      </c>
      <c r="R63" s="21">
        <v>1.1615</v>
      </c>
      <c r="S63" s="21">
        <v>17.0014</v>
      </c>
      <c r="T63" s="35">
        <v>0.49</v>
      </c>
      <c r="U63" s="35"/>
      <c r="V63" s="13" t="s">
        <v>314</v>
      </c>
    </row>
    <row r="64" spans="1:22">
      <c r="A64" s="19"/>
      <c r="B64" s="14"/>
      <c r="C64" s="15"/>
      <c r="D64" s="15"/>
      <c r="E64" s="15"/>
      <c r="F64" s="15"/>
      <c r="G64" s="36"/>
      <c r="H64" s="39"/>
      <c r="I64" s="15"/>
      <c r="J64" s="15"/>
      <c r="K64" s="15"/>
      <c r="L64" s="15"/>
      <c r="M64" s="15"/>
      <c r="N64" s="15"/>
      <c r="O64" s="22"/>
      <c r="P64" s="22"/>
      <c r="Q64" s="22"/>
      <c r="R64" s="22"/>
      <c r="S64" s="22"/>
      <c r="T64" s="37"/>
      <c r="U64" s="37"/>
      <c r="V64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4863-5102-4C93-A17A-D8A45FDBD33A}">
  <dimension ref="A1:V21"/>
  <sheetViews>
    <sheetView zoomScale="68" zoomScaleNormal="68" workbookViewId="0">
      <selection activeCell="B8" sqref="B8"/>
    </sheetView>
  </sheetViews>
  <sheetFormatPr defaultRowHeight="15"/>
  <cols>
    <col min="1" max="1" width="20.761718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0" width="23.76171875" customWidth="1"/>
    <col min="21" max="21" width="23.76171875" style="76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131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2" t="s">
        <v>495</v>
      </c>
      <c r="V1" s="7" t="s">
        <v>22</v>
      </c>
    </row>
    <row r="2" spans="1:22">
      <c r="A2" s="17" t="s">
        <v>125</v>
      </c>
      <c r="B2" s="56" t="s">
        <v>130</v>
      </c>
      <c r="C2" s="56"/>
      <c r="D2" s="56"/>
      <c r="E2" s="56"/>
      <c r="F2" s="56"/>
      <c r="G2" s="54" t="s">
        <v>126</v>
      </c>
      <c r="H2" s="55">
        <v>174.36</v>
      </c>
      <c r="I2" s="55">
        <v>5.36</v>
      </c>
      <c r="J2" s="56">
        <v>12.26</v>
      </c>
      <c r="K2" s="56">
        <v>0.91</v>
      </c>
      <c r="L2" s="56">
        <v>5.23</v>
      </c>
      <c r="M2" s="56">
        <v>4.33</v>
      </c>
      <c r="N2" s="56">
        <v>0.68</v>
      </c>
      <c r="O2" s="57">
        <v>-6.8699999999999997E-2</v>
      </c>
      <c r="P2" s="57">
        <v>-7.7200000000000005E-2</v>
      </c>
      <c r="Q2" s="57">
        <v>0.12429999999999999</v>
      </c>
      <c r="R2" s="57">
        <v>7.51E-2</v>
      </c>
      <c r="S2" s="57">
        <v>0.27529999999999999</v>
      </c>
      <c r="T2" s="56">
        <v>0.77</v>
      </c>
      <c r="U2" s="73">
        <v>3412320</v>
      </c>
      <c r="V2" s="68" t="s">
        <v>132</v>
      </c>
    </row>
    <row r="3" spans="1:22">
      <c r="A3" s="18"/>
      <c r="B3" s="56" t="s">
        <v>133</v>
      </c>
      <c r="C3" s="56"/>
      <c r="D3" s="56"/>
      <c r="E3" s="56"/>
      <c r="F3" s="56"/>
      <c r="G3" s="54" t="s">
        <v>127</v>
      </c>
      <c r="H3" s="55">
        <v>131.36000000000001</v>
      </c>
      <c r="I3" s="55">
        <v>19.21</v>
      </c>
      <c r="J3" s="56">
        <v>8.58</v>
      </c>
      <c r="K3" s="56">
        <v>0.7</v>
      </c>
      <c r="L3" s="56">
        <v>3.16</v>
      </c>
      <c r="M3" s="56">
        <v>3.38</v>
      </c>
      <c r="N3" s="56">
        <v>0.39</v>
      </c>
      <c r="O3" s="57">
        <v>-3.9199999999999999E-2</v>
      </c>
      <c r="P3" s="57">
        <v>2.2800000000000001E-2</v>
      </c>
      <c r="Q3" s="57">
        <v>0.14979999999999999</v>
      </c>
      <c r="R3" s="57">
        <v>8.3000000000000004E-2</v>
      </c>
      <c r="S3" s="57">
        <v>0.5171</v>
      </c>
      <c r="T3" s="58">
        <v>1.1399999999999999</v>
      </c>
      <c r="U3" s="73">
        <v>4155140</v>
      </c>
      <c r="V3" s="68" t="s">
        <v>332</v>
      </c>
    </row>
    <row r="4" spans="1:22">
      <c r="A4" s="18"/>
      <c r="B4" s="56" t="s">
        <v>134</v>
      </c>
      <c r="C4" s="56"/>
      <c r="D4" s="56"/>
      <c r="E4" s="56"/>
      <c r="F4" s="56"/>
      <c r="G4" s="54" t="s">
        <v>128</v>
      </c>
      <c r="H4" s="55">
        <v>25.63</v>
      </c>
      <c r="I4" s="55">
        <v>0.93500000000000005</v>
      </c>
      <c r="J4" s="56">
        <v>8.57</v>
      </c>
      <c r="K4" s="56">
        <v>1.05</v>
      </c>
      <c r="L4" s="56">
        <v>6.04</v>
      </c>
      <c r="M4" s="56">
        <v>6.11</v>
      </c>
      <c r="N4" s="56">
        <v>0.24</v>
      </c>
      <c r="O4" s="57">
        <v>-6.0400000000000002E-2</v>
      </c>
      <c r="P4" s="57">
        <v>-2.64E-2</v>
      </c>
      <c r="Q4" s="57">
        <v>4.2900000000000001E-2</v>
      </c>
      <c r="R4" s="57">
        <v>0.1246</v>
      </c>
      <c r="S4" s="57">
        <v>0.52280000000000004</v>
      </c>
      <c r="T4" s="59">
        <v>1.28</v>
      </c>
      <c r="U4" s="73">
        <v>7399520</v>
      </c>
      <c r="V4" s="68" t="s">
        <v>135</v>
      </c>
    </row>
    <row r="5" spans="1:22">
      <c r="A5" s="18"/>
      <c r="B5" s="11" t="s">
        <v>136</v>
      </c>
      <c r="C5" s="12"/>
      <c r="D5" s="12"/>
      <c r="E5" s="12"/>
      <c r="F5" s="12"/>
      <c r="G5" s="34" t="s">
        <v>129</v>
      </c>
      <c r="H5" s="24">
        <v>21.11</v>
      </c>
      <c r="I5" s="24">
        <v>3.95</v>
      </c>
      <c r="J5" s="12"/>
      <c r="K5" s="42">
        <v>0.85</v>
      </c>
      <c r="L5" s="12"/>
      <c r="M5" s="12"/>
      <c r="N5" s="42">
        <v>0.65</v>
      </c>
      <c r="O5" s="21">
        <v>-7.4899999999999994E-2</v>
      </c>
      <c r="P5" s="21">
        <v>-5.0099999999999999E-2</v>
      </c>
      <c r="Q5" s="21"/>
      <c r="R5" s="21">
        <v>-0.72089999999999999</v>
      </c>
      <c r="S5" s="21">
        <v>1.0411999999999999</v>
      </c>
      <c r="T5" s="35">
        <v>1.27</v>
      </c>
      <c r="U5" s="44">
        <v>309450</v>
      </c>
      <c r="V5" s="13" t="s">
        <v>137</v>
      </c>
    </row>
    <row r="6" spans="1:22">
      <c r="A6" s="18"/>
      <c r="B6" s="56" t="s">
        <v>138</v>
      </c>
      <c r="C6" s="56"/>
      <c r="D6" s="56"/>
      <c r="E6" s="56"/>
      <c r="F6" s="56"/>
      <c r="G6" s="54" t="s">
        <v>139</v>
      </c>
      <c r="H6" s="55">
        <v>157.29</v>
      </c>
      <c r="I6" s="55">
        <v>13.2</v>
      </c>
      <c r="J6" s="56">
        <v>55.34</v>
      </c>
      <c r="K6" s="56">
        <v>1.04</v>
      </c>
      <c r="L6" s="56">
        <v>5.1100000000000003</v>
      </c>
      <c r="M6" s="56">
        <v>4.16</v>
      </c>
      <c r="N6" s="56">
        <v>1.1299999999999999</v>
      </c>
      <c r="O6" s="57">
        <v>-6.1699999999999998E-2</v>
      </c>
      <c r="P6" s="57">
        <v>-2.2599999999999999E-2</v>
      </c>
      <c r="Q6" s="57">
        <v>0.20960000000000001</v>
      </c>
      <c r="R6" s="57">
        <v>1.9099999999999999E-2</v>
      </c>
      <c r="S6" s="57">
        <v>0.214</v>
      </c>
      <c r="T6" s="58">
        <v>1.1200000000000001</v>
      </c>
      <c r="U6" s="73">
        <v>2901760</v>
      </c>
      <c r="V6" s="68" t="s">
        <v>132</v>
      </c>
    </row>
    <row r="7" spans="1:22">
      <c r="A7" s="18"/>
      <c r="B7" s="11" t="s">
        <v>328</v>
      </c>
      <c r="C7" s="12"/>
      <c r="D7" s="12"/>
      <c r="E7" s="12"/>
      <c r="F7" s="12"/>
      <c r="G7" s="34" t="s">
        <v>326</v>
      </c>
      <c r="H7" s="24">
        <v>36.92</v>
      </c>
      <c r="I7" s="24">
        <v>17.04</v>
      </c>
      <c r="J7" s="42">
        <v>4.8</v>
      </c>
      <c r="K7" s="42">
        <v>0.49</v>
      </c>
      <c r="L7" s="42">
        <v>1.74</v>
      </c>
      <c r="M7" s="42">
        <v>1.79</v>
      </c>
      <c r="N7" s="42">
        <v>0.48</v>
      </c>
      <c r="O7" s="21">
        <v>-0.1182</v>
      </c>
      <c r="P7" s="21">
        <v>0.17610000000000001</v>
      </c>
      <c r="Q7" s="21">
        <v>0.4199</v>
      </c>
      <c r="R7" s="46">
        <v>0.1026</v>
      </c>
      <c r="S7" s="21">
        <v>1.1881999999999999</v>
      </c>
      <c r="T7" s="35">
        <v>1.1399999999999999</v>
      </c>
      <c r="U7" s="44">
        <v>3442730</v>
      </c>
      <c r="V7" s="13" t="s">
        <v>327</v>
      </c>
    </row>
    <row r="8" spans="1:22">
      <c r="A8" s="18"/>
      <c r="B8" s="11" t="s">
        <v>330</v>
      </c>
      <c r="C8" s="12"/>
      <c r="D8" s="12"/>
      <c r="E8" s="12"/>
      <c r="F8" s="12"/>
      <c r="G8" s="34" t="s">
        <v>329</v>
      </c>
      <c r="H8" s="24">
        <v>85.6</v>
      </c>
      <c r="I8" s="24">
        <v>5.91</v>
      </c>
      <c r="J8" s="42"/>
      <c r="K8" s="42">
        <v>0.87</v>
      </c>
      <c r="L8" s="42">
        <v>6.1</v>
      </c>
      <c r="M8" s="42">
        <v>-69.94</v>
      </c>
      <c r="N8" s="42">
        <v>0.32</v>
      </c>
      <c r="O8" s="21">
        <v>-4.6699999999999998E-2</v>
      </c>
      <c r="P8" s="21">
        <v>3.0499999999999999E-2</v>
      </c>
      <c r="Q8" s="21">
        <v>9.5500000000000002E-2</v>
      </c>
      <c r="R8" s="46">
        <v>-3.3300000000000003E-2</v>
      </c>
      <c r="S8" s="21"/>
      <c r="T8" s="35">
        <v>1.0900000000000001</v>
      </c>
      <c r="U8" s="44">
        <v>3876260</v>
      </c>
      <c r="V8" s="13" t="s">
        <v>331</v>
      </c>
    </row>
    <row r="9" spans="1:22">
      <c r="A9" s="18"/>
      <c r="B9" s="11"/>
      <c r="C9" s="12"/>
      <c r="D9" s="12"/>
      <c r="E9" s="12"/>
      <c r="F9" s="12"/>
      <c r="G9" s="34"/>
      <c r="H9" s="24"/>
      <c r="I9" s="24"/>
      <c r="J9" s="42"/>
      <c r="K9" s="42"/>
      <c r="L9" s="42"/>
      <c r="M9" s="42"/>
      <c r="N9" s="42"/>
      <c r="O9" s="21"/>
      <c r="P9" s="21"/>
      <c r="Q9" s="21"/>
      <c r="R9" s="46"/>
      <c r="S9" s="21"/>
      <c r="T9" s="35"/>
      <c r="U9" s="44"/>
      <c r="V9" s="13"/>
    </row>
    <row r="10" spans="1:22">
      <c r="A10" s="18"/>
      <c r="B10" s="11"/>
      <c r="C10" s="12"/>
      <c r="D10" s="12"/>
      <c r="E10" s="12"/>
      <c r="F10" s="12"/>
      <c r="G10" s="34"/>
      <c r="H10" s="24"/>
      <c r="I10" s="24"/>
      <c r="J10" s="42"/>
      <c r="K10" s="42"/>
      <c r="L10" s="42"/>
      <c r="M10" s="42"/>
      <c r="N10" s="42"/>
      <c r="O10" s="21"/>
      <c r="P10" s="21"/>
      <c r="Q10" s="21"/>
      <c r="R10" s="46"/>
      <c r="S10" s="21"/>
      <c r="T10" s="35"/>
      <c r="U10" s="44"/>
      <c r="V10" s="13"/>
    </row>
    <row r="11" spans="1:22">
      <c r="A11" s="19"/>
      <c r="B11" s="14"/>
      <c r="C11" s="15"/>
      <c r="D11" s="15"/>
      <c r="E11" s="15"/>
      <c r="F11" s="15"/>
      <c r="G11" s="36"/>
      <c r="H11" s="39"/>
      <c r="I11" s="39"/>
      <c r="J11" s="15"/>
      <c r="K11" s="15"/>
      <c r="L11" s="15"/>
      <c r="M11" s="15"/>
      <c r="N11" s="15"/>
      <c r="O11" s="22"/>
      <c r="P11" s="22"/>
      <c r="Q11" s="22"/>
      <c r="R11" s="22"/>
      <c r="S11" s="22"/>
      <c r="T11" s="37" t="s">
        <v>44</v>
      </c>
      <c r="U11" s="44"/>
      <c r="V11" s="13"/>
    </row>
    <row r="12" spans="1:22">
      <c r="A12" s="17" t="s">
        <v>140</v>
      </c>
      <c r="B12" s="56" t="s">
        <v>282</v>
      </c>
      <c r="C12" s="9"/>
      <c r="D12" s="9"/>
      <c r="E12" s="9"/>
      <c r="F12" s="9"/>
      <c r="G12" s="54" t="s">
        <v>283</v>
      </c>
      <c r="H12" s="55">
        <v>8.76</v>
      </c>
      <c r="I12" s="55">
        <v>0.46296999999999999</v>
      </c>
      <c r="J12" s="56">
        <v>15.83</v>
      </c>
      <c r="K12" s="56">
        <v>5.59</v>
      </c>
      <c r="L12" s="56">
        <v>12.03</v>
      </c>
      <c r="M12" s="56">
        <v>9.86</v>
      </c>
      <c r="N12" s="56">
        <v>6.36</v>
      </c>
      <c r="O12" s="57">
        <v>0.48459999999999998</v>
      </c>
      <c r="P12" s="57">
        <v>0.73780000000000001</v>
      </c>
      <c r="Q12" s="57">
        <v>0.71199999999999997</v>
      </c>
      <c r="R12" s="57">
        <v>0.35649999999999998</v>
      </c>
      <c r="S12" s="57">
        <v>8.3999999999999995E-3</v>
      </c>
      <c r="T12" s="56">
        <v>2.0099999999999998</v>
      </c>
      <c r="U12" s="73"/>
      <c r="V12" s="68" t="s">
        <v>284</v>
      </c>
    </row>
    <row r="13" spans="1:22">
      <c r="A13" s="18"/>
      <c r="B13" s="11" t="s">
        <v>286</v>
      </c>
      <c r="C13" s="12"/>
      <c r="D13" s="12"/>
      <c r="E13" s="12"/>
      <c r="F13" s="12"/>
      <c r="G13" s="34" t="s">
        <v>285</v>
      </c>
      <c r="H13" s="24">
        <v>47.54</v>
      </c>
      <c r="I13" s="24">
        <v>1.1299999999999999</v>
      </c>
      <c r="J13" s="42">
        <v>11.88</v>
      </c>
      <c r="K13" s="42">
        <v>2.59</v>
      </c>
      <c r="L13" s="42">
        <v>7.76</v>
      </c>
      <c r="M13" s="42">
        <v>6.15</v>
      </c>
      <c r="N13" s="42">
        <v>4.8600000000000003</v>
      </c>
      <c r="O13" s="21">
        <v>-1.06E-2</v>
      </c>
      <c r="P13" s="21">
        <v>0.40749999999999997</v>
      </c>
      <c r="Q13" s="21">
        <v>0.59419999999999995</v>
      </c>
      <c r="R13" s="21">
        <v>0.2177</v>
      </c>
      <c r="S13" s="21">
        <v>0.25829999999999997</v>
      </c>
      <c r="T13" s="35">
        <v>2.77</v>
      </c>
      <c r="U13" s="44"/>
      <c r="V13" s="13" t="s">
        <v>289</v>
      </c>
    </row>
    <row r="14" spans="1:22">
      <c r="A14" s="18"/>
      <c r="B14" s="11" t="s">
        <v>287</v>
      </c>
      <c r="C14" s="12"/>
      <c r="D14" s="12"/>
      <c r="E14" s="12"/>
      <c r="F14" s="12"/>
      <c r="G14" s="34" t="s">
        <v>288</v>
      </c>
      <c r="H14" s="24">
        <v>50.45</v>
      </c>
      <c r="I14" s="24">
        <v>1.4</v>
      </c>
      <c r="J14" s="42">
        <v>17.440000000000001</v>
      </c>
      <c r="K14" s="42">
        <v>2.56</v>
      </c>
      <c r="L14" s="42">
        <v>9.1</v>
      </c>
      <c r="M14" s="42">
        <v>9.9700000000000006</v>
      </c>
      <c r="N14" s="42">
        <v>4.78</v>
      </c>
      <c r="O14" s="21">
        <v>5.96E-2</v>
      </c>
      <c r="P14" s="21">
        <v>0.2152</v>
      </c>
      <c r="Q14" s="21">
        <v>0.38819999999999999</v>
      </c>
      <c r="R14" s="21">
        <v>0.1583</v>
      </c>
      <c r="S14" s="21">
        <v>0.32250000000000001</v>
      </c>
      <c r="T14" s="47">
        <v>2.35</v>
      </c>
      <c r="U14" s="74"/>
      <c r="V14" s="13" t="s">
        <v>289</v>
      </c>
    </row>
    <row r="15" spans="1:22">
      <c r="A15" s="18"/>
      <c r="B15" s="11"/>
      <c r="C15" s="12"/>
      <c r="D15" s="12"/>
      <c r="E15" s="12"/>
      <c r="F15" s="12"/>
      <c r="G15" s="34"/>
      <c r="H15" s="24"/>
      <c r="I15" s="24"/>
      <c r="J15" s="12"/>
      <c r="K15" s="42"/>
      <c r="L15" s="12"/>
      <c r="M15" s="12"/>
      <c r="N15" s="42"/>
      <c r="O15" s="21"/>
      <c r="P15" s="21"/>
      <c r="Q15" s="21"/>
      <c r="R15" s="21"/>
      <c r="S15" s="21"/>
      <c r="T15" s="35"/>
      <c r="U15" s="44"/>
      <c r="V15" s="13"/>
    </row>
    <row r="16" spans="1:22">
      <c r="A16" s="18"/>
      <c r="B16" s="11"/>
      <c r="C16" s="12"/>
      <c r="D16" s="12"/>
      <c r="E16" s="12"/>
      <c r="F16" s="12"/>
      <c r="G16" s="34"/>
      <c r="H16" s="24"/>
      <c r="I16" s="24"/>
      <c r="J16" s="42"/>
      <c r="K16" s="42"/>
      <c r="L16" s="42"/>
      <c r="M16" s="42"/>
      <c r="N16" s="42"/>
      <c r="O16" s="21"/>
      <c r="P16" s="21"/>
      <c r="Q16" s="21"/>
      <c r="R16" s="46"/>
      <c r="S16" s="21"/>
      <c r="T16" s="35"/>
      <c r="U16" s="44"/>
      <c r="V16" s="13"/>
    </row>
    <row r="17" spans="1:22">
      <c r="A17" s="19"/>
      <c r="B17" s="14"/>
      <c r="C17" s="15"/>
      <c r="D17" s="15"/>
      <c r="E17" s="15"/>
      <c r="F17" s="15"/>
      <c r="G17" s="36"/>
      <c r="H17" s="39"/>
      <c r="I17" s="39"/>
      <c r="J17" s="15"/>
      <c r="K17" s="15"/>
      <c r="L17" s="15"/>
      <c r="M17" s="15"/>
      <c r="N17" s="15"/>
      <c r="O17" s="22"/>
      <c r="P17" s="22"/>
      <c r="Q17" s="22"/>
      <c r="R17" s="22"/>
      <c r="S17" s="22"/>
      <c r="T17" s="37" t="s">
        <v>44</v>
      </c>
      <c r="U17" s="53"/>
      <c r="V17" s="16"/>
    </row>
    <row r="18" spans="1:22">
      <c r="A18" s="17" t="s">
        <v>511</v>
      </c>
      <c r="B18" s="8" t="s">
        <v>513</v>
      </c>
      <c r="C18" s="9"/>
      <c r="D18" s="9"/>
      <c r="E18" s="9"/>
      <c r="F18" s="9"/>
      <c r="G18" s="9" t="s">
        <v>512</v>
      </c>
      <c r="H18" s="38">
        <v>111.03</v>
      </c>
      <c r="I18" s="38">
        <v>2.33</v>
      </c>
      <c r="J18" s="9">
        <v>31.45</v>
      </c>
      <c r="K18" s="9">
        <v>3.05</v>
      </c>
      <c r="L18" s="9">
        <v>14.16</v>
      </c>
      <c r="M18" s="9">
        <v>21.87</v>
      </c>
      <c r="N18" s="9">
        <v>5.59</v>
      </c>
      <c r="O18" s="20">
        <v>0.1651</v>
      </c>
      <c r="P18" s="20">
        <v>9.74E-2</v>
      </c>
      <c r="Q18" s="20">
        <v>0.53239999999999998</v>
      </c>
      <c r="R18" s="20">
        <v>9.69E-2</v>
      </c>
      <c r="S18" s="20">
        <v>1.2968</v>
      </c>
      <c r="T18" s="9">
        <v>0.57999999999999996</v>
      </c>
      <c r="U18" s="38">
        <v>1333920</v>
      </c>
      <c r="V18" s="10" t="s">
        <v>511</v>
      </c>
    </row>
    <row r="19" spans="1:22">
      <c r="A19" s="18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3"/>
    </row>
    <row r="20" spans="1:22">
      <c r="A20" s="33"/>
      <c r="B20" s="11"/>
      <c r="C20" s="12"/>
      <c r="D20" s="12"/>
      <c r="E20" s="12"/>
      <c r="F20" s="12"/>
      <c r="G20" s="34"/>
      <c r="H20" s="24"/>
      <c r="I20" s="24"/>
      <c r="J20" s="12"/>
      <c r="K20" s="12"/>
      <c r="L20" s="12"/>
      <c r="M20" s="12"/>
      <c r="N20" s="12"/>
      <c r="O20" s="21"/>
      <c r="P20" s="21"/>
      <c r="Q20" s="21"/>
      <c r="R20" s="21"/>
      <c r="S20" s="21"/>
      <c r="T20" s="35" t="s">
        <v>44</v>
      </c>
      <c r="U20" s="44"/>
      <c r="V20" s="13"/>
    </row>
    <row r="21" spans="1:22">
      <c r="A21" s="19"/>
      <c r="B21" s="14"/>
      <c r="C21" s="15"/>
      <c r="D21" s="15"/>
      <c r="E21" s="15"/>
      <c r="F21" s="15"/>
      <c r="G21" s="36"/>
      <c r="H21" s="15"/>
      <c r="I21" s="15"/>
      <c r="J21" s="15"/>
      <c r="K21" s="15"/>
      <c r="L21" s="15"/>
      <c r="M21" s="15"/>
      <c r="N21" s="15"/>
      <c r="O21" s="15"/>
      <c r="P21" s="22"/>
      <c r="Q21" s="22"/>
      <c r="R21" s="22"/>
      <c r="S21" s="22"/>
      <c r="T21" s="15"/>
      <c r="U21" s="53"/>
      <c r="V21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3E90-403D-47FD-9CCE-F16A166DCDB1}">
  <dimension ref="A1:V20"/>
  <sheetViews>
    <sheetView zoomScale="68" zoomScaleNormal="68" workbookViewId="0">
      <selection activeCell="A7" sqref="A7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57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178</v>
      </c>
      <c r="B2" s="8" t="s">
        <v>179</v>
      </c>
      <c r="C2" s="9"/>
      <c r="D2" s="9"/>
      <c r="E2" s="9"/>
      <c r="F2" s="9"/>
      <c r="G2" s="28" t="s">
        <v>180</v>
      </c>
      <c r="H2" s="38">
        <v>75.98</v>
      </c>
      <c r="I2" s="38">
        <v>-4.28</v>
      </c>
      <c r="J2" s="9">
        <v>22.91</v>
      </c>
      <c r="K2" s="9"/>
      <c r="L2" s="9">
        <v>46.47</v>
      </c>
      <c r="M2" s="9">
        <v>-50.74</v>
      </c>
      <c r="N2" s="9">
        <v>0.9</v>
      </c>
      <c r="O2" s="20">
        <v>-1.35E-2</v>
      </c>
      <c r="P2" s="20">
        <v>-0.29189999999999999</v>
      </c>
      <c r="Q2" s="20">
        <v>9.69E-2</v>
      </c>
      <c r="R2" s="20">
        <v>0.1419</v>
      </c>
      <c r="S2" s="20">
        <v>-3.3111000000000002</v>
      </c>
      <c r="T2" s="9">
        <v>1.06</v>
      </c>
      <c r="U2" s="43">
        <v>489190</v>
      </c>
      <c r="V2" s="10" t="s">
        <v>181</v>
      </c>
    </row>
    <row r="3" spans="1:22">
      <c r="A3" s="18"/>
      <c r="B3" s="11" t="s">
        <v>182</v>
      </c>
      <c r="C3" s="12"/>
      <c r="D3" s="12"/>
      <c r="E3" s="12"/>
      <c r="F3" s="12"/>
      <c r="G3" s="34" t="s">
        <v>183</v>
      </c>
      <c r="H3" s="24">
        <v>106.13</v>
      </c>
      <c r="I3" s="24">
        <v>6.47</v>
      </c>
      <c r="J3" s="12">
        <v>17.27</v>
      </c>
      <c r="K3" s="12">
        <v>32.06</v>
      </c>
      <c r="L3" s="12">
        <v>14.32</v>
      </c>
      <c r="M3" s="42">
        <v>13.02</v>
      </c>
      <c r="N3" s="42">
        <v>1.75</v>
      </c>
      <c r="O3" s="21">
        <v>5.5800000000000002E-2</v>
      </c>
      <c r="P3" s="21">
        <v>0.1023</v>
      </c>
      <c r="Q3" s="21">
        <v>0.15609999999999999</v>
      </c>
      <c r="R3" s="21">
        <v>1.8753</v>
      </c>
      <c r="S3" s="21">
        <v>4.1829000000000001</v>
      </c>
      <c r="T3" s="40">
        <v>1.23</v>
      </c>
      <c r="U3" s="44">
        <v>555700</v>
      </c>
      <c r="V3" s="13" t="s">
        <v>184</v>
      </c>
    </row>
    <row r="4" spans="1:22">
      <c r="A4" s="18"/>
      <c r="B4" s="88" t="s">
        <v>187</v>
      </c>
      <c r="C4" s="88"/>
      <c r="D4" s="88"/>
      <c r="E4" s="88"/>
      <c r="F4" s="88"/>
      <c r="G4" s="88" t="s">
        <v>185</v>
      </c>
      <c r="H4" s="103">
        <v>92.99</v>
      </c>
      <c r="I4" s="103">
        <v>6.63</v>
      </c>
      <c r="J4" s="88">
        <v>16.78</v>
      </c>
      <c r="K4" s="88">
        <v>2.2799999999999998</v>
      </c>
      <c r="L4" s="88">
        <v>9.9600000000000009</v>
      </c>
      <c r="M4" s="88">
        <v>11.07</v>
      </c>
      <c r="N4" s="88">
        <v>1.21</v>
      </c>
      <c r="O4" s="101">
        <v>3.6900000000000002E-2</v>
      </c>
      <c r="P4" s="101">
        <v>2.9499999999999998E-2</v>
      </c>
      <c r="Q4" s="101">
        <v>0.17299999999999999</v>
      </c>
      <c r="R4" s="101">
        <v>0.1361</v>
      </c>
      <c r="S4" s="101">
        <v>1.1092</v>
      </c>
      <c r="T4" s="88">
        <v>1.08</v>
      </c>
      <c r="U4" s="103">
        <v>316800</v>
      </c>
      <c r="V4" s="84" t="s">
        <v>186</v>
      </c>
    </row>
    <row r="5" spans="1:22">
      <c r="A5" s="18"/>
      <c r="B5" s="11"/>
      <c r="C5" s="12"/>
      <c r="D5" s="12"/>
      <c r="E5" s="12"/>
      <c r="F5" s="12"/>
      <c r="G5" s="34"/>
      <c r="H5" s="24"/>
      <c r="I5" s="24"/>
      <c r="J5" s="12"/>
      <c r="K5" s="12"/>
      <c r="L5" s="12"/>
      <c r="M5" s="12"/>
      <c r="N5" s="12"/>
      <c r="O5" s="21"/>
      <c r="P5" s="21"/>
      <c r="Q5" s="21"/>
      <c r="R5" s="21"/>
      <c r="S5" s="21"/>
      <c r="T5" s="40"/>
      <c r="U5" s="44"/>
      <c r="V5" s="13"/>
    </row>
    <row r="6" spans="1:22">
      <c r="A6" s="18"/>
      <c r="B6" s="11"/>
      <c r="C6" s="12"/>
      <c r="D6" s="12"/>
      <c r="E6" s="12"/>
      <c r="F6" s="12"/>
      <c r="G6" s="34"/>
      <c r="H6" s="24"/>
      <c r="I6" s="24"/>
      <c r="J6" s="12"/>
      <c r="K6" s="12"/>
      <c r="L6" s="12"/>
      <c r="M6" s="12"/>
      <c r="N6" s="12"/>
      <c r="O6" s="21"/>
      <c r="P6" s="21"/>
      <c r="Q6" s="21"/>
      <c r="R6" s="21"/>
      <c r="S6" s="21"/>
      <c r="T6" s="40"/>
      <c r="U6" s="44"/>
      <c r="V6" s="13"/>
    </row>
    <row r="7" spans="1:22">
      <c r="A7" s="19"/>
      <c r="B7" s="14"/>
      <c r="C7" s="15"/>
      <c r="D7" s="15"/>
      <c r="E7" s="15"/>
      <c r="F7" s="15"/>
      <c r="G7" s="36"/>
      <c r="H7" s="39"/>
      <c r="I7" s="15"/>
      <c r="J7" s="15"/>
      <c r="K7" s="15"/>
      <c r="L7" s="15"/>
      <c r="M7" s="15"/>
      <c r="N7" s="15"/>
      <c r="O7" s="22"/>
      <c r="P7" s="22"/>
      <c r="Q7" s="22"/>
      <c r="R7" s="22"/>
      <c r="S7" s="22"/>
      <c r="T7" s="15"/>
      <c r="U7" s="53"/>
      <c r="V7" s="16"/>
    </row>
    <row r="8" spans="1:22">
      <c r="A8" s="17" t="s">
        <v>188</v>
      </c>
      <c r="B8" s="8" t="s">
        <v>189</v>
      </c>
      <c r="C8" s="9"/>
      <c r="D8" s="9"/>
      <c r="E8" s="9"/>
      <c r="F8" s="9"/>
      <c r="G8" s="28" t="s">
        <v>190</v>
      </c>
      <c r="H8" s="38">
        <v>18.91</v>
      </c>
      <c r="I8" s="43">
        <v>10.01</v>
      </c>
      <c r="J8" s="29">
        <v>238.5</v>
      </c>
      <c r="K8" s="29">
        <v>0.54</v>
      </c>
      <c r="L8" s="29">
        <v>3.42</v>
      </c>
      <c r="M8" s="29">
        <v>-17.82</v>
      </c>
      <c r="N8" s="29">
        <v>0.12</v>
      </c>
      <c r="O8" s="20">
        <v>1.5900000000000001E-2</v>
      </c>
      <c r="P8" s="20">
        <v>1E-4</v>
      </c>
      <c r="Q8" s="20">
        <v>7.2300000000000003E-2</v>
      </c>
      <c r="R8" s="20">
        <v>1.2999999999999999E-3</v>
      </c>
      <c r="S8" s="20">
        <v>4.7225999999999999</v>
      </c>
      <c r="T8" s="29">
        <v>1.19</v>
      </c>
      <c r="U8" s="43">
        <v>788830</v>
      </c>
      <c r="V8" s="10" t="s">
        <v>191</v>
      </c>
    </row>
    <row r="9" spans="1:22">
      <c r="A9" s="18"/>
      <c r="B9" s="11" t="s">
        <v>192</v>
      </c>
      <c r="C9" s="12"/>
      <c r="D9" s="12"/>
      <c r="E9" s="12"/>
      <c r="F9" s="12"/>
      <c r="G9" s="34" t="s">
        <v>193</v>
      </c>
      <c r="H9" s="24">
        <v>29.82</v>
      </c>
      <c r="I9" s="44">
        <v>-8.98</v>
      </c>
      <c r="J9" s="35">
        <v>4.6500000000000004</v>
      </c>
      <c r="K9" s="35">
        <v>0.7</v>
      </c>
      <c r="L9" s="35">
        <v>1.53</v>
      </c>
      <c r="M9" s="35">
        <v>2.8</v>
      </c>
      <c r="N9" s="35">
        <v>0.22</v>
      </c>
      <c r="O9" s="21">
        <v>-2.52E-2</v>
      </c>
      <c r="P9" s="21">
        <v>0.1389</v>
      </c>
      <c r="Q9" s="21">
        <v>0.13639999999999999</v>
      </c>
      <c r="R9" s="21">
        <v>0.1585</v>
      </c>
      <c r="S9" s="21">
        <v>2.5022000000000002</v>
      </c>
      <c r="T9" s="35">
        <v>0.94</v>
      </c>
      <c r="U9" s="44">
        <v>836810</v>
      </c>
      <c r="V9" s="13" t="s">
        <v>191</v>
      </c>
    </row>
    <row r="10" spans="1:22">
      <c r="A10" s="18"/>
      <c r="B10" s="11" t="s">
        <v>194</v>
      </c>
      <c r="C10" s="12"/>
      <c r="D10" s="12"/>
      <c r="E10" s="12"/>
      <c r="F10" s="12"/>
      <c r="G10" s="34" t="s">
        <v>195</v>
      </c>
      <c r="H10" s="24">
        <v>132.51</v>
      </c>
      <c r="I10" s="44">
        <v>0.97299999999999998</v>
      </c>
      <c r="J10" s="35"/>
      <c r="K10" s="35">
        <v>22.74</v>
      </c>
      <c r="L10" s="35">
        <v>104.94</v>
      </c>
      <c r="M10" s="35">
        <v>50.28</v>
      </c>
      <c r="N10" s="35">
        <v>5.32</v>
      </c>
      <c r="O10" s="21">
        <v>0.50360000000000005</v>
      </c>
      <c r="P10" s="21">
        <v>0.82140000000000002</v>
      </c>
      <c r="Q10" s="21">
        <v>8.8999999999999996E-2</v>
      </c>
      <c r="R10" s="21">
        <v>-0.15</v>
      </c>
      <c r="S10" s="21">
        <v>2.2208000000000001</v>
      </c>
      <c r="T10" s="35">
        <v>1.03</v>
      </c>
      <c r="U10" s="44">
        <v>541930</v>
      </c>
      <c r="V10" s="13" t="s">
        <v>196</v>
      </c>
    </row>
    <row r="11" spans="1:22">
      <c r="A11" s="18"/>
      <c r="B11" s="11"/>
      <c r="C11" s="12"/>
      <c r="D11" s="12"/>
      <c r="E11" s="12"/>
      <c r="F11" s="12"/>
      <c r="G11" s="34"/>
      <c r="H11" s="24"/>
      <c r="I11" s="44"/>
      <c r="J11" s="35"/>
      <c r="K11" s="35"/>
      <c r="L11" s="35"/>
      <c r="M11" s="35"/>
      <c r="N11" s="35"/>
      <c r="O11" s="21"/>
      <c r="P11" s="21"/>
      <c r="Q11" s="21"/>
      <c r="R11" s="21"/>
      <c r="S11" s="21"/>
      <c r="T11" s="35"/>
      <c r="U11" s="44"/>
      <c r="V11" s="13"/>
    </row>
    <row r="12" spans="1:22">
      <c r="A12" s="18"/>
      <c r="B12" s="11"/>
      <c r="C12" s="12"/>
      <c r="D12" s="12"/>
      <c r="E12" s="12"/>
      <c r="F12" s="12"/>
      <c r="G12" s="34"/>
      <c r="H12" s="24"/>
      <c r="I12" s="44"/>
      <c r="J12" s="35"/>
      <c r="K12" s="35"/>
      <c r="L12" s="35"/>
      <c r="M12" s="35"/>
      <c r="N12" s="35"/>
      <c r="O12" s="21"/>
      <c r="P12" s="21"/>
      <c r="Q12" s="21"/>
      <c r="R12" s="21"/>
      <c r="S12" s="21"/>
      <c r="T12" s="35"/>
      <c r="U12" s="44"/>
      <c r="V12" s="13"/>
    </row>
    <row r="13" spans="1:22">
      <c r="A13" s="19"/>
      <c r="B13" s="14"/>
      <c r="C13" s="15"/>
      <c r="D13" s="15"/>
      <c r="E13" s="15"/>
      <c r="F13" s="15"/>
      <c r="G13" s="36"/>
      <c r="H13" s="39"/>
      <c r="I13" s="50"/>
      <c r="J13" s="37"/>
      <c r="K13" s="37"/>
      <c r="L13" s="37"/>
      <c r="M13" s="37"/>
      <c r="N13" s="37"/>
      <c r="O13" s="22"/>
      <c r="P13" s="22"/>
      <c r="Q13" s="22"/>
      <c r="R13" s="22"/>
      <c r="S13" s="22"/>
      <c r="T13" s="37"/>
      <c r="U13" s="53"/>
      <c r="V13" s="16"/>
    </row>
    <row r="14" spans="1:22">
      <c r="A14" s="18"/>
      <c r="B14" s="11"/>
      <c r="C14" s="12"/>
      <c r="D14" s="12"/>
      <c r="E14" s="12"/>
      <c r="F14" s="12"/>
      <c r="G14" s="2"/>
      <c r="H14" s="12"/>
      <c r="I14" s="12"/>
      <c r="J14" s="12"/>
      <c r="K14" s="12"/>
      <c r="L14" s="12"/>
      <c r="M14" s="12"/>
      <c r="N14" s="12"/>
      <c r="O14" s="21"/>
      <c r="P14" s="21"/>
      <c r="Q14" s="21"/>
      <c r="R14" s="21"/>
      <c r="S14" s="21"/>
      <c r="T14" s="12"/>
      <c r="U14" s="44"/>
      <c r="V14" s="13"/>
    </row>
    <row r="15" spans="1:22">
      <c r="A15" s="18"/>
      <c r="B15" s="11"/>
      <c r="C15" s="12"/>
      <c r="D15" s="12"/>
      <c r="E15" s="12"/>
      <c r="F15" s="12"/>
      <c r="G15" s="2"/>
      <c r="I15" s="12"/>
      <c r="J15" s="12"/>
      <c r="K15" s="12"/>
      <c r="L15" s="12"/>
      <c r="M15" s="12"/>
      <c r="N15" s="12"/>
      <c r="O15" s="21"/>
      <c r="P15" s="21"/>
      <c r="Q15" s="21"/>
      <c r="R15" s="21"/>
      <c r="S15" s="21"/>
      <c r="T15" s="12"/>
      <c r="U15" s="44"/>
      <c r="V15" s="13"/>
    </row>
    <row r="16" spans="1:22">
      <c r="A16" s="18"/>
      <c r="B16" s="11"/>
      <c r="C16" s="12"/>
      <c r="D16" s="12"/>
      <c r="E16" s="12"/>
      <c r="F16" s="12"/>
      <c r="G16" s="2"/>
      <c r="H16" s="12"/>
      <c r="I16" s="12"/>
      <c r="J16" s="12"/>
      <c r="K16" s="12"/>
      <c r="L16" s="12"/>
      <c r="M16" s="12"/>
      <c r="N16" s="12"/>
      <c r="O16" s="21"/>
      <c r="P16" s="21"/>
      <c r="Q16" s="21"/>
      <c r="R16" s="21"/>
      <c r="S16" s="21"/>
      <c r="T16" s="12"/>
      <c r="U16" s="44"/>
      <c r="V16" s="13"/>
    </row>
    <row r="17" spans="1:22">
      <c r="A17" s="18"/>
      <c r="B17" s="11"/>
      <c r="C17" s="12"/>
      <c r="D17" s="12"/>
      <c r="E17" s="12"/>
      <c r="F17" s="12"/>
      <c r="G17" s="2"/>
      <c r="H17" s="12"/>
      <c r="I17" s="12"/>
      <c r="J17" s="12"/>
      <c r="K17" s="12"/>
      <c r="L17" s="12"/>
      <c r="M17" s="12"/>
      <c r="N17" s="12"/>
      <c r="O17" s="21"/>
      <c r="P17" s="21"/>
      <c r="Q17" s="21"/>
      <c r="R17" s="21"/>
      <c r="S17" s="21"/>
      <c r="T17" s="12"/>
      <c r="U17" s="44"/>
      <c r="V17" s="13"/>
    </row>
    <row r="18" spans="1:22">
      <c r="A18" s="18"/>
      <c r="B18" s="11"/>
      <c r="C18" s="12"/>
      <c r="D18" s="12"/>
      <c r="E18" s="12"/>
      <c r="F18" s="12"/>
      <c r="G18" s="2"/>
      <c r="H18" s="12"/>
      <c r="I18" s="12"/>
      <c r="J18" s="12"/>
      <c r="K18" s="12"/>
      <c r="L18" s="12"/>
      <c r="M18" s="12"/>
      <c r="N18" s="12"/>
      <c r="O18" s="21"/>
      <c r="P18" s="21"/>
      <c r="Q18" s="21"/>
      <c r="R18" s="21"/>
      <c r="S18" s="21"/>
      <c r="T18" s="12"/>
      <c r="U18" s="44"/>
      <c r="V18" s="13"/>
    </row>
    <row r="19" spans="1:22">
      <c r="A19" s="19"/>
      <c r="B19" s="14"/>
      <c r="C19" s="15"/>
      <c r="D19" s="15"/>
      <c r="E19" s="15"/>
      <c r="F19" s="15"/>
      <c r="G19" s="36"/>
      <c r="H19" s="15"/>
      <c r="I19" s="15"/>
      <c r="J19" s="15"/>
      <c r="K19" s="15"/>
      <c r="L19" s="15"/>
      <c r="M19" s="15"/>
      <c r="N19" s="15"/>
      <c r="O19" s="15"/>
      <c r="P19" s="22"/>
      <c r="Q19" s="22"/>
      <c r="R19" s="22"/>
      <c r="S19" s="22"/>
      <c r="T19" s="15"/>
      <c r="U19" s="53"/>
      <c r="V19" s="16"/>
    </row>
    <row r="20" spans="1:22">
      <c r="A20" s="41"/>
      <c r="B20" s="41"/>
      <c r="C20" s="41"/>
      <c r="D20" s="41"/>
      <c r="E20" s="41"/>
      <c r="F20" s="41"/>
      <c r="G20" s="6"/>
      <c r="H20" s="5"/>
      <c r="I20" s="5"/>
      <c r="J20" s="4"/>
      <c r="K20" s="4"/>
      <c r="L20" s="4"/>
      <c r="M20" s="4"/>
      <c r="N20" s="4"/>
      <c r="O20" s="4"/>
      <c r="P20" s="4"/>
      <c r="Q20" s="3"/>
      <c r="R20" s="3"/>
      <c r="S20" s="3"/>
      <c r="T20" s="3"/>
      <c r="U20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3AA2-82CE-474A-AD1E-5B42F12E69CD}">
  <dimension ref="A1:V26"/>
  <sheetViews>
    <sheetView topLeftCell="A2" zoomScale="68" zoomScaleNormal="68" workbookViewId="0">
      <selection activeCell="L21" sqref="L21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150</v>
      </c>
      <c r="B2" s="8" t="s">
        <v>151</v>
      </c>
      <c r="C2" s="9"/>
      <c r="D2" s="9"/>
      <c r="E2" s="9"/>
      <c r="F2" s="9"/>
      <c r="G2" s="28" t="s">
        <v>152</v>
      </c>
      <c r="H2" s="38">
        <v>271.33999999999997</v>
      </c>
      <c r="I2" s="38"/>
      <c r="J2" s="9">
        <v>10.06</v>
      </c>
      <c r="K2" s="9">
        <v>1.18</v>
      </c>
      <c r="L2" s="29">
        <v>7.61</v>
      </c>
      <c r="M2" s="29">
        <v>23.77</v>
      </c>
      <c r="N2" s="9">
        <v>1.99</v>
      </c>
      <c r="O2" s="20">
        <v>6.88E-2</v>
      </c>
      <c r="P2" s="20">
        <v>0.1105</v>
      </c>
      <c r="Q2" s="20">
        <v>0.45889999999999997</v>
      </c>
      <c r="R2" s="20">
        <v>0.1215</v>
      </c>
      <c r="S2" s="20">
        <v>2.528</v>
      </c>
      <c r="T2" s="9"/>
      <c r="U2" s="9"/>
      <c r="V2" s="10" t="s">
        <v>153</v>
      </c>
    </row>
    <row r="3" spans="1:22">
      <c r="A3" s="18"/>
      <c r="B3" s="11" t="s">
        <v>154</v>
      </c>
      <c r="C3" s="12"/>
      <c r="D3" s="12"/>
      <c r="E3" s="12"/>
      <c r="F3" s="12"/>
      <c r="G3" s="34" t="s">
        <v>155</v>
      </c>
      <c r="H3" s="24">
        <v>187.74</v>
      </c>
      <c r="I3" s="24"/>
      <c r="J3" s="12">
        <v>8.8699999999999992</v>
      </c>
      <c r="K3" s="12">
        <v>0.8</v>
      </c>
      <c r="L3" s="35">
        <v>7.64</v>
      </c>
      <c r="M3" s="35">
        <v>11.83</v>
      </c>
      <c r="N3" s="12">
        <v>1.74</v>
      </c>
      <c r="O3" s="21">
        <v>3.5999999999999997E-2</v>
      </c>
      <c r="P3" s="21">
        <v>0.31719999999999998</v>
      </c>
      <c r="Q3" s="21">
        <v>0.4027</v>
      </c>
      <c r="R3" s="21">
        <v>9.3100000000000002E-2</v>
      </c>
      <c r="S3" s="21">
        <v>1.8918999999999999</v>
      </c>
      <c r="T3" s="12"/>
      <c r="U3" s="12"/>
      <c r="V3" s="13" t="s">
        <v>153</v>
      </c>
    </row>
    <row r="4" spans="1:22">
      <c r="A4" s="18"/>
      <c r="B4" s="11" t="s">
        <v>156</v>
      </c>
      <c r="C4" s="12" t="s">
        <v>4</v>
      </c>
      <c r="D4" s="12" t="s">
        <v>5</v>
      </c>
      <c r="E4" s="12" t="s">
        <v>6</v>
      </c>
      <c r="F4" s="12" t="s">
        <v>9</v>
      </c>
      <c r="G4" s="34" t="s">
        <v>157</v>
      </c>
      <c r="H4" s="24">
        <v>109.95</v>
      </c>
      <c r="I4" s="24"/>
      <c r="J4" s="12">
        <v>9.48</v>
      </c>
      <c r="K4" s="12">
        <v>0.67</v>
      </c>
      <c r="L4" s="35">
        <v>5.69</v>
      </c>
      <c r="M4" s="35">
        <v>41.61</v>
      </c>
      <c r="N4" s="12">
        <v>1.17</v>
      </c>
      <c r="O4" s="21">
        <v>0.03</v>
      </c>
      <c r="P4" s="21">
        <v>8.0999999999999996E-3</v>
      </c>
      <c r="Q4" s="21">
        <v>0.34910000000000002</v>
      </c>
      <c r="R4" s="21">
        <v>7.3599999999999999E-2</v>
      </c>
      <c r="S4" s="21">
        <v>2.0427</v>
      </c>
      <c r="T4" s="12"/>
      <c r="U4" s="12"/>
      <c r="V4" s="13" t="s">
        <v>153</v>
      </c>
    </row>
    <row r="5" spans="1:22">
      <c r="A5" s="18"/>
      <c r="B5" s="11" t="s">
        <v>159</v>
      </c>
      <c r="C5" s="12"/>
      <c r="D5" s="12"/>
      <c r="E5" s="12"/>
      <c r="F5" s="12"/>
      <c r="G5" s="34" t="s">
        <v>158</v>
      </c>
      <c r="H5" s="24">
        <v>86.54</v>
      </c>
      <c r="I5" s="24"/>
      <c r="J5" s="12">
        <v>5.76</v>
      </c>
      <c r="K5" s="12">
        <v>0.51</v>
      </c>
      <c r="L5" s="35">
        <v>4.4400000000000004</v>
      </c>
      <c r="M5" s="35">
        <v>8.6999999999999993</v>
      </c>
      <c r="N5" s="12">
        <v>0.86</v>
      </c>
      <c r="O5" s="21">
        <v>2.69E-2</v>
      </c>
      <c r="P5" s="21">
        <v>0.1641</v>
      </c>
      <c r="Q5" s="21">
        <v>4.3299999999999998E-2</v>
      </c>
      <c r="R5" s="21">
        <v>9.1200000000000003E-2</v>
      </c>
      <c r="S5" s="21">
        <v>2.6741999999999999</v>
      </c>
      <c r="T5" s="12"/>
      <c r="U5" s="12"/>
      <c r="V5" s="13" t="s">
        <v>153</v>
      </c>
    </row>
    <row r="6" spans="1:22">
      <c r="A6" s="18"/>
      <c r="B6" s="11" t="s">
        <v>339</v>
      </c>
      <c r="C6" s="12"/>
      <c r="D6" s="12"/>
      <c r="E6" s="12"/>
      <c r="F6" s="12"/>
      <c r="G6" s="34" t="s">
        <v>336</v>
      </c>
      <c r="H6" s="24">
        <v>19.14</v>
      </c>
      <c r="I6" s="24">
        <v>-18.66</v>
      </c>
      <c r="J6" s="42">
        <v>5.97</v>
      </c>
      <c r="K6" s="42">
        <v>0.23</v>
      </c>
      <c r="L6" s="35">
        <v>3.02</v>
      </c>
      <c r="M6" s="35">
        <v>1.98</v>
      </c>
      <c r="N6" s="42">
        <v>0.52</v>
      </c>
      <c r="O6" s="21">
        <v>-4.7800000000000002E-2</v>
      </c>
      <c r="P6" s="21">
        <v>0.34110000000000001</v>
      </c>
      <c r="Q6" s="21"/>
      <c r="R6" s="21">
        <v>5.1499999999999997E-2</v>
      </c>
      <c r="S6" s="21">
        <v>1.7166999999999999</v>
      </c>
      <c r="T6" s="12"/>
      <c r="U6" s="12"/>
      <c r="V6" s="13" t="s">
        <v>153</v>
      </c>
    </row>
    <row r="7" spans="1:22">
      <c r="A7" s="18"/>
      <c r="B7" s="11" t="s">
        <v>341</v>
      </c>
      <c r="C7" s="12"/>
      <c r="D7" s="12"/>
      <c r="E7" s="12"/>
      <c r="F7" s="12"/>
      <c r="G7" s="34" t="s">
        <v>337</v>
      </c>
      <c r="H7" s="24">
        <v>19.68</v>
      </c>
      <c r="I7" s="24">
        <v>-20.36</v>
      </c>
      <c r="J7" s="42">
        <v>6.03</v>
      </c>
      <c r="K7" s="42">
        <v>0.45</v>
      </c>
      <c r="L7" s="35">
        <v>4.1399999999999997</v>
      </c>
      <c r="M7" s="35">
        <v>3.13</v>
      </c>
      <c r="N7" s="42">
        <v>0.55000000000000004</v>
      </c>
      <c r="O7" s="21">
        <v>1.6999999999999999E-3</v>
      </c>
      <c r="P7" s="21">
        <v>9.69E-2</v>
      </c>
      <c r="Q7" s="21">
        <v>0.4592</v>
      </c>
      <c r="R7" s="21">
        <v>7.8799999999999995E-2</v>
      </c>
      <c r="S7" s="21">
        <v>4.8376999999999999</v>
      </c>
      <c r="T7" s="12"/>
      <c r="U7" s="12"/>
      <c r="V7" s="13" t="s">
        <v>153</v>
      </c>
    </row>
    <row r="8" spans="1:22">
      <c r="A8" s="18"/>
      <c r="B8" s="11" t="s">
        <v>342</v>
      </c>
      <c r="C8" s="12"/>
      <c r="D8" s="12"/>
      <c r="E8" s="12"/>
      <c r="F8" s="12"/>
      <c r="G8" s="34" t="s">
        <v>338</v>
      </c>
      <c r="H8" s="24">
        <v>16.02</v>
      </c>
      <c r="I8" s="24">
        <v>-4.8499999999999996</v>
      </c>
      <c r="J8" s="42">
        <v>3.79</v>
      </c>
      <c r="K8" s="42">
        <v>0.28000000000000003</v>
      </c>
      <c r="L8" s="35">
        <v>2.57</v>
      </c>
      <c r="M8" s="35">
        <v>1.48</v>
      </c>
      <c r="N8" s="42">
        <v>0.69</v>
      </c>
      <c r="O8" s="21">
        <v>-4.6399999999999997E-2</v>
      </c>
      <c r="P8" s="21">
        <v>0.1762</v>
      </c>
      <c r="Q8" s="21">
        <v>0.47099999999999997</v>
      </c>
      <c r="R8" s="21">
        <v>8.0299999999999996E-2</v>
      </c>
      <c r="S8" s="21">
        <v>1.2676000000000001</v>
      </c>
      <c r="T8" s="12"/>
      <c r="U8" s="12"/>
      <c r="V8" s="13" t="s">
        <v>153</v>
      </c>
    </row>
    <row r="9" spans="1:22">
      <c r="A9" s="18"/>
      <c r="B9" s="11" t="s">
        <v>343</v>
      </c>
      <c r="C9" s="12"/>
      <c r="D9" s="12"/>
      <c r="E9" s="12"/>
      <c r="F9" s="12"/>
      <c r="G9" s="34" t="s">
        <v>340</v>
      </c>
      <c r="H9" s="24">
        <v>34.03</v>
      </c>
      <c r="I9" s="24">
        <v>18.12</v>
      </c>
      <c r="J9" s="42">
        <v>8.25</v>
      </c>
      <c r="K9" s="42">
        <v>0.63</v>
      </c>
      <c r="L9" s="35">
        <v>5.65</v>
      </c>
      <c r="M9" s="35">
        <v>7.23</v>
      </c>
      <c r="N9" s="42">
        <v>0.86</v>
      </c>
      <c r="O9" s="21">
        <v>2.6800000000000001E-2</v>
      </c>
      <c r="P9" s="21">
        <v>6.88E-2</v>
      </c>
      <c r="Q9" s="21">
        <v>0.46820000000000001</v>
      </c>
      <c r="R9" s="21">
        <v>7.9100000000000004E-2</v>
      </c>
      <c r="S9" s="21">
        <v>3.4289999999999998</v>
      </c>
      <c r="T9" s="12"/>
      <c r="U9" s="12"/>
      <c r="V9" s="13" t="s">
        <v>153</v>
      </c>
    </row>
    <row r="10" spans="1:22">
      <c r="A10" s="19"/>
      <c r="B10" s="14"/>
      <c r="C10" s="15"/>
      <c r="D10" s="15"/>
      <c r="E10" s="15"/>
      <c r="F10" s="15"/>
      <c r="G10" s="36"/>
      <c r="H10" s="39"/>
      <c r="I10" s="15"/>
      <c r="J10" s="15"/>
      <c r="K10" s="15"/>
      <c r="L10" s="15"/>
      <c r="M10" s="15"/>
      <c r="N10" s="15"/>
      <c r="O10" s="22"/>
      <c r="P10" s="22"/>
      <c r="Q10" s="22"/>
      <c r="R10" s="22"/>
      <c r="S10" s="22"/>
      <c r="T10" s="15"/>
      <c r="U10" s="15"/>
      <c r="V10" s="16"/>
    </row>
    <row r="11" spans="1:22">
      <c r="A11" s="17" t="s">
        <v>160</v>
      </c>
      <c r="B11" s="88" t="s">
        <v>161</v>
      </c>
      <c r="C11" s="88"/>
      <c r="D11" s="88"/>
      <c r="E11" s="88"/>
      <c r="F11" s="88"/>
      <c r="G11" s="88" t="s">
        <v>162</v>
      </c>
      <c r="H11" s="100">
        <v>20.66</v>
      </c>
      <c r="I11" s="100">
        <v>19.63</v>
      </c>
      <c r="J11" s="88">
        <v>5.1100000000000003</v>
      </c>
      <c r="K11" s="88">
        <v>0.34</v>
      </c>
      <c r="L11" s="88">
        <v>4.97</v>
      </c>
      <c r="M11" s="88">
        <v>4.71</v>
      </c>
      <c r="N11" s="88">
        <v>0.32</v>
      </c>
      <c r="O11" s="101">
        <v>3.6799999999999999E-2</v>
      </c>
      <c r="P11" s="101">
        <v>0.18360000000000001</v>
      </c>
      <c r="Q11" s="88"/>
      <c r="R11" s="101">
        <v>6.8199999999999997E-2</v>
      </c>
      <c r="S11" s="101">
        <v>0.50900000000000001</v>
      </c>
      <c r="T11" s="88"/>
      <c r="U11" s="81">
        <v>1258860</v>
      </c>
      <c r="V11" s="88" t="s">
        <v>163</v>
      </c>
    </row>
    <row r="12" spans="1:22">
      <c r="A12" s="18"/>
      <c r="B12" s="11" t="s">
        <v>164</v>
      </c>
      <c r="C12" s="12"/>
      <c r="D12" s="12"/>
      <c r="E12" s="12"/>
      <c r="F12" s="12"/>
      <c r="G12" s="34" t="s">
        <v>165</v>
      </c>
      <c r="H12" s="99">
        <v>28.8</v>
      </c>
      <c r="I12" s="24">
        <v>13.79</v>
      </c>
      <c r="J12" s="12">
        <v>5.2</v>
      </c>
      <c r="K12" s="12">
        <v>0.46</v>
      </c>
      <c r="L12" s="35">
        <v>4.96</v>
      </c>
      <c r="M12" s="35">
        <v>12.31</v>
      </c>
      <c r="N12" s="12">
        <v>0.42</v>
      </c>
      <c r="O12" s="21">
        <v>-1.21E-2</v>
      </c>
      <c r="P12" s="21">
        <v>-2.3800000000000002E-2</v>
      </c>
      <c r="Q12" s="21"/>
      <c r="R12" s="21">
        <v>8.9099999999999999E-2</v>
      </c>
      <c r="S12" s="21">
        <v>0.29480000000000001</v>
      </c>
      <c r="T12" s="35"/>
      <c r="U12" s="24">
        <v>1423350</v>
      </c>
      <c r="V12" s="13" t="s">
        <v>163</v>
      </c>
    </row>
    <row r="13" spans="1:22">
      <c r="A13" s="18"/>
      <c r="B13" s="48" t="s">
        <v>167</v>
      </c>
      <c r="C13" s="12" t="s">
        <v>4</v>
      </c>
      <c r="D13" s="12" t="s">
        <v>5</v>
      </c>
      <c r="E13" s="12" t="s">
        <v>6</v>
      </c>
      <c r="F13" s="12" t="s">
        <v>9</v>
      </c>
      <c r="G13" s="34" t="s">
        <v>166</v>
      </c>
      <c r="H13" s="99">
        <v>19.36</v>
      </c>
      <c r="I13" s="24">
        <v>-0.99099999999999999</v>
      </c>
      <c r="J13" s="12">
        <v>6.05</v>
      </c>
      <c r="K13" s="12">
        <v>0.3</v>
      </c>
      <c r="L13" s="35">
        <v>2.33</v>
      </c>
      <c r="M13" s="35">
        <v>2.4</v>
      </c>
      <c r="N13" s="12">
        <v>0.39</v>
      </c>
      <c r="O13" s="21">
        <v>-4.7800000000000002E-2</v>
      </c>
      <c r="P13" s="21">
        <v>-7.1400000000000005E-2</v>
      </c>
      <c r="Q13" s="21">
        <v>0.23569999999999999</v>
      </c>
      <c r="R13" s="21">
        <v>5.1499999999999997E-2</v>
      </c>
      <c r="S13" s="21">
        <v>0.60719999999999996</v>
      </c>
      <c r="T13" s="35"/>
      <c r="U13" s="24">
        <v>1071960</v>
      </c>
      <c r="V13" s="13" t="s">
        <v>168</v>
      </c>
    </row>
    <row r="14" spans="1:22">
      <c r="A14" s="18"/>
      <c r="B14" s="48" t="s">
        <v>575</v>
      </c>
      <c r="C14" s="12"/>
      <c r="D14" s="12"/>
      <c r="E14" s="12"/>
      <c r="F14" s="12"/>
      <c r="G14" s="34" t="s">
        <v>576</v>
      </c>
      <c r="H14" s="24">
        <v>31.8</v>
      </c>
      <c r="I14" s="24">
        <v>4.7</v>
      </c>
      <c r="J14" s="42">
        <v>7.08</v>
      </c>
      <c r="K14" s="42">
        <v>1.3</v>
      </c>
      <c r="L14" s="35">
        <v>6.72</v>
      </c>
      <c r="M14" s="35">
        <v>4.4800000000000004</v>
      </c>
      <c r="N14" s="42">
        <v>0.73</v>
      </c>
      <c r="O14" s="21">
        <v>5.11E-2</v>
      </c>
      <c r="P14" s="21">
        <v>0.11409999999999999</v>
      </c>
      <c r="Q14" s="21"/>
      <c r="R14" s="21">
        <v>0.18709999999999999</v>
      </c>
      <c r="S14" s="21">
        <v>0.28589999999999999</v>
      </c>
      <c r="T14" s="35"/>
      <c r="U14" s="24">
        <v>965110</v>
      </c>
      <c r="V14" s="13" t="s">
        <v>577</v>
      </c>
    </row>
    <row r="15" spans="1:22">
      <c r="A15" s="18"/>
      <c r="B15" s="11"/>
      <c r="C15" s="12"/>
      <c r="D15" s="12"/>
      <c r="E15" s="12"/>
      <c r="F15" s="12"/>
      <c r="G15" s="34"/>
      <c r="H15" s="24"/>
      <c r="I15" s="24"/>
      <c r="J15" s="12"/>
      <c r="L15" s="35"/>
      <c r="M15" s="35"/>
      <c r="N15" s="12"/>
      <c r="O15" s="21"/>
      <c r="P15" s="21"/>
      <c r="Q15" s="21"/>
      <c r="R15" s="21"/>
      <c r="S15" s="21"/>
      <c r="T15" s="35"/>
      <c r="U15" s="12"/>
      <c r="V15" s="13"/>
    </row>
    <row r="16" spans="1:22">
      <c r="A16" s="19"/>
      <c r="B16" s="14"/>
      <c r="C16" s="15"/>
      <c r="D16" s="15"/>
      <c r="E16" s="15"/>
      <c r="F16" s="15"/>
      <c r="G16" s="36"/>
      <c r="H16" s="39"/>
      <c r="I16" s="15"/>
      <c r="J16" s="15"/>
      <c r="K16" s="15"/>
      <c r="L16" s="15"/>
      <c r="M16" s="15"/>
      <c r="N16" s="15"/>
      <c r="O16" s="22"/>
      <c r="P16" s="22"/>
      <c r="Q16" s="22"/>
      <c r="R16" s="22"/>
      <c r="S16" s="22"/>
      <c r="T16" s="37"/>
      <c r="U16" s="15"/>
      <c r="V16" s="16"/>
    </row>
    <row r="17" spans="1:22">
      <c r="A17" s="17" t="s">
        <v>64</v>
      </c>
      <c r="B17" s="92" t="s">
        <v>250</v>
      </c>
      <c r="C17" s="93"/>
      <c r="D17" s="93"/>
      <c r="E17" s="93"/>
      <c r="F17" s="93"/>
      <c r="G17" s="93" t="s">
        <v>251</v>
      </c>
      <c r="H17" s="93">
        <v>357.88</v>
      </c>
      <c r="I17" s="93">
        <v>12.58</v>
      </c>
      <c r="J17" s="93">
        <v>30.36</v>
      </c>
      <c r="K17" s="93">
        <v>12.3</v>
      </c>
      <c r="L17" s="93">
        <v>27.64</v>
      </c>
      <c r="M17" s="93">
        <v>25.9</v>
      </c>
      <c r="N17" s="93">
        <v>15.34</v>
      </c>
      <c r="O17" s="93">
        <v>0.12590000000000001</v>
      </c>
      <c r="P17" s="93">
        <v>0.16739999999999999</v>
      </c>
      <c r="Q17" s="93">
        <v>0.69599999999999995</v>
      </c>
      <c r="R17" s="93">
        <v>0.42170000000000002</v>
      </c>
      <c r="S17" s="93">
        <v>0.55979999999999996</v>
      </c>
      <c r="T17" s="93">
        <v>1.51</v>
      </c>
      <c r="U17" s="93">
        <v>1206410</v>
      </c>
      <c r="V17" s="89" t="s">
        <v>252</v>
      </c>
    </row>
    <row r="18" spans="1:22">
      <c r="A18" s="18"/>
      <c r="B18" s="11" t="s">
        <v>254</v>
      </c>
      <c r="C18" s="12"/>
      <c r="D18" s="12"/>
      <c r="E18" s="12"/>
      <c r="F18" s="12"/>
      <c r="G18" s="34" t="s">
        <v>253</v>
      </c>
      <c r="H18" s="24">
        <v>257.64999999999998</v>
      </c>
      <c r="I18" s="24">
        <v>7.7</v>
      </c>
      <c r="J18" s="12">
        <v>32.22</v>
      </c>
      <c r="K18" s="12">
        <v>49.38</v>
      </c>
      <c r="L18" s="35">
        <v>30.03</v>
      </c>
      <c r="M18" s="35">
        <v>28.68</v>
      </c>
      <c r="N18" s="12">
        <v>15.37</v>
      </c>
      <c r="O18" s="21">
        <v>0.1225</v>
      </c>
      <c r="P18" s="21">
        <v>0.17019999999999999</v>
      </c>
      <c r="Q18" s="21">
        <v>0.60329999999999995</v>
      </c>
      <c r="R18" s="21">
        <v>1.5449999999999999</v>
      </c>
      <c r="S18" s="21">
        <v>1.5763</v>
      </c>
      <c r="T18" s="45">
        <v>1.42</v>
      </c>
      <c r="U18" s="74">
        <v>914140</v>
      </c>
      <c r="V18" s="13"/>
    </row>
    <row r="19" spans="1:22">
      <c r="A19" s="18"/>
      <c r="B19" s="48" t="s">
        <v>255</v>
      </c>
      <c r="C19" s="12" t="s">
        <v>4</v>
      </c>
      <c r="D19" s="12" t="s">
        <v>5</v>
      </c>
      <c r="E19" s="12" t="s">
        <v>6</v>
      </c>
      <c r="F19" s="12" t="s">
        <v>9</v>
      </c>
      <c r="G19" s="34" t="s">
        <v>256</v>
      </c>
      <c r="H19" s="24">
        <v>66.790000000000006</v>
      </c>
      <c r="I19" s="24">
        <v>11.94</v>
      </c>
      <c r="J19" s="12">
        <v>10.33</v>
      </c>
      <c r="K19" s="12">
        <v>2.98</v>
      </c>
      <c r="L19" s="35">
        <v>8.56</v>
      </c>
      <c r="M19" s="35">
        <v>8.36</v>
      </c>
      <c r="N19" s="12">
        <v>1.45</v>
      </c>
      <c r="O19" s="21">
        <v>5.91E-2</v>
      </c>
      <c r="P19" s="21">
        <v>2.87E-2</v>
      </c>
      <c r="Q19" s="21">
        <v>0.2291</v>
      </c>
      <c r="R19" s="21">
        <v>0.29220000000000002</v>
      </c>
      <c r="S19" s="21">
        <v>2.82</v>
      </c>
      <c r="T19" s="35"/>
      <c r="U19" s="44">
        <v>725380</v>
      </c>
      <c r="V19" s="13" t="s">
        <v>257</v>
      </c>
    </row>
    <row r="20" spans="1:22">
      <c r="A20" s="19"/>
      <c r="B20" s="14"/>
      <c r="C20" s="15"/>
      <c r="D20" s="15"/>
      <c r="E20" s="15"/>
      <c r="F20" s="15"/>
      <c r="G20" s="36"/>
      <c r="H20" s="39"/>
      <c r="I20" s="15"/>
      <c r="J20" s="15"/>
      <c r="K20" s="15"/>
      <c r="L20" s="15"/>
      <c r="M20" s="15"/>
      <c r="N20" s="15"/>
      <c r="O20" s="22"/>
      <c r="P20" s="22"/>
      <c r="Q20" s="22"/>
      <c r="R20" s="22"/>
      <c r="S20" s="22"/>
      <c r="T20" s="15"/>
      <c r="U20" s="53"/>
      <c r="V20" s="16"/>
    </row>
    <row r="21" spans="1:22">
      <c r="A21" s="17" t="s">
        <v>258</v>
      </c>
      <c r="B21" s="8" t="s">
        <v>259</v>
      </c>
      <c r="C21" s="9"/>
      <c r="D21" s="9"/>
      <c r="E21" s="9"/>
      <c r="F21" s="9"/>
      <c r="G21" s="28" t="s">
        <v>260</v>
      </c>
      <c r="H21" s="38">
        <v>45.04</v>
      </c>
      <c r="I21" s="38">
        <v>1.61</v>
      </c>
      <c r="J21" s="9">
        <v>32.35</v>
      </c>
      <c r="K21" s="9">
        <v>116.14</v>
      </c>
      <c r="L21" s="29">
        <v>27.94</v>
      </c>
      <c r="M21" s="29">
        <v>27.5</v>
      </c>
      <c r="N21" s="9">
        <v>9.3800000000000008</v>
      </c>
      <c r="O21" s="20">
        <v>7.6899999999999996E-2</v>
      </c>
      <c r="P21" s="20">
        <v>8.3900000000000002E-2</v>
      </c>
      <c r="Q21" s="20">
        <v>0.47439999999999999</v>
      </c>
      <c r="R21" s="20">
        <v>3.6448</v>
      </c>
      <c r="S21" s="20">
        <v>10.0572</v>
      </c>
      <c r="T21" s="9">
        <v>1.62</v>
      </c>
      <c r="U21" s="43">
        <v>449140</v>
      </c>
      <c r="V21" s="10" t="s">
        <v>261</v>
      </c>
    </row>
    <row r="22" spans="1:22">
      <c r="A22" s="18"/>
      <c r="B22" s="48"/>
      <c r="C22" s="12"/>
      <c r="D22" s="12"/>
      <c r="E22" s="12"/>
      <c r="F22" s="12"/>
      <c r="G22" s="34"/>
      <c r="H22" s="24"/>
      <c r="I22" s="24"/>
      <c r="J22" s="12"/>
      <c r="K22" s="12"/>
      <c r="L22" s="35"/>
      <c r="M22" s="35"/>
      <c r="N22" s="12"/>
      <c r="O22" s="21"/>
      <c r="P22" s="21"/>
      <c r="Q22" s="21"/>
      <c r="R22" s="21"/>
      <c r="S22" s="21"/>
      <c r="T22" s="35"/>
      <c r="U22" s="44"/>
      <c r="V22" s="13"/>
    </row>
    <row r="23" spans="1:22">
      <c r="A23" s="19"/>
      <c r="B23" s="14"/>
      <c r="C23" s="15"/>
      <c r="D23" s="15"/>
      <c r="E23" s="15"/>
      <c r="F23" s="15"/>
      <c r="G23" s="36"/>
      <c r="H23" s="39"/>
      <c r="I23" s="15"/>
      <c r="J23" s="15"/>
      <c r="K23" s="15"/>
      <c r="L23" s="15"/>
      <c r="M23" s="15"/>
      <c r="N23" s="15"/>
      <c r="O23" s="22"/>
      <c r="P23" s="22"/>
      <c r="Q23" s="22"/>
      <c r="R23" s="22"/>
      <c r="S23" s="22"/>
      <c r="T23" s="15"/>
      <c r="U23" s="53"/>
      <c r="V23" s="16"/>
    </row>
    <row r="24" spans="1:22">
      <c r="A24" s="17" t="s">
        <v>263</v>
      </c>
      <c r="B24" s="8" t="s">
        <v>262</v>
      </c>
      <c r="C24" s="9"/>
      <c r="D24" s="9"/>
      <c r="E24" s="9"/>
      <c r="F24" s="9"/>
      <c r="G24" s="28" t="s">
        <v>264</v>
      </c>
      <c r="H24" s="38">
        <v>62.27</v>
      </c>
      <c r="I24" s="38"/>
      <c r="J24" s="9">
        <v>9.51</v>
      </c>
      <c r="K24" s="9">
        <v>0.8</v>
      </c>
      <c r="L24" s="29">
        <v>6.94</v>
      </c>
      <c r="M24" s="29">
        <v>9.43</v>
      </c>
      <c r="N24" s="9">
        <v>1.21</v>
      </c>
      <c r="O24" s="20">
        <v>6.2600000000000003E-2</v>
      </c>
      <c r="P24" s="20">
        <v>7.6E-3</v>
      </c>
      <c r="Q24" s="20"/>
      <c r="R24" s="20">
        <v>8.5800000000000001E-2</v>
      </c>
      <c r="S24" s="20"/>
      <c r="T24" s="9"/>
      <c r="U24" s="43">
        <v>1381620</v>
      </c>
      <c r="V24" s="10" t="s">
        <v>265</v>
      </c>
    </row>
    <row r="25" spans="1:22">
      <c r="A25" s="18"/>
      <c r="B25" s="48"/>
      <c r="C25" s="12"/>
      <c r="D25" s="12"/>
      <c r="E25" s="12"/>
      <c r="F25" s="12"/>
      <c r="G25" s="34"/>
      <c r="H25" s="24"/>
      <c r="I25" s="24"/>
      <c r="J25" s="12"/>
      <c r="K25" s="12"/>
      <c r="L25" s="35"/>
      <c r="M25" s="35"/>
      <c r="N25" s="12"/>
      <c r="O25" s="21"/>
      <c r="P25" s="21"/>
      <c r="Q25" s="21"/>
      <c r="R25" s="21"/>
      <c r="S25" s="21"/>
      <c r="T25" s="35"/>
      <c r="U25" s="44"/>
      <c r="V25" s="13"/>
    </row>
    <row r="26" spans="1:22">
      <c r="A26" s="19"/>
      <c r="B26" s="14"/>
      <c r="C26" s="15"/>
      <c r="D26" s="15"/>
      <c r="E26" s="15"/>
      <c r="F26" s="15"/>
      <c r="G26" s="36"/>
      <c r="H26" s="39"/>
      <c r="I26" s="15"/>
      <c r="J26" s="15"/>
      <c r="K26" s="15"/>
      <c r="L26" s="15"/>
      <c r="M26" s="15"/>
      <c r="N26" s="15"/>
      <c r="O26" s="22"/>
      <c r="P26" s="22"/>
      <c r="Q26" s="22"/>
      <c r="R26" s="22"/>
      <c r="S26" s="22"/>
      <c r="T26" s="15"/>
      <c r="U26" s="53"/>
      <c r="V26" s="1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2E97-4D94-4070-BE89-A5C4CC24AB2D}">
  <dimension ref="A1:V24"/>
  <sheetViews>
    <sheetView zoomScale="68" zoomScaleNormal="68" workbookViewId="0">
      <selection activeCell="U11" sqref="U11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197</v>
      </c>
      <c r="B2" s="56" t="s">
        <v>198</v>
      </c>
      <c r="C2" s="56"/>
      <c r="D2" s="56"/>
      <c r="E2" s="56"/>
      <c r="F2" s="56"/>
      <c r="G2" s="54" t="s">
        <v>199</v>
      </c>
      <c r="H2" s="55">
        <v>3.39</v>
      </c>
      <c r="I2" s="55">
        <v>1.03</v>
      </c>
      <c r="J2" s="56">
        <v>4.4400000000000004</v>
      </c>
      <c r="K2" s="56">
        <v>0.83</v>
      </c>
      <c r="L2" s="58">
        <v>2.85</v>
      </c>
      <c r="M2" s="58">
        <v>3.02</v>
      </c>
      <c r="N2" s="56">
        <v>0.39</v>
      </c>
      <c r="O2" s="57">
        <v>0.10340000000000001</v>
      </c>
      <c r="P2" s="57">
        <v>5.8000000000000003E-2</v>
      </c>
      <c r="Q2" s="57">
        <v>0.17419999999999999</v>
      </c>
      <c r="R2" s="57">
        <v>0.18870000000000001</v>
      </c>
      <c r="S2" s="57">
        <v>0.74050000000000005</v>
      </c>
      <c r="T2" s="56">
        <v>0.63</v>
      </c>
      <c r="U2" s="73">
        <v>363840</v>
      </c>
      <c r="V2" s="68" t="s">
        <v>197</v>
      </c>
    </row>
    <row r="3" spans="1:22">
      <c r="A3" s="18"/>
      <c r="B3" s="11" t="s">
        <v>200</v>
      </c>
      <c r="C3" s="12"/>
      <c r="D3" s="12"/>
      <c r="E3" s="12"/>
      <c r="F3" s="12"/>
      <c r="G3" s="34" t="s">
        <v>201</v>
      </c>
      <c r="H3" s="24">
        <v>15.42</v>
      </c>
      <c r="I3" s="24">
        <v>2.96</v>
      </c>
      <c r="J3" s="12">
        <v>6.94</v>
      </c>
      <c r="K3" s="12">
        <v>1.6</v>
      </c>
      <c r="L3" s="35">
        <v>4.49</v>
      </c>
      <c r="M3" s="35">
        <v>4.74</v>
      </c>
      <c r="N3" s="12">
        <v>0.7</v>
      </c>
      <c r="O3" s="21">
        <v>3.8100000000000002E-2</v>
      </c>
      <c r="P3" s="21">
        <v>0.1115</v>
      </c>
      <c r="Q3" s="21">
        <v>0.19170000000000001</v>
      </c>
      <c r="R3" s="21">
        <v>0.2329</v>
      </c>
      <c r="S3" s="21">
        <v>0.24679999999999999</v>
      </c>
      <c r="T3" s="45">
        <v>0.65</v>
      </c>
      <c r="U3" s="74">
        <v>354020</v>
      </c>
      <c r="V3" s="13" t="s">
        <v>197</v>
      </c>
    </row>
    <row r="4" spans="1:22">
      <c r="A4" s="18"/>
      <c r="B4" s="11" t="s">
        <v>204</v>
      </c>
      <c r="C4" s="12" t="s">
        <v>4</v>
      </c>
      <c r="D4" s="12" t="s">
        <v>5</v>
      </c>
      <c r="E4" s="12" t="s">
        <v>6</v>
      </c>
      <c r="F4" s="12" t="s">
        <v>9</v>
      </c>
      <c r="G4" s="34" t="s">
        <v>203</v>
      </c>
      <c r="H4" s="24">
        <v>14.33</v>
      </c>
      <c r="I4" s="24">
        <v>2.3199999999999998</v>
      </c>
      <c r="J4" s="12">
        <v>4.17</v>
      </c>
      <c r="K4" s="12">
        <v>0.99</v>
      </c>
      <c r="L4" s="35">
        <v>2.36</v>
      </c>
      <c r="M4" s="35">
        <v>24.89</v>
      </c>
      <c r="N4" s="12">
        <v>0.32</v>
      </c>
      <c r="O4" s="21">
        <v>3.1E-2</v>
      </c>
      <c r="P4" s="21">
        <v>0.2477</v>
      </c>
      <c r="Q4" s="21">
        <v>0.1736</v>
      </c>
      <c r="R4" s="21">
        <v>0.2387</v>
      </c>
      <c r="S4" s="21">
        <v>1.6053999999999999</v>
      </c>
      <c r="T4" s="45">
        <v>0.4</v>
      </c>
      <c r="U4" s="74">
        <v>494680</v>
      </c>
      <c r="V4" s="13" t="s">
        <v>197</v>
      </c>
    </row>
    <row r="5" spans="1:22">
      <c r="A5" s="18"/>
      <c r="B5" s="11" t="s">
        <v>206</v>
      </c>
      <c r="C5" s="12"/>
      <c r="D5" s="12"/>
      <c r="E5" s="12"/>
      <c r="F5" s="12"/>
      <c r="G5" s="34" t="s">
        <v>205</v>
      </c>
      <c r="H5" s="24">
        <v>4.4000000000000004</v>
      </c>
      <c r="I5" s="24">
        <v>-0.45300000000000001</v>
      </c>
      <c r="J5" s="12">
        <v>2.7</v>
      </c>
      <c r="K5" s="12"/>
      <c r="L5" s="35">
        <v>1.1299999999999999</v>
      </c>
      <c r="M5" s="35">
        <v>1.08</v>
      </c>
      <c r="N5" s="12">
        <v>0.1</v>
      </c>
      <c r="O5" s="21">
        <v>1.4200000000000001E-2</v>
      </c>
      <c r="P5" s="21">
        <v>-1.84E-2</v>
      </c>
      <c r="Q5" s="21">
        <v>0.13159999999999999</v>
      </c>
      <c r="R5" s="21">
        <v>-10.9481</v>
      </c>
      <c r="S5" s="21">
        <v>-283.4237</v>
      </c>
      <c r="T5" s="45">
        <v>0.47</v>
      </c>
      <c r="U5" s="74">
        <v>326840</v>
      </c>
      <c r="V5" s="13" t="s">
        <v>197</v>
      </c>
    </row>
    <row r="6" spans="1:22">
      <c r="A6" s="18"/>
      <c r="B6" s="56" t="s">
        <v>208</v>
      </c>
      <c r="C6" s="56"/>
      <c r="D6" s="56"/>
      <c r="E6" s="56"/>
      <c r="F6" s="56"/>
      <c r="G6" s="54" t="s">
        <v>209</v>
      </c>
      <c r="H6" s="55">
        <v>2.2200000000000002</v>
      </c>
      <c r="I6" s="55">
        <v>0.29299999999999998</v>
      </c>
      <c r="J6" s="56">
        <v>4.09</v>
      </c>
      <c r="K6" s="56">
        <v>0.49</v>
      </c>
      <c r="L6" s="58">
        <v>2.1</v>
      </c>
      <c r="M6" s="58">
        <v>1.88</v>
      </c>
      <c r="N6" s="56">
        <v>0.28000000000000003</v>
      </c>
      <c r="O6" s="57">
        <v>6.83E-2</v>
      </c>
      <c r="P6" s="57">
        <v>0.105</v>
      </c>
      <c r="Q6" s="57">
        <v>0.16539999999999999</v>
      </c>
      <c r="R6" s="57">
        <v>0.1206</v>
      </c>
      <c r="S6" s="57">
        <v>0.65680000000000005</v>
      </c>
      <c r="T6" s="58">
        <v>0.56000000000000005</v>
      </c>
      <c r="U6" s="73">
        <v>375260</v>
      </c>
      <c r="V6" s="68" t="s">
        <v>197</v>
      </c>
    </row>
    <row r="7" spans="1:22">
      <c r="A7" s="18"/>
      <c r="B7" s="11" t="s">
        <v>211</v>
      </c>
      <c r="C7" s="12"/>
      <c r="D7" s="12"/>
      <c r="E7" s="12"/>
      <c r="F7" s="12"/>
      <c r="G7" s="34" t="s">
        <v>212</v>
      </c>
      <c r="H7" s="24">
        <v>0.52625</v>
      </c>
      <c r="I7" s="24">
        <v>8.7720000000000006E-2</v>
      </c>
      <c r="J7" s="42">
        <v>2.41</v>
      </c>
      <c r="K7" s="42">
        <v>0.52</v>
      </c>
      <c r="L7" s="45">
        <v>1.4</v>
      </c>
      <c r="M7" s="45">
        <v>1.45</v>
      </c>
      <c r="N7" s="42">
        <v>0.19</v>
      </c>
      <c r="O7" s="21">
        <v>4.1200000000000001E-2</v>
      </c>
      <c r="P7" s="21">
        <v>0.18290000000000001</v>
      </c>
      <c r="Q7" s="21">
        <v>0.17169999999999999</v>
      </c>
      <c r="R7" s="21">
        <v>0.21690000000000001</v>
      </c>
      <c r="S7" s="21">
        <v>1.2592000000000001</v>
      </c>
      <c r="T7" s="45">
        <v>0.74</v>
      </c>
      <c r="U7" s="74">
        <v>380830</v>
      </c>
      <c r="V7" s="13" t="s">
        <v>197</v>
      </c>
    </row>
    <row r="8" spans="1:22">
      <c r="A8" s="18"/>
      <c r="B8" s="11"/>
      <c r="C8" s="12"/>
      <c r="D8" s="12"/>
      <c r="E8" s="12"/>
      <c r="F8" s="12"/>
      <c r="G8" s="34"/>
      <c r="H8" s="24"/>
      <c r="I8" s="25"/>
      <c r="J8" s="12"/>
      <c r="K8" s="12"/>
      <c r="L8" s="12"/>
      <c r="M8" s="12"/>
      <c r="N8" s="12"/>
      <c r="O8" s="21"/>
      <c r="P8" s="21"/>
      <c r="Q8" s="21"/>
      <c r="R8" s="21"/>
      <c r="S8" s="21"/>
      <c r="T8" s="45"/>
      <c r="U8" s="74"/>
      <c r="V8" s="13"/>
    </row>
    <row r="9" spans="1:22">
      <c r="A9" s="19"/>
      <c r="B9" s="14" t="s">
        <v>207</v>
      </c>
      <c r="C9" s="15"/>
      <c r="D9" s="15"/>
      <c r="E9" s="15"/>
      <c r="F9" s="15"/>
      <c r="G9" s="36" t="s">
        <v>202</v>
      </c>
      <c r="H9" s="52" t="s">
        <v>210</v>
      </c>
      <c r="I9" s="52" t="s">
        <v>210</v>
      </c>
      <c r="J9" s="52" t="s">
        <v>210</v>
      </c>
      <c r="K9" s="52" t="s">
        <v>210</v>
      </c>
      <c r="L9" s="52" t="s">
        <v>210</v>
      </c>
      <c r="M9" s="52"/>
      <c r="N9" s="52" t="s">
        <v>210</v>
      </c>
      <c r="O9" s="52" t="s">
        <v>210</v>
      </c>
      <c r="P9" s="52" t="s">
        <v>210</v>
      </c>
      <c r="Q9" s="52" t="s">
        <v>210</v>
      </c>
      <c r="R9" s="52" t="s">
        <v>210</v>
      </c>
      <c r="S9" s="52" t="s">
        <v>210</v>
      </c>
      <c r="T9" s="52" t="s">
        <v>210</v>
      </c>
      <c r="U9" s="77">
        <v>434060</v>
      </c>
      <c r="V9" s="16" t="s">
        <v>197</v>
      </c>
    </row>
    <row r="10" spans="1:22">
      <c r="A10" s="17" t="s">
        <v>213</v>
      </c>
      <c r="B10" s="8" t="s">
        <v>214</v>
      </c>
      <c r="C10" s="9"/>
      <c r="D10" s="9"/>
      <c r="E10" s="9"/>
      <c r="F10" s="9"/>
      <c r="G10" s="28" t="s">
        <v>215</v>
      </c>
      <c r="H10" s="38">
        <v>7.1</v>
      </c>
      <c r="I10" s="38">
        <v>0.69169999999999998</v>
      </c>
      <c r="J10" s="9">
        <v>3.8</v>
      </c>
      <c r="K10" s="9">
        <v>0.61</v>
      </c>
      <c r="L10" s="29">
        <v>2.2799999999999998</v>
      </c>
      <c r="M10" s="29">
        <v>3.24</v>
      </c>
      <c r="N10" s="9">
        <v>0.65</v>
      </c>
      <c r="O10" s="20">
        <v>6.2799999999999995E-2</v>
      </c>
      <c r="P10" s="20">
        <v>0.1525</v>
      </c>
      <c r="Q10" s="20">
        <v>0.30659999999999998</v>
      </c>
      <c r="R10" s="20">
        <v>0.16009999999999999</v>
      </c>
      <c r="S10" s="20">
        <v>0.96460000000000001</v>
      </c>
      <c r="T10" s="9">
        <v>0.16</v>
      </c>
      <c r="U10" s="43"/>
      <c r="V10" s="10" t="s">
        <v>213</v>
      </c>
    </row>
    <row r="11" spans="1:22">
      <c r="A11" s="18"/>
      <c r="B11" s="11" t="s">
        <v>217</v>
      </c>
      <c r="C11" s="12"/>
      <c r="D11" s="12"/>
      <c r="E11" s="12"/>
      <c r="F11" s="12"/>
      <c r="G11" s="34" t="s">
        <v>216</v>
      </c>
      <c r="H11" s="24">
        <v>7.97</v>
      </c>
      <c r="I11" s="24">
        <v>0.65100000000000002</v>
      </c>
      <c r="J11" s="12">
        <v>4.3099999999999996</v>
      </c>
      <c r="K11" s="12">
        <v>0.32</v>
      </c>
      <c r="L11" s="35">
        <v>1.96</v>
      </c>
      <c r="M11" s="35">
        <v>-9.8800000000000008</v>
      </c>
      <c r="N11" s="12">
        <v>0.38</v>
      </c>
      <c r="O11" s="21">
        <v>5.57E-2</v>
      </c>
      <c r="P11" s="21">
        <v>0.124</v>
      </c>
      <c r="Q11" s="21">
        <v>0.245</v>
      </c>
      <c r="R11" s="21">
        <v>8.9099999999999999E-2</v>
      </c>
      <c r="S11" s="21">
        <v>0.59360000000000002</v>
      </c>
      <c r="T11" s="45">
        <v>0.27</v>
      </c>
      <c r="U11" s="74"/>
      <c r="V11" s="13" t="s">
        <v>213</v>
      </c>
    </row>
    <row r="12" spans="1:22">
      <c r="A12" s="19"/>
      <c r="B12" s="14"/>
      <c r="C12" s="15"/>
      <c r="D12" s="15"/>
      <c r="E12" s="15"/>
      <c r="F12" s="15"/>
      <c r="G12" s="36"/>
      <c r="H12" s="39"/>
      <c r="I12" s="15"/>
      <c r="J12" s="15"/>
      <c r="K12" s="15"/>
      <c r="L12" s="15"/>
      <c r="M12" s="15"/>
      <c r="N12" s="15"/>
      <c r="O12" s="22"/>
      <c r="P12" s="22"/>
      <c r="Q12" s="22"/>
      <c r="R12" s="22"/>
      <c r="S12" s="22"/>
      <c r="T12" s="15"/>
      <c r="U12" s="53"/>
      <c r="V12" s="16"/>
    </row>
    <row r="13" spans="1:22">
      <c r="A13" s="17" t="s">
        <v>243</v>
      </c>
      <c r="B13" s="8" t="s">
        <v>247</v>
      </c>
      <c r="C13" s="9"/>
      <c r="D13" s="9"/>
      <c r="E13" s="9"/>
      <c r="F13" s="9"/>
      <c r="G13" s="28" t="s">
        <v>244</v>
      </c>
      <c r="H13" s="38">
        <v>213.79</v>
      </c>
      <c r="I13" s="38">
        <v>27.06</v>
      </c>
      <c r="J13" s="9">
        <v>14.96</v>
      </c>
      <c r="K13" s="9">
        <v>1.18</v>
      </c>
      <c r="L13" s="29">
        <v>5.03</v>
      </c>
      <c r="M13" s="29">
        <v>4.5199999999999996</v>
      </c>
      <c r="N13" s="9">
        <v>1.2</v>
      </c>
      <c r="O13" s="20">
        <v>6.4799999999999996E-2</v>
      </c>
      <c r="P13" s="20">
        <v>0.1186</v>
      </c>
      <c r="Q13" s="20">
        <v>0.33139999999999997</v>
      </c>
      <c r="R13" s="20">
        <v>7.8899999999999998E-2</v>
      </c>
      <c r="S13" s="20">
        <v>1.0454000000000001</v>
      </c>
      <c r="T13" s="9">
        <v>0.75</v>
      </c>
      <c r="U13" s="43"/>
      <c r="V13" s="10" t="s">
        <v>243</v>
      </c>
    </row>
    <row r="14" spans="1:22">
      <c r="A14" s="18"/>
      <c r="B14" s="11" t="s">
        <v>248</v>
      </c>
      <c r="C14" s="12"/>
      <c r="D14" s="12"/>
      <c r="E14" s="12"/>
      <c r="F14" s="12"/>
      <c r="G14" s="34" t="s">
        <v>245</v>
      </c>
      <c r="H14" s="24">
        <v>239.84</v>
      </c>
      <c r="I14" s="24">
        <v>17.809999999999999</v>
      </c>
      <c r="J14" s="12">
        <v>12.47</v>
      </c>
      <c r="K14" s="12">
        <v>4.12</v>
      </c>
      <c r="L14" s="35">
        <v>6.67</v>
      </c>
      <c r="M14" s="35">
        <v>6.47</v>
      </c>
      <c r="N14" s="12">
        <v>1.82</v>
      </c>
      <c r="O14" s="21">
        <v>7.4000000000000003E-3</v>
      </c>
      <c r="P14" s="21">
        <v>6.5600000000000006E-2</v>
      </c>
      <c r="Q14" s="21">
        <v>0.35630000000000001</v>
      </c>
      <c r="R14" s="21">
        <v>0.33110000000000001</v>
      </c>
      <c r="S14" s="21">
        <v>2.1686000000000001</v>
      </c>
      <c r="T14" s="45">
        <v>0.86</v>
      </c>
      <c r="U14" s="74"/>
      <c r="V14" s="13" t="s">
        <v>243</v>
      </c>
    </row>
    <row r="15" spans="1:22">
      <c r="A15" s="18"/>
      <c r="B15" s="11" t="s">
        <v>249</v>
      </c>
      <c r="C15" s="12" t="s">
        <v>4</v>
      </c>
      <c r="D15" s="12" t="s">
        <v>5</v>
      </c>
      <c r="E15" s="12" t="s">
        <v>6</v>
      </c>
      <c r="F15" s="12" t="s">
        <v>9</v>
      </c>
      <c r="G15" s="34" t="s">
        <v>246</v>
      </c>
      <c r="H15" s="24">
        <v>77.260000000000005</v>
      </c>
      <c r="I15" s="24">
        <v>0.433</v>
      </c>
      <c r="J15" s="12">
        <v>22.37</v>
      </c>
      <c r="K15" s="12">
        <v>2.81</v>
      </c>
      <c r="L15" s="35">
        <v>7.65</v>
      </c>
      <c r="M15" s="35">
        <v>7.66</v>
      </c>
      <c r="N15" s="12">
        <v>1.71</v>
      </c>
      <c r="O15" s="21">
        <v>8.7599999999999997E-2</v>
      </c>
      <c r="P15" s="21">
        <v>0.16700000000000001</v>
      </c>
      <c r="Q15" s="21">
        <v>0.28799999999999998</v>
      </c>
      <c r="R15" s="21">
        <v>0.12640000000000001</v>
      </c>
      <c r="S15" s="21">
        <v>1.4704999999999999</v>
      </c>
      <c r="T15" s="45">
        <v>0.67</v>
      </c>
      <c r="U15" s="74"/>
      <c r="V15" s="13" t="s">
        <v>243</v>
      </c>
    </row>
    <row r="16" spans="1:22">
      <c r="A16" s="19"/>
      <c r="B16" s="14"/>
      <c r="C16" s="15"/>
      <c r="D16" s="15"/>
      <c r="E16" s="15"/>
      <c r="F16" s="15"/>
      <c r="G16" s="36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77"/>
      <c r="V16" s="16"/>
    </row>
    <row r="17" spans="1:22">
      <c r="A17" s="17" t="s">
        <v>387</v>
      </c>
      <c r="B17" s="8" t="s">
        <v>388</v>
      </c>
      <c r="C17" s="9"/>
      <c r="D17" s="9"/>
      <c r="E17" s="9"/>
      <c r="F17" s="9"/>
      <c r="G17" s="28" t="s">
        <v>375</v>
      </c>
      <c r="H17" s="38">
        <v>186.9</v>
      </c>
      <c r="I17" s="38">
        <v>-2.54</v>
      </c>
      <c r="J17" s="9">
        <v>86.03</v>
      </c>
      <c r="K17" s="9">
        <v>25.75</v>
      </c>
      <c r="L17" s="29">
        <v>79.650000000000006</v>
      </c>
      <c r="M17" s="29">
        <v>63.35</v>
      </c>
      <c r="N17" s="9">
        <v>8.7100000000000009</v>
      </c>
      <c r="O17" s="20">
        <v>0.2964</v>
      </c>
      <c r="P17" s="20">
        <v>0.43769999999999998</v>
      </c>
      <c r="Q17" s="20">
        <v>0.1603</v>
      </c>
      <c r="R17" s="20">
        <v>0.30830000000000002</v>
      </c>
      <c r="S17" s="20">
        <v>1.9341999999999999</v>
      </c>
      <c r="T17" s="9">
        <v>0.82</v>
      </c>
      <c r="U17" s="43">
        <v>2488740</v>
      </c>
      <c r="V17" s="10" t="s">
        <v>389</v>
      </c>
    </row>
    <row r="18" spans="1:22">
      <c r="A18" s="18"/>
      <c r="B18" s="11" t="s">
        <v>390</v>
      </c>
      <c r="C18" s="12"/>
      <c r="D18" s="12"/>
      <c r="E18" s="12"/>
      <c r="F18" s="12"/>
      <c r="G18" s="34" t="s">
        <v>374</v>
      </c>
      <c r="H18" s="24">
        <v>180.73</v>
      </c>
      <c r="I18" s="24">
        <v>1.1000000000000001</v>
      </c>
      <c r="J18" s="12">
        <v>17.09</v>
      </c>
      <c r="K18" s="12">
        <v>2.0099999999999998</v>
      </c>
      <c r="L18" s="35">
        <v>12.43</v>
      </c>
      <c r="M18" s="35">
        <v>13.17</v>
      </c>
      <c r="N18" s="12">
        <v>2.4</v>
      </c>
      <c r="O18" s="21">
        <v>7.3400000000000007E-2</v>
      </c>
      <c r="P18" s="21">
        <v>8.3299999999999999E-2</v>
      </c>
      <c r="Q18" s="21">
        <v>0.21510000000000001</v>
      </c>
      <c r="R18" s="21">
        <v>0.109</v>
      </c>
      <c r="S18" s="21">
        <v>0.5786</v>
      </c>
      <c r="T18" s="45">
        <v>0.78</v>
      </c>
      <c r="U18" s="74">
        <v>336880</v>
      </c>
      <c r="V18" s="13" t="s">
        <v>391</v>
      </c>
    </row>
    <row r="19" spans="1:22">
      <c r="A19" s="18"/>
      <c r="B19" s="11" t="s">
        <v>489</v>
      </c>
      <c r="C19" s="12" t="s">
        <v>4</v>
      </c>
      <c r="D19" s="12" t="s">
        <v>5</v>
      </c>
      <c r="E19" s="12" t="s">
        <v>6</v>
      </c>
      <c r="F19" s="12" t="s">
        <v>9</v>
      </c>
      <c r="G19" s="34" t="s">
        <v>493</v>
      </c>
      <c r="H19" s="24">
        <v>27.94</v>
      </c>
      <c r="I19" s="24">
        <v>0.27539000000000002</v>
      </c>
      <c r="J19" s="12"/>
      <c r="K19" s="42">
        <v>12.49</v>
      </c>
      <c r="L19" s="35">
        <v>413.22</v>
      </c>
      <c r="M19" s="35">
        <v>235.43</v>
      </c>
      <c r="N19" s="42">
        <v>3.48</v>
      </c>
      <c r="O19" s="21">
        <v>0.19500000000000001</v>
      </c>
      <c r="P19" s="21">
        <v>-0.26800000000000002</v>
      </c>
      <c r="Q19" s="21"/>
      <c r="R19" s="21">
        <v>-2.1899999999999999E-2</v>
      </c>
      <c r="S19" s="21"/>
      <c r="T19" s="45">
        <v>0.85</v>
      </c>
      <c r="U19" s="74">
        <v>1799140</v>
      </c>
      <c r="V19" s="13" t="s">
        <v>494</v>
      </c>
    </row>
    <row r="20" spans="1:22">
      <c r="A20" s="19"/>
      <c r="B20" s="14"/>
      <c r="C20" s="15"/>
      <c r="D20" s="15"/>
      <c r="E20" s="15"/>
      <c r="F20" s="15"/>
      <c r="G20" s="36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77"/>
      <c r="V20" s="16"/>
    </row>
    <row r="21" spans="1:22">
      <c r="A21" s="17" t="s">
        <v>435</v>
      </c>
      <c r="B21" s="8" t="s">
        <v>436</v>
      </c>
      <c r="C21" s="9"/>
      <c r="D21" s="9"/>
      <c r="E21" s="9"/>
      <c r="F21" s="9"/>
      <c r="G21" s="28" t="s">
        <v>437</v>
      </c>
      <c r="H21" s="38">
        <v>1.63</v>
      </c>
      <c r="I21" s="38"/>
      <c r="J21" s="9"/>
      <c r="K21" s="9">
        <v>8.08</v>
      </c>
      <c r="L21" s="29"/>
      <c r="M21" s="29">
        <v>-14.88</v>
      </c>
      <c r="N21" s="9">
        <v>4.96</v>
      </c>
      <c r="O21" s="20">
        <v>0.19170000000000001</v>
      </c>
      <c r="P21" s="20">
        <v>0.69040000000000001</v>
      </c>
      <c r="Q21" s="20">
        <v>-0.41739999999999999</v>
      </c>
      <c r="R21" s="20">
        <v>-0.57889999999999997</v>
      </c>
      <c r="S21" s="20">
        <v>2.6623000000000001</v>
      </c>
      <c r="T21" s="9">
        <v>2.67</v>
      </c>
      <c r="U21" s="43"/>
      <c r="V21" s="10" t="s">
        <v>438</v>
      </c>
    </row>
    <row r="22" spans="1:22">
      <c r="A22" s="18"/>
      <c r="B22" s="11"/>
      <c r="C22" s="12"/>
      <c r="D22" s="12"/>
      <c r="E22" s="12"/>
      <c r="F22" s="12"/>
      <c r="G22" s="34"/>
      <c r="H22" s="24"/>
      <c r="I22" s="24"/>
      <c r="J22" s="12"/>
      <c r="K22" s="12"/>
      <c r="L22" s="35"/>
      <c r="M22" s="35"/>
      <c r="N22" s="12"/>
      <c r="O22" s="21"/>
      <c r="P22" s="21"/>
      <c r="Q22" s="21"/>
      <c r="R22" s="21"/>
      <c r="S22" s="21"/>
      <c r="T22" s="45"/>
      <c r="U22" s="74"/>
      <c r="V22" s="13"/>
    </row>
    <row r="23" spans="1:22">
      <c r="A23" s="18"/>
      <c r="B23" s="11"/>
      <c r="C23" s="12"/>
      <c r="D23" s="12"/>
      <c r="E23" s="12"/>
      <c r="F23" s="12"/>
      <c r="G23" s="34"/>
      <c r="H23" s="24"/>
      <c r="I23" s="24"/>
      <c r="J23" s="12"/>
      <c r="K23" s="12"/>
      <c r="L23" s="35"/>
      <c r="M23" s="35"/>
      <c r="N23" s="12"/>
      <c r="O23" s="21"/>
      <c r="P23" s="21"/>
      <c r="Q23" s="21"/>
      <c r="R23" s="21"/>
      <c r="S23" s="21"/>
      <c r="T23" s="45"/>
      <c r="U23" s="74"/>
      <c r="V23" s="13"/>
    </row>
    <row r="24" spans="1:22">
      <c r="A24" s="19"/>
      <c r="B24" s="14"/>
      <c r="C24" s="15"/>
      <c r="D24" s="15"/>
      <c r="E24" s="15"/>
      <c r="F24" s="15"/>
      <c r="G24" s="36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77"/>
      <c r="V24" s="1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A25B-F1A6-4E6B-99E7-465E22F90C14}">
  <dimension ref="A1:V23"/>
  <sheetViews>
    <sheetView zoomScale="68" zoomScaleNormal="68" workbookViewId="0">
      <selection activeCell="H23" sqref="H23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220</v>
      </c>
      <c r="B2" t="s">
        <v>219</v>
      </c>
      <c r="G2" t="s">
        <v>218</v>
      </c>
      <c r="H2">
        <v>257.83</v>
      </c>
      <c r="I2">
        <v>16.93</v>
      </c>
      <c r="J2">
        <v>12.73</v>
      </c>
      <c r="K2">
        <v>3.51</v>
      </c>
      <c r="L2">
        <v>8.27</v>
      </c>
      <c r="M2">
        <v>6.41</v>
      </c>
      <c r="N2">
        <v>3.66</v>
      </c>
      <c r="O2">
        <v>5.1900000000000002E-2</v>
      </c>
      <c r="P2">
        <v>9.4899999999999998E-2</v>
      </c>
      <c r="Q2">
        <v>0.46210000000000001</v>
      </c>
      <c r="R2">
        <v>0.28029999999999999</v>
      </c>
      <c r="S2" s="46">
        <v>0.38129999999999997</v>
      </c>
      <c r="T2">
        <v>1.39</v>
      </c>
      <c r="U2" s="76">
        <v>683500</v>
      </c>
      <c r="V2" t="s">
        <v>220</v>
      </c>
    </row>
    <row r="3" spans="1:22">
      <c r="A3" s="18"/>
      <c r="B3" s="11" t="s">
        <v>221</v>
      </c>
      <c r="C3" s="12"/>
      <c r="D3" s="12"/>
      <c r="E3" s="12"/>
      <c r="F3" s="12"/>
      <c r="G3" s="34" t="s">
        <v>222</v>
      </c>
      <c r="H3" s="24">
        <v>175.12</v>
      </c>
      <c r="I3" s="24">
        <v>4.2699999999999996</v>
      </c>
      <c r="J3" s="12">
        <v>63.31</v>
      </c>
      <c r="K3" s="12">
        <v>16.079999999999998</v>
      </c>
      <c r="L3" s="35">
        <v>54.99</v>
      </c>
      <c r="M3" s="35">
        <v>41.15</v>
      </c>
      <c r="N3" s="12">
        <v>16</v>
      </c>
      <c r="O3" s="21">
        <v>0.1845</v>
      </c>
      <c r="P3" s="21">
        <v>0.30149999999999999</v>
      </c>
      <c r="Q3" s="21">
        <v>0.2969</v>
      </c>
      <c r="R3" s="21">
        <v>0.25740000000000002</v>
      </c>
      <c r="S3" s="21">
        <v>0.21659999999999999</v>
      </c>
      <c r="T3" s="45">
        <v>8.36</v>
      </c>
      <c r="U3" s="74">
        <v>792600</v>
      </c>
      <c r="V3" s="13" t="s">
        <v>223</v>
      </c>
    </row>
    <row r="4" spans="1:22">
      <c r="A4" s="18"/>
      <c r="B4" s="11" t="s">
        <v>224</v>
      </c>
      <c r="C4" s="12"/>
      <c r="D4" s="12"/>
      <c r="E4" s="12"/>
      <c r="F4" s="12"/>
      <c r="G4" s="34" t="s">
        <v>225</v>
      </c>
      <c r="H4" s="24">
        <v>65.430000000000007</v>
      </c>
      <c r="I4" s="24">
        <v>0.27600000000000002</v>
      </c>
      <c r="J4" s="12">
        <v>186.4</v>
      </c>
      <c r="K4" s="12">
        <v>28.64</v>
      </c>
      <c r="L4" s="35">
        <v>110.55</v>
      </c>
      <c r="M4" s="35">
        <v>69.88</v>
      </c>
      <c r="N4" s="12">
        <v>9.25</v>
      </c>
      <c r="O4" s="21">
        <v>4.1000000000000002E-2</v>
      </c>
      <c r="P4" s="21">
        <v>0.1201</v>
      </c>
      <c r="Q4" s="21">
        <v>0.1196</v>
      </c>
      <c r="R4" s="21">
        <v>0.15690000000000001</v>
      </c>
      <c r="S4" s="21">
        <v>0.25750000000000001</v>
      </c>
      <c r="T4" s="45">
        <v>2.0499999999999998</v>
      </c>
      <c r="U4" s="74">
        <v>635530</v>
      </c>
      <c r="V4" s="13" t="s">
        <v>226</v>
      </c>
    </row>
    <row r="5" spans="1:22">
      <c r="A5" s="19"/>
      <c r="B5" s="11"/>
      <c r="C5" s="12"/>
      <c r="D5" s="12"/>
      <c r="E5" s="12"/>
      <c r="F5" s="12"/>
      <c r="G5" s="34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90"/>
      <c r="V5" s="13"/>
    </row>
    <row r="6" spans="1:22">
      <c r="A6" s="17" t="s">
        <v>227</v>
      </c>
      <c r="B6" s="8" t="s">
        <v>228</v>
      </c>
      <c r="C6" s="9"/>
      <c r="D6" s="9"/>
      <c r="E6" s="9"/>
      <c r="F6" s="9"/>
      <c r="G6" s="28" t="s">
        <v>229</v>
      </c>
      <c r="H6" s="38">
        <v>48.83</v>
      </c>
      <c r="I6" s="38">
        <v>0.52600000000000002</v>
      </c>
      <c r="J6" s="9">
        <v>21.74</v>
      </c>
      <c r="K6" s="9">
        <v>1.34</v>
      </c>
      <c r="L6" s="29">
        <v>6.29</v>
      </c>
      <c r="M6" s="29">
        <v>6.87</v>
      </c>
      <c r="N6" s="9">
        <v>2.48</v>
      </c>
      <c r="O6" s="20">
        <v>7.4300000000000005E-2</v>
      </c>
      <c r="P6" s="20">
        <v>0.17749999999999999</v>
      </c>
      <c r="Q6" s="20">
        <v>0.40710000000000002</v>
      </c>
      <c r="R6" s="20">
        <v>6.3500000000000001E-2</v>
      </c>
      <c r="S6" s="20">
        <v>0.1613</v>
      </c>
      <c r="T6" s="9">
        <v>2.66</v>
      </c>
      <c r="U6" s="43">
        <v>529700</v>
      </c>
      <c r="V6" s="10" t="s">
        <v>230</v>
      </c>
    </row>
    <row r="7" spans="1:22">
      <c r="A7" s="18"/>
      <c r="B7" s="11"/>
      <c r="C7" s="12"/>
      <c r="D7" s="12"/>
      <c r="E7" s="12"/>
      <c r="F7" s="12"/>
      <c r="G7" s="34"/>
      <c r="H7" s="24"/>
      <c r="I7" s="24"/>
      <c r="J7" s="12"/>
      <c r="K7" s="12"/>
      <c r="L7" s="35"/>
      <c r="M7" s="35"/>
      <c r="N7" s="12"/>
      <c r="O7" s="21"/>
      <c r="P7" s="21"/>
      <c r="Q7" s="21"/>
      <c r="R7" s="21"/>
      <c r="S7" s="21"/>
      <c r="T7" s="45"/>
      <c r="U7" s="74"/>
      <c r="V7" s="13"/>
    </row>
    <row r="8" spans="1:22">
      <c r="A8" s="18"/>
      <c r="B8" s="11"/>
      <c r="C8" s="12"/>
      <c r="D8" s="12"/>
      <c r="E8" s="12"/>
      <c r="F8" s="12"/>
      <c r="G8" s="34"/>
      <c r="H8" s="24"/>
      <c r="I8" s="24"/>
      <c r="J8" s="12"/>
      <c r="K8" s="12"/>
      <c r="L8" s="35"/>
      <c r="M8" s="35"/>
      <c r="N8" s="12"/>
      <c r="O8" s="21"/>
      <c r="P8" s="21"/>
      <c r="Q8" s="21"/>
      <c r="R8" s="21"/>
      <c r="S8" s="21"/>
      <c r="T8" s="45"/>
      <c r="U8" s="74"/>
      <c r="V8" s="13"/>
    </row>
    <row r="9" spans="1:22">
      <c r="A9" s="19"/>
      <c r="B9" s="14"/>
      <c r="C9" s="15"/>
      <c r="D9" s="15"/>
      <c r="E9" s="15"/>
      <c r="F9" s="15"/>
      <c r="G9" s="36"/>
      <c r="H9" s="39"/>
      <c r="I9" s="15"/>
      <c r="J9" s="15"/>
      <c r="K9" s="15"/>
      <c r="L9" s="15"/>
      <c r="M9" s="15"/>
      <c r="N9" s="15"/>
      <c r="O9" s="22"/>
      <c r="P9" s="22"/>
      <c r="Q9" s="22"/>
      <c r="R9" s="22"/>
      <c r="S9" s="22"/>
      <c r="T9" s="15"/>
      <c r="U9" s="53"/>
      <c r="V9" s="16"/>
    </row>
    <row r="10" spans="1:22">
      <c r="A10" s="17" t="s">
        <v>231</v>
      </c>
      <c r="B10" s="8" t="s">
        <v>233</v>
      </c>
      <c r="C10" s="9"/>
      <c r="D10" s="9"/>
      <c r="E10" s="9"/>
      <c r="F10" s="9"/>
      <c r="G10" s="28" t="s">
        <v>232</v>
      </c>
      <c r="H10" s="38">
        <v>85.36</v>
      </c>
      <c r="I10" s="38">
        <v>7.02</v>
      </c>
      <c r="J10" s="9">
        <v>21.22</v>
      </c>
      <c r="K10" s="9">
        <v>18.8</v>
      </c>
      <c r="L10" s="29">
        <v>15.62</v>
      </c>
      <c r="M10" s="29">
        <v>16.53</v>
      </c>
      <c r="N10" s="9">
        <v>4.45</v>
      </c>
      <c r="O10" s="20">
        <v>-5.8900000000000001E-2</v>
      </c>
      <c r="P10" s="20">
        <v>-7.8100000000000003E-2</v>
      </c>
      <c r="Q10" s="20">
        <v>0.24890000000000001</v>
      </c>
      <c r="R10" s="20">
        <v>0.90510000000000002</v>
      </c>
      <c r="S10" s="20">
        <v>3.6480999999999999</v>
      </c>
      <c r="T10" s="9">
        <v>1.73</v>
      </c>
      <c r="U10" s="43">
        <v>541030</v>
      </c>
      <c r="V10" s="10" t="s">
        <v>236</v>
      </c>
    </row>
    <row r="11" spans="1:22">
      <c r="A11" s="18"/>
      <c r="B11" s="86" t="s">
        <v>234</v>
      </c>
      <c r="C11" s="82"/>
      <c r="D11" s="82"/>
      <c r="E11" s="82"/>
      <c r="F11" s="82"/>
      <c r="G11" s="82" t="s">
        <v>235</v>
      </c>
      <c r="H11" s="82">
        <v>15.85</v>
      </c>
      <c r="I11" s="82">
        <v>0.8367</v>
      </c>
      <c r="J11" s="82">
        <v>19.440000000000001</v>
      </c>
      <c r="K11" s="82">
        <v>3.84</v>
      </c>
      <c r="L11" s="82">
        <v>13.31</v>
      </c>
      <c r="M11" s="82">
        <v>11.36</v>
      </c>
      <c r="N11" s="82">
        <v>4.82</v>
      </c>
      <c r="O11" s="82">
        <v>8.0600000000000005E-2</v>
      </c>
      <c r="P11" s="82">
        <v>0.16120000000000001</v>
      </c>
      <c r="Q11" s="82">
        <v>0.4123</v>
      </c>
      <c r="R11" s="82">
        <v>0.1993</v>
      </c>
      <c r="S11" s="83">
        <v>3.7499999999999999E-2</v>
      </c>
      <c r="T11" s="82">
        <v>6.2</v>
      </c>
      <c r="U11" s="91">
        <v>366770</v>
      </c>
      <c r="V11" s="84" t="s">
        <v>237</v>
      </c>
    </row>
    <row r="12" spans="1:22">
      <c r="A12" s="18"/>
      <c r="B12" s="11" t="s">
        <v>238</v>
      </c>
      <c r="C12" s="12"/>
      <c r="D12" s="12"/>
      <c r="E12" s="12"/>
      <c r="F12" s="12"/>
      <c r="G12" s="34" t="s">
        <v>239</v>
      </c>
      <c r="H12" s="24">
        <v>10.02</v>
      </c>
      <c r="I12" s="24">
        <v>0.75427999999999995</v>
      </c>
      <c r="J12" s="12">
        <v>29.96</v>
      </c>
      <c r="K12" s="12">
        <v>2.35</v>
      </c>
      <c r="L12" s="35">
        <v>13.14</v>
      </c>
      <c r="M12" s="35">
        <v>9.08</v>
      </c>
      <c r="N12" s="12">
        <v>3.24</v>
      </c>
      <c r="O12" s="21">
        <v>0.219</v>
      </c>
      <c r="P12" s="21">
        <v>0.54869999999999997</v>
      </c>
      <c r="Q12" s="21">
        <v>0.2954</v>
      </c>
      <c r="R12" s="21">
        <v>7.9899999999999999E-2</v>
      </c>
      <c r="S12" s="21">
        <v>0.37840000000000001</v>
      </c>
      <c r="T12" s="45">
        <v>3.75</v>
      </c>
      <c r="U12" s="74">
        <v>386700</v>
      </c>
      <c r="V12" s="13" t="s">
        <v>237</v>
      </c>
    </row>
    <row r="13" spans="1:22">
      <c r="A13" s="18"/>
      <c r="B13" s="88" t="s">
        <v>240</v>
      </c>
      <c r="C13" s="88"/>
      <c r="D13" s="88"/>
      <c r="E13" s="88"/>
      <c r="F13" s="88"/>
      <c r="G13" s="88" t="s">
        <v>241</v>
      </c>
      <c r="H13" s="88">
        <v>103.73</v>
      </c>
      <c r="I13" s="88"/>
      <c r="J13" s="88">
        <v>42.97</v>
      </c>
      <c r="K13" s="88">
        <v>4.46</v>
      </c>
      <c r="L13" s="88">
        <v>11.96</v>
      </c>
      <c r="M13" s="88">
        <v>12.42</v>
      </c>
      <c r="N13" s="88">
        <v>4.57</v>
      </c>
      <c r="O13" s="88">
        <v>0.39550000000000002</v>
      </c>
      <c r="P13" s="88">
        <v>0.56100000000000005</v>
      </c>
      <c r="Q13" s="88">
        <v>0.45300000000000001</v>
      </c>
      <c r="R13" s="88">
        <v>0.1089</v>
      </c>
      <c r="S13" s="101">
        <v>1.8623000000000001</v>
      </c>
      <c r="T13" s="88">
        <v>1.39</v>
      </c>
      <c r="U13" s="103">
        <v>1192950</v>
      </c>
      <c r="V13" s="84" t="s">
        <v>242</v>
      </c>
    </row>
    <row r="14" spans="1:22">
      <c r="A14" s="18"/>
      <c r="B14" s="11" t="s">
        <v>394</v>
      </c>
      <c r="C14" s="12"/>
      <c r="D14" s="12"/>
      <c r="E14" s="12"/>
      <c r="F14" s="12"/>
      <c r="G14" s="34" t="s">
        <v>395</v>
      </c>
      <c r="H14" s="24">
        <v>19</v>
      </c>
      <c r="I14" s="24">
        <v>-0.33666000000000001</v>
      </c>
      <c r="J14" s="42"/>
      <c r="K14" s="12">
        <v>1.1499999999999999</v>
      </c>
      <c r="L14" s="35">
        <v>10.11</v>
      </c>
      <c r="M14" s="35">
        <v>4.2</v>
      </c>
      <c r="N14" s="42">
        <v>0.72</v>
      </c>
      <c r="O14" s="21">
        <v>0.1096</v>
      </c>
      <c r="P14" s="21">
        <v>1.23E-2</v>
      </c>
      <c r="Q14" s="21">
        <v>0.1174</v>
      </c>
      <c r="R14" s="21">
        <v>1E-3</v>
      </c>
      <c r="S14" s="21">
        <v>0.3463</v>
      </c>
      <c r="T14" s="45">
        <v>1.35</v>
      </c>
      <c r="U14" s="74">
        <v>266420</v>
      </c>
      <c r="V14" s="13" t="s">
        <v>396</v>
      </c>
    </row>
    <row r="15" spans="1:22">
      <c r="A15" s="19"/>
      <c r="B15" s="14"/>
      <c r="C15" s="15"/>
      <c r="D15" s="15"/>
      <c r="E15" s="15"/>
      <c r="F15" s="15"/>
      <c r="G15" s="36"/>
      <c r="H15" s="39"/>
      <c r="I15" s="15"/>
      <c r="J15" s="15"/>
      <c r="K15" s="15"/>
      <c r="L15" s="15"/>
      <c r="M15" s="15"/>
      <c r="N15" s="15"/>
      <c r="O15" s="22"/>
      <c r="P15" s="22"/>
      <c r="Q15" s="22"/>
      <c r="R15" s="22"/>
      <c r="S15" s="22"/>
      <c r="T15" s="15"/>
      <c r="U15" s="53"/>
      <c r="V15" s="16"/>
    </row>
    <row r="16" spans="1:22">
      <c r="A16" s="17" t="s">
        <v>496</v>
      </c>
      <c r="B16" s="8" t="s">
        <v>392</v>
      </c>
      <c r="C16" s="9"/>
      <c r="D16" s="9"/>
      <c r="E16" s="9"/>
      <c r="F16" s="9"/>
      <c r="G16" s="28" t="s">
        <v>393</v>
      </c>
      <c r="H16" s="38">
        <v>104.98</v>
      </c>
      <c r="I16" s="38">
        <v>5.64</v>
      </c>
      <c r="J16" s="9">
        <v>21.87</v>
      </c>
      <c r="K16" s="9">
        <v>12.44</v>
      </c>
      <c r="L16" s="29">
        <v>17.63</v>
      </c>
      <c r="M16" s="29">
        <v>18.43</v>
      </c>
      <c r="N16" s="9">
        <v>7.51</v>
      </c>
      <c r="O16" s="20">
        <v>1.9699999999999999E-2</v>
      </c>
      <c r="P16" s="20">
        <v>8.4099999999999994E-2</v>
      </c>
      <c r="Q16" s="20">
        <v>0.46710000000000002</v>
      </c>
      <c r="R16" s="20">
        <v>0.58330000000000004</v>
      </c>
      <c r="S16" s="20">
        <v>0.73260000000000003</v>
      </c>
      <c r="T16" s="9">
        <v>3.68</v>
      </c>
      <c r="U16" s="43">
        <v>474270</v>
      </c>
      <c r="V16" s="10" t="s">
        <v>398</v>
      </c>
    </row>
    <row r="17" spans="1:22">
      <c r="A17" s="18"/>
      <c r="B17" s="11" t="s">
        <v>399</v>
      </c>
      <c r="C17" s="12"/>
      <c r="D17" s="12"/>
      <c r="E17" s="12"/>
      <c r="F17" s="12"/>
      <c r="G17" s="34" t="s">
        <v>400</v>
      </c>
      <c r="H17" s="24">
        <v>47.55</v>
      </c>
      <c r="I17" s="24">
        <v>2.99</v>
      </c>
      <c r="J17" s="42">
        <v>17.13</v>
      </c>
      <c r="K17" s="42">
        <v>5.76</v>
      </c>
      <c r="L17" s="35">
        <v>14.95</v>
      </c>
      <c r="M17" s="35">
        <v>12.06</v>
      </c>
      <c r="N17" s="42">
        <v>3.18</v>
      </c>
      <c r="O17" s="21">
        <v>0.1</v>
      </c>
      <c r="P17" s="21">
        <v>0.1623</v>
      </c>
      <c r="Q17" s="21">
        <v>0.46139999999999998</v>
      </c>
      <c r="R17" s="21">
        <v>0.3407</v>
      </c>
      <c r="S17" s="21">
        <v>0.6321</v>
      </c>
      <c r="T17" s="45">
        <v>2.5</v>
      </c>
      <c r="U17" s="74">
        <v>682590</v>
      </c>
      <c r="V17" s="13" t="s">
        <v>397</v>
      </c>
    </row>
    <row r="18" spans="1:22">
      <c r="A18" s="31"/>
      <c r="B18" s="11" t="s">
        <v>497</v>
      </c>
      <c r="C18" s="9"/>
      <c r="D18" s="9"/>
      <c r="E18" s="9"/>
      <c r="F18" s="9"/>
      <c r="G18" s="34" t="s">
        <v>498</v>
      </c>
      <c r="H18" s="24">
        <v>275.52999999999997</v>
      </c>
      <c r="I18" s="24">
        <v>3.09</v>
      </c>
      <c r="J18" s="12">
        <v>20.05</v>
      </c>
      <c r="K18" s="12">
        <v>5.33</v>
      </c>
      <c r="L18" s="35">
        <v>13.25</v>
      </c>
      <c r="M18" s="35">
        <v>17.8</v>
      </c>
      <c r="N18" s="12">
        <v>7.07</v>
      </c>
      <c r="O18" s="21">
        <v>8.1799999999999998E-2</v>
      </c>
      <c r="P18" s="21">
        <v>7.8399999999999997E-2</v>
      </c>
      <c r="Q18" s="21"/>
      <c r="R18" s="21">
        <v>0.26519999999999999</v>
      </c>
      <c r="S18" s="21"/>
      <c r="T18" s="12">
        <v>1.1599999999999999</v>
      </c>
      <c r="U18" s="44">
        <v>759380</v>
      </c>
      <c r="V18" s="13" t="s">
        <v>499</v>
      </c>
    </row>
    <row r="19" spans="1:22">
      <c r="A19" s="19"/>
      <c r="B19" s="11" t="s">
        <v>500</v>
      </c>
      <c r="C19" s="12"/>
      <c r="D19" s="12"/>
      <c r="E19" s="12"/>
      <c r="F19" s="12"/>
      <c r="G19" s="34" t="s">
        <v>501</v>
      </c>
      <c r="H19" s="24">
        <v>14.83</v>
      </c>
      <c r="I19" s="24"/>
      <c r="J19" s="42">
        <v>18.57</v>
      </c>
      <c r="K19" s="42">
        <v>8.5299999999999994</v>
      </c>
      <c r="L19" s="35">
        <v>16.3</v>
      </c>
      <c r="M19" s="35">
        <v>20.010000000000002</v>
      </c>
      <c r="N19" s="42">
        <v>6.75</v>
      </c>
      <c r="O19" s="21">
        <v>-1.1599999999999999E-2</v>
      </c>
      <c r="P19" s="21">
        <v>9.4500000000000001E-2</v>
      </c>
      <c r="Q19" s="21">
        <v>0.3584</v>
      </c>
      <c r="R19" s="21">
        <v>0.3407</v>
      </c>
      <c r="S19" s="21"/>
      <c r="T19" s="45">
        <v>6.6</v>
      </c>
      <c r="U19" s="74">
        <v>308870</v>
      </c>
      <c r="V19" s="13" t="s">
        <v>499</v>
      </c>
    </row>
    <row r="20" spans="1:22">
      <c r="A20" s="17"/>
      <c r="B20" s="8"/>
      <c r="C20" s="9"/>
      <c r="D20" s="9"/>
      <c r="E20" s="9"/>
      <c r="F20" s="9"/>
      <c r="G20" s="28"/>
      <c r="H20" s="38"/>
      <c r="I20" s="38"/>
      <c r="J20" s="9"/>
      <c r="K20" s="9"/>
      <c r="L20" s="29"/>
      <c r="M20" s="29"/>
      <c r="N20" s="9"/>
      <c r="O20" s="20"/>
      <c r="P20" s="20"/>
      <c r="Q20" s="20"/>
      <c r="R20" s="20"/>
      <c r="S20" s="20"/>
      <c r="T20" s="9"/>
      <c r="U20" s="43"/>
      <c r="V20" s="10"/>
    </row>
    <row r="21" spans="1:22">
      <c r="A21" s="18"/>
      <c r="B21" s="11"/>
      <c r="C21" s="12"/>
      <c r="D21" s="12"/>
      <c r="E21" s="12"/>
      <c r="F21" s="12"/>
      <c r="G21" s="34"/>
      <c r="H21" s="24"/>
      <c r="I21" s="24"/>
      <c r="J21" s="42"/>
      <c r="K21" s="42"/>
      <c r="L21" s="35"/>
      <c r="M21" s="35"/>
      <c r="N21" s="42"/>
      <c r="O21" s="21"/>
      <c r="P21" s="21"/>
      <c r="Q21" s="21"/>
      <c r="R21" s="21"/>
      <c r="S21" s="21"/>
      <c r="T21" s="45"/>
      <c r="U21" s="74"/>
      <c r="V21" s="13"/>
    </row>
    <row r="22" spans="1:22">
      <c r="A22" s="18"/>
      <c r="B22" s="11"/>
      <c r="C22" s="12"/>
      <c r="D22" s="12"/>
      <c r="E22" s="12"/>
      <c r="F22" s="12"/>
      <c r="G22" s="34"/>
      <c r="H22" s="24"/>
      <c r="I22" s="24"/>
      <c r="J22" s="12"/>
      <c r="K22" s="12"/>
      <c r="L22" s="35"/>
      <c r="M22" s="35"/>
      <c r="N22" s="12"/>
      <c r="O22" s="21"/>
      <c r="P22" s="21"/>
      <c r="Q22" s="21"/>
      <c r="R22" s="21"/>
      <c r="S22" s="21"/>
      <c r="T22" s="45"/>
      <c r="U22" s="74"/>
      <c r="V22" s="13"/>
    </row>
    <row r="23" spans="1:22">
      <c r="A23" s="19"/>
      <c r="B23" s="14"/>
      <c r="C23" s="15"/>
      <c r="D23" s="15"/>
      <c r="E23" s="15"/>
      <c r="F23" s="15"/>
      <c r="G23" s="36"/>
      <c r="H23" s="39"/>
      <c r="I23" s="15"/>
      <c r="J23" s="15"/>
      <c r="K23" s="15"/>
      <c r="L23" s="15"/>
      <c r="M23" s="15"/>
      <c r="N23" s="15"/>
      <c r="O23" s="22"/>
      <c r="P23" s="22"/>
      <c r="Q23" s="22"/>
      <c r="R23" s="22"/>
      <c r="S23" s="22"/>
      <c r="T23" s="15"/>
      <c r="U23" s="53"/>
      <c r="V23" s="1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724D-1739-43BD-B383-CFA8168BADE7}">
  <dimension ref="A1:V22"/>
  <sheetViews>
    <sheetView zoomScale="68" zoomScaleNormal="68" workbookViewId="0">
      <selection activeCell="A12" sqref="A12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57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616</v>
      </c>
      <c r="B2" s="8" t="s">
        <v>608</v>
      </c>
      <c r="C2" s="9"/>
      <c r="D2" s="9"/>
      <c r="E2" s="9"/>
      <c r="F2" s="9"/>
      <c r="G2" s="28" t="s">
        <v>609</v>
      </c>
      <c r="H2" s="38">
        <v>30.45</v>
      </c>
      <c r="I2" s="38">
        <v>1.51</v>
      </c>
      <c r="J2" s="9">
        <v>62.03</v>
      </c>
      <c r="K2" s="9">
        <v>3.59</v>
      </c>
      <c r="L2" s="9">
        <v>52.42</v>
      </c>
      <c r="M2" s="9">
        <v>22.64</v>
      </c>
      <c r="N2" s="9">
        <v>9.26</v>
      </c>
      <c r="O2" s="20">
        <v>0.15</v>
      </c>
      <c r="P2" s="20">
        <v>0.23699999999999999</v>
      </c>
      <c r="Q2" s="20"/>
      <c r="R2" s="20">
        <v>5.96E-2</v>
      </c>
      <c r="S2" s="20">
        <v>1.3486</v>
      </c>
      <c r="T2" s="9"/>
      <c r="U2" s="43">
        <v>2118260</v>
      </c>
      <c r="V2" s="10" t="s">
        <v>610</v>
      </c>
    </row>
    <row r="3" spans="1:22">
      <c r="A3" s="18"/>
      <c r="B3" s="11" t="s">
        <v>611</v>
      </c>
      <c r="C3" s="12"/>
      <c r="D3" s="12"/>
      <c r="E3" s="12"/>
      <c r="F3" s="12"/>
      <c r="G3" s="34" t="s">
        <v>612</v>
      </c>
      <c r="H3" s="24">
        <v>6.58</v>
      </c>
      <c r="I3" s="24">
        <v>0.27367000000000002</v>
      </c>
      <c r="J3" s="12">
        <v>24.91</v>
      </c>
      <c r="K3" s="12">
        <v>4.12</v>
      </c>
      <c r="L3" s="12">
        <v>7.11</v>
      </c>
      <c r="M3" s="42">
        <v>7.78</v>
      </c>
      <c r="N3" s="42">
        <v>1.54</v>
      </c>
      <c r="O3" s="21">
        <v>6.4600000000000005E-2</v>
      </c>
      <c r="P3" s="21">
        <v>6.3399999999999998E-2</v>
      </c>
      <c r="Q3" s="21">
        <v>0.33729999999999999</v>
      </c>
      <c r="R3" s="21">
        <v>0.1673</v>
      </c>
      <c r="S3" s="21">
        <v>6.5411000000000001</v>
      </c>
      <c r="T3" s="40">
        <v>0.7</v>
      </c>
      <c r="U3" s="44">
        <v>170500</v>
      </c>
      <c r="V3" s="13" t="s">
        <v>613</v>
      </c>
    </row>
    <row r="4" spans="1:22">
      <c r="A4" s="18"/>
      <c r="B4" s="104" t="s">
        <v>614</v>
      </c>
      <c r="C4" s="104"/>
      <c r="D4" s="104"/>
      <c r="E4" s="104"/>
      <c r="F4" s="104"/>
      <c r="G4" s="104" t="s">
        <v>615</v>
      </c>
      <c r="H4" s="105">
        <v>17.38</v>
      </c>
      <c r="I4" s="105"/>
      <c r="J4" s="104">
        <v>34.659999999999997</v>
      </c>
      <c r="K4" s="104">
        <v>1.75</v>
      </c>
      <c r="L4" s="104">
        <v>35.39</v>
      </c>
      <c r="M4" s="104">
        <v>29.59</v>
      </c>
      <c r="N4" s="104">
        <v>10.77</v>
      </c>
      <c r="O4" s="106">
        <v>9.8299999999999998E-2</v>
      </c>
      <c r="P4" s="106">
        <v>0.1026</v>
      </c>
      <c r="Q4" s="106"/>
      <c r="R4" s="106">
        <v>4.9299999999999997E-2</v>
      </c>
      <c r="S4" s="106">
        <v>0.78190000000000004</v>
      </c>
      <c r="T4" s="104"/>
      <c r="U4" s="105">
        <v>7997770</v>
      </c>
      <c r="V4" s="23" t="s">
        <v>604</v>
      </c>
    </row>
    <row r="5" spans="1:22">
      <c r="A5" s="18"/>
      <c r="B5" s="11" t="s">
        <v>617</v>
      </c>
      <c r="C5" s="12"/>
      <c r="D5" s="12"/>
      <c r="E5" s="12"/>
      <c r="F5" s="12"/>
      <c r="G5" s="34" t="s">
        <v>618</v>
      </c>
      <c r="H5" s="24">
        <v>5.19</v>
      </c>
      <c r="I5" s="24">
        <v>0.50173000000000001</v>
      </c>
      <c r="J5" s="42">
        <v>19.38</v>
      </c>
      <c r="K5" s="42">
        <v>1.34</v>
      </c>
      <c r="L5" s="42">
        <v>16.89</v>
      </c>
      <c r="M5" s="42">
        <v>17.59</v>
      </c>
      <c r="N5" s="42">
        <v>7.5</v>
      </c>
      <c r="O5" s="21">
        <v>9.1300000000000006E-2</v>
      </c>
      <c r="P5" s="21">
        <v>9.4500000000000001E-2</v>
      </c>
      <c r="Q5" s="21"/>
      <c r="R5" s="21">
        <v>6.8400000000000002E-2</v>
      </c>
      <c r="S5" s="21">
        <v>0.752</v>
      </c>
      <c r="T5" s="40"/>
      <c r="U5" s="44">
        <v>9622840</v>
      </c>
      <c r="V5" s="13" t="s">
        <v>604</v>
      </c>
    </row>
    <row r="6" spans="1:22">
      <c r="A6" s="18"/>
      <c r="B6" s="11" t="s">
        <v>619</v>
      </c>
      <c r="C6" s="12"/>
      <c r="D6" s="12"/>
      <c r="E6" s="12"/>
      <c r="F6" s="12"/>
      <c r="G6" s="34" t="s">
        <v>620</v>
      </c>
      <c r="H6" s="24">
        <v>3.69</v>
      </c>
      <c r="I6" s="24">
        <v>0.25679000000000002</v>
      </c>
      <c r="J6" s="42">
        <v>34.97</v>
      </c>
      <c r="K6" s="42">
        <v>1.63</v>
      </c>
      <c r="L6" s="42">
        <v>32.4</v>
      </c>
      <c r="M6" s="42">
        <v>14.55</v>
      </c>
      <c r="N6" s="42">
        <v>7.97</v>
      </c>
      <c r="O6" s="21">
        <v>0.23930000000000001</v>
      </c>
      <c r="P6" s="21">
        <v>0.65039999999999998</v>
      </c>
      <c r="Q6" s="21"/>
      <c r="R6" s="21">
        <v>4.7699999999999999E-2</v>
      </c>
      <c r="S6" s="21">
        <v>0.75760000000000005</v>
      </c>
      <c r="T6" s="40"/>
      <c r="U6" s="44">
        <v>5957580</v>
      </c>
      <c r="V6" s="13" t="s">
        <v>621</v>
      </c>
    </row>
    <row r="7" spans="1:22">
      <c r="A7" s="18"/>
      <c r="B7" s="11" t="s">
        <v>622</v>
      </c>
      <c r="C7" s="12"/>
      <c r="D7" s="12"/>
      <c r="E7" s="12"/>
      <c r="F7" s="12"/>
      <c r="G7" s="34" t="s">
        <v>623</v>
      </c>
      <c r="H7" s="24">
        <v>0.79176999999999997</v>
      </c>
      <c r="I7" s="24">
        <v>0.13796</v>
      </c>
      <c r="J7" s="42"/>
      <c r="K7" s="42">
        <v>0.59</v>
      </c>
      <c r="L7" s="42"/>
      <c r="M7" s="42">
        <v>12.93</v>
      </c>
      <c r="N7" s="42">
        <v>2.52</v>
      </c>
      <c r="O7" s="21">
        <v>3.9199999999999999E-2</v>
      </c>
      <c r="P7" s="21">
        <v>-0.42920000000000003</v>
      </c>
      <c r="Q7" s="21"/>
      <c r="R7" s="21">
        <v>-4.0000000000000002E-4</v>
      </c>
      <c r="S7" s="21">
        <v>1.0141</v>
      </c>
      <c r="T7" s="40"/>
      <c r="U7" s="44">
        <v>2365000</v>
      </c>
      <c r="V7" s="13" t="s">
        <v>604</v>
      </c>
    </row>
    <row r="8" spans="1:22">
      <c r="A8" s="18"/>
      <c r="B8" s="11" t="s">
        <v>624</v>
      </c>
      <c r="C8" s="12"/>
      <c r="D8" s="12"/>
      <c r="E8" s="12"/>
      <c r="F8" s="12"/>
      <c r="G8" s="34" t="s">
        <v>625</v>
      </c>
      <c r="H8" s="24">
        <v>6.18</v>
      </c>
      <c r="I8" s="24"/>
      <c r="J8" s="42">
        <v>16.7</v>
      </c>
      <c r="K8" s="42">
        <v>1.53</v>
      </c>
      <c r="L8" s="42">
        <v>16.72</v>
      </c>
      <c r="M8" s="42">
        <v>17.170000000000002</v>
      </c>
      <c r="N8" s="42">
        <v>6.23</v>
      </c>
      <c r="O8" s="21">
        <v>0.13250000000000001</v>
      </c>
      <c r="P8" s="21">
        <v>9.0399999999999994E-2</v>
      </c>
      <c r="Q8" s="21"/>
      <c r="R8" s="21">
        <v>9.1200000000000003E-2</v>
      </c>
      <c r="S8" s="21">
        <v>1.2663</v>
      </c>
      <c r="T8" s="40"/>
      <c r="U8" s="44">
        <v>19791860</v>
      </c>
      <c r="V8" s="13" t="s">
        <v>626</v>
      </c>
    </row>
    <row r="9" spans="1:22">
      <c r="A9" s="18"/>
      <c r="B9" s="11" t="s">
        <v>628</v>
      </c>
      <c r="C9" s="12"/>
      <c r="D9" s="12"/>
      <c r="E9" s="12"/>
      <c r="F9" s="12"/>
      <c r="G9" s="34" t="s">
        <v>627</v>
      </c>
      <c r="H9" s="24">
        <v>0.69703999999999999</v>
      </c>
      <c r="I9" s="24">
        <v>0.26584999999999998</v>
      </c>
      <c r="J9" s="42">
        <v>27.97</v>
      </c>
      <c r="K9" s="42">
        <v>0.24</v>
      </c>
      <c r="L9" s="107"/>
      <c r="M9" s="47">
        <v>-3.37</v>
      </c>
      <c r="N9" s="42">
        <v>0.67</v>
      </c>
      <c r="O9" s="21">
        <v>4.2999999999999997E-2</v>
      </c>
      <c r="P9" s="21">
        <v>-0.114</v>
      </c>
      <c r="Q9" s="21">
        <v>9.5799999999999996E-2</v>
      </c>
      <c r="R9" s="21">
        <v>-3.09E-2</v>
      </c>
      <c r="S9" s="21">
        <v>1.2796000000000001</v>
      </c>
      <c r="T9" s="40"/>
      <c r="U9" s="44">
        <v>4033300</v>
      </c>
      <c r="V9" s="13" t="s">
        <v>626</v>
      </c>
    </row>
    <row r="10" spans="1:22">
      <c r="A10" s="19"/>
      <c r="B10" s="14"/>
      <c r="C10" s="15"/>
      <c r="D10" s="15"/>
      <c r="E10" s="15"/>
      <c r="F10" s="15"/>
      <c r="G10" s="36"/>
      <c r="H10" s="39"/>
      <c r="I10" s="15"/>
      <c r="J10" s="15"/>
      <c r="K10" s="15"/>
      <c r="L10" s="15"/>
      <c r="M10" s="15"/>
      <c r="N10" s="15"/>
      <c r="O10" s="22"/>
      <c r="P10" s="22"/>
      <c r="Q10" s="22"/>
      <c r="R10" s="22"/>
      <c r="S10" s="22"/>
      <c r="T10" s="15"/>
      <c r="U10" s="53"/>
      <c r="V10" s="16"/>
    </row>
    <row r="11" spans="1:22">
      <c r="A11" s="17" t="s">
        <v>629</v>
      </c>
      <c r="B11" s="8" t="s">
        <v>630</v>
      </c>
      <c r="C11" s="9"/>
      <c r="D11" s="9"/>
      <c r="E11" s="9"/>
      <c r="F11" s="9"/>
      <c r="G11" s="28" t="s">
        <v>631</v>
      </c>
      <c r="H11" s="38">
        <v>4.38</v>
      </c>
      <c r="I11" s="43">
        <v>0.45833000000000002</v>
      </c>
      <c r="J11" s="29">
        <v>14.85</v>
      </c>
      <c r="K11" s="29">
        <v>1.01</v>
      </c>
      <c r="L11" s="29">
        <v>14.93</v>
      </c>
      <c r="M11" s="29">
        <v>18.309999999999999</v>
      </c>
      <c r="N11" s="29">
        <v>6.39</v>
      </c>
      <c r="O11" s="20">
        <v>0.28439999999999999</v>
      </c>
      <c r="P11" s="20">
        <v>0.434</v>
      </c>
      <c r="Q11" s="20"/>
      <c r="R11" s="20">
        <v>6.7400000000000002E-2</v>
      </c>
      <c r="S11" s="20">
        <v>0.80720000000000003</v>
      </c>
      <c r="T11" s="29"/>
      <c r="U11" s="43">
        <v>6863030</v>
      </c>
      <c r="V11" s="10" t="s">
        <v>604</v>
      </c>
    </row>
    <row r="12" spans="1:22">
      <c r="A12" s="18"/>
      <c r="B12" s="11"/>
      <c r="C12" s="12"/>
      <c r="D12" s="12"/>
      <c r="E12" s="12"/>
      <c r="F12" s="12"/>
      <c r="G12" s="34"/>
      <c r="H12" s="24"/>
      <c r="I12" s="44"/>
      <c r="J12" s="35"/>
      <c r="K12" s="35"/>
      <c r="L12" s="35"/>
      <c r="M12" s="35"/>
      <c r="N12" s="35"/>
      <c r="O12" s="21"/>
      <c r="P12" s="21"/>
      <c r="Q12" s="21"/>
      <c r="R12" s="21"/>
      <c r="S12" s="21"/>
      <c r="T12" s="35"/>
      <c r="U12" s="44"/>
      <c r="V12" s="13"/>
    </row>
    <row r="13" spans="1:22">
      <c r="A13" s="18"/>
      <c r="B13" s="11"/>
      <c r="C13" s="12"/>
      <c r="D13" s="12"/>
      <c r="E13" s="12"/>
      <c r="F13" s="12"/>
      <c r="G13" s="34"/>
      <c r="H13" s="24"/>
      <c r="I13" s="44"/>
      <c r="J13" s="35"/>
      <c r="K13" s="35"/>
      <c r="L13" s="35"/>
      <c r="M13" s="35"/>
      <c r="N13" s="35"/>
      <c r="O13" s="21"/>
      <c r="P13" s="21"/>
      <c r="Q13" s="21"/>
      <c r="R13" s="21"/>
      <c r="S13" s="21"/>
      <c r="T13" s="35"/>
      <c r="U13" s="44"/>
      <c r="V13" s="13"/>
    </row>
    <row r="14" spans="1:22">
      <c r="A14" s="18"/>
      <c r="B14" s="11"/>
      <c r="C14" s="12"/>
      <c r="D14" s="12"/>
      <c r="E14" s="12"/>
      <c r="F14" s="12"/>
      <c r="G14" s="34"/>
      <c r="H14" s="24"/>
      <c r="I14" s="44"/>
      <c r="J14" s="35"/>
      <c r="K14" s="35"/>
      <c r="L14" s="35"/>
      <c r="M14" s="35"/>
      <c r="N14" s="35"/>
      <c r="O14" s="21"/>
      <c r="P14" s="21"/>
      <c r="Q14" s="21"/>
      <c r="R14" s="21"/>
      <c r="S14" s="21"/>
      <c r="T14" s="35"/>
      <c r="U14" s="44"/>
      <c r="V14" s="13"/>
    </row>
    <row r="15" spans="1:22">
      <c r="A15" s="18"/>
      <c r="B15" s="11"/>
      <c r="C15" s="12"/>
      <c r="D15" s="12"/>
      <c r="E15" s="12"/>
      <c r="F15" s="12"/>
      <c r="G15" s="34"/>
      <c r="H15" s="24"/>
      <c r="I15" s="44"/>
      <c r="J15" s="35"/>
      <c r="K15" s="35"/>
      <c r="L15" s="35"/>
      <c r="M15" s="35"/>
      <c r="N15" s="35"/>
      <c r="O15" s="21"/>
      <c r="P15" s="21"/>
      <c r="Q15" s="21"/>
      <c r="R15" s="21"/>
      <c r="S15" s="21"/>
      <c r="T15" s="35"/>
      <c r="U15" s="44"/>
      <c r="V15" s="13"/>
    </row>
    <row r="16" spans="1:22">
      <c r="A16" s="19"/>
      <c r="B16" s="14"/>
      <c r="C16" s="15"/>
      <c r="D16" s="15"/>
      <c r="E16" s="15"/>
      <c r="F16" s="15"/>
      <c r="G16" s="36"/>
      <c r="H16" s="39"/>
      <c r="I16" s="50"/>
      <c r="J16" s="37"/>
      <c r="K16" s="37"/>
      <c r="L16" s="37"/>
      <c r="M16" s="37"/>
      <c r="N16" s="37"/>
      <c r="O16" s="22"/>
      <c r="P16" s="22"/>
      <c r="Q16" s="22"/>
      <c r="R16" s="22"/>
      <c r="S16" s="22"/>
      <c r="T16" s="37"/>
      <c r="U16" s="53"/>
      <c r="V16" s="16"/>
    </row>
    <row r="17" spans="1:22">
      <c r="A17" s="18"/>
      <c r="B17" s="11"/>
      <c r="C17" s="12"/>
      <c r="D17" s="12"/>
      <c r="E17" s="12"/>
      <c r="F17" s="12"/>
      <c r="G17" s="2"/>
      <c r="H17" s="12"/>
      <c r="I17" s="12"/>
      <c r="J17" s="12"/>
      <c r="K17" s="12"/>
      <c r="L17" s="12"/>
      <c r="M17" s="12"/>
      <c r="N17" s="12"/>
      <c r="O17" s="21"/>
      <c r="P17" s="21"/>
      <c r="Q17" s="21"/>
      <c r="R17" s="21"/>
      <c r="S17" s="21"/>
      <c r="T17" s="12"/>
      <c r="U17" s="44"/>
      <c r="V17" s="13"/>
    </row>
    <row r="18" spans="1:22">
      <c r="A18" s="18"/>
      <c r="B18" s="11"/>
      <c r="C18" s="12"/>
      <c r="D18" s="12"/>
      <c r="E18" s="12"/>
      <c r="F18" s="12"/>
      <c r="G18" s="2"/>
      <c r="I18" s="12"/>
      <c r="J18" s="12"/>
      <c r="K18" s="12"/>
      <c r="L18" s="12"/>
      <c r="M18" s="12"/>
      <c r="N18" s="12"/>
      <c r="O18" s="21"/>
      <c r="P18" s="21"/>
      <c r="Q18" s="21"/>
      <c r="R18" s="21"/>
      <c r="S18" s="21"/>
      <c r="T18" s="12"/>
      <c r="U18" s="44"/>
      <c r="V18" s="13"/>
    </row>
    <row r="19" spans="1:22">
      <c r="A19" s="18"/>
      <c r="B19" s="11"/>
      <c r="C19" s="12"/>
      <c r="D19" s="12"/>
      <c r="E19" s="12"/>
      <c r="F19" s="12"/>
      <c r="G19" s="2"/>
      <c r="H19" s="12"/>
      <c r="I19" s="12"/>
      <c r="J19" s="12"/>
      <c r="K19" s="12"/>
      <c r="L19" s="12"/>
      <c r="M19" s="12"/>
      <c r="N19" s="12"/>
      <c r="O19" s="21"/>
      <c r="P19" s="21"/>
      <c r="Q19" s="21"/>
      <c r="R19" s="21"/>
      <c r="S19" s="21"/>
      <c r="T19" s="12"/>
      <c r="U19" s="44"/>
      <c r="V19" s="13"/>
    </row>
    <row r="20" spans="1:22">
      <c r="A20" s="18"/>
      <c r="B20" s="11"/>
      <c r="C20" s="12"/>
      <c r="D20" s="12"/>
      <c r="E20" s="12"/>
      <c r="F20" s="12"/>
      <c r="G20" s="2"/>
      <c r="H20" s="12"/>
      <c r="I20" s="12"/>
      <c r="J20" s="12"/>
      <c r="K20" s="12"/>
      <c r="L20" s="12"/>
      <c r="M20" s="12"/>
      <c r="N20" s="12"/>
      <c r="O20" s="21"/>
      <c r="P20" s="21"/>
      <c r="Q20" s="21"/>
      <c r="R20" s="21"/>
      <c r="S20" s="21"/>
      <c r="T20" s="12"/>
      <c r="U20" s="44"/>
      <c r="V20" s="13"/>
    </row>
    <row r="21" spans="1:22">
      <c r="A21" s="18"/>
      <c r="B21" s="11"/>
      <c r="C21" s="12"/>
      <c r="D21" s="12"/>
      <c r="E21" s="12"/>
      <c r="F21" s="12"/>
      <c r="G21" s="2"/>
      <c r="H21" s="12"/>
      <c r="I21" s="12"/>
      <c r="J21" s="12"/>
      <c r="K21" s="12"/>
      <c r="L21" s="12"/>
      <c r="M21" s="12"/>
      <c r="N21" s="12"/>
      <c r="O21" s="21"/>
      <c r="P21" s="21"/>
      <c r="Q21" s="21"/>
      <c r="R21" s="21"/>
      <c r="S21" s="21"/>
      <c r="T21" s="12"/>
      <c r="U21" s="44"/>
      <c r="V21" s="13"/>
    </row>
    <row r="22" spans="1:22">
      <c r="A22" s="19"/>
      <c r="B22" s="14"/>
      <c r="C22" s="15"/>
      <c r="D22" s="15"/>
      <c r="E22" s="15"/>
      <c r="F22" s="15"/>
      <c r="G22" s="36"/>
      <c r="H22" s="15"/>
      <c r="I22" s="15"/>
      <c r="J22" s="15"/>
      <c r="K22" s="15"/>
      <c r="L22" s="15"/>
      <c r="M22" s="15"/>
      <c r="N22" s="15"/>
      <c r="O22" s="15"/>
      <c r="P22" s="22"/>
      <c r="Q22" s="22"/>
      <c r="R22" s="22"/>
      <c r="S22" s="22"/>
      <c r="T22" s="15"/>
      <c r="U22" s="53"/>
      <c r="V22" s="1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2812-A3F9-47E3-9419-C4458095CBBD}">
  <dimension ref="A1:T351"/>
  <sheetViews>
    <sheetView topLeftCell="A182" workbookViewId="0">
      <selection activeCell="U191" sqref="U191"/>
    </sheetView>
  </sheetViews>
  <sheetFormatPr defaultColWidth="9.234375" defaultRowHeight="14.25"/>
  <cols>
    <col min="1" max="4" width="9.234375" style="62"/>
    <col min="5" max="5" width="12.5859375" style="62" customWidth="1"/>
    <col min="6" max="6" width="9.234375" style="62"/>
    <col min="7" max="7" width="14.76171875" style="62" customWidth="1"/>
    <col min="8" max="16384" width="9.234375" style="62"/>
  </cols>
  <sheetData>
    <row r="1" spans="1:20">
      <c r="A1" s="62" t="s">
        <v>363</v>
      </c>
      <c r="B1" s="62" t="s">
        <v>344</v>
      </c>
      <c r="C1" s="62" t="s">
        <v>345</v>
      </c>
      <c r="D1" s="62" t="s">
        <v>346</v>
      </c>
      <c r="E1" s="62" t="s">
        <v>347</v>
      </c>
      <c r="F1" s="62" t="s">
        <v>348</v>
      </c>
      <c r="G1" s="62" t="s">
        <v>349</v>
      </c>
      <c r="H1" s="62" t="s">
        <v>350</v>
      </c>
      <c r="I1" s="63" t="s">
        <v>351</v>
      </c>
      <c r="J1" s="62" t="s">
        <v>352</v>
      </c>
      <c r="K1" s="62" t="s">
        <v>353</v>
      </c>
      <c r="L1" s="62" t="s">
        <v>354</v>
      </c>
      <c r="M1" s="62" t="s">
        <v>355</v>
      </c>
      <c r="N1" s="62" t="s">
        <v>356</v>
      </c>
      <c r="O1" s="62" t="s">
        <v>357</v>
      </c>
      <c r="P1" s="62" t="s">
        <v>358</v>
      </c>
      <c r="Q1" s="62" t="s">
        <v>359</v>
      </c>
      <c r="R1" s="62" t="s">
        <v>360</v>
      </c>
      <c r="S1" s="62" t="s">
        <v>361</v>
      </c>
      <c r="T1" s="62" t="s">
        <v>362</v>
      </c>
    </row>
    <row r="2" spans="1:20">
      <c r="A2" s="63" t="s">
        <v>364</v>
      </c>
      <c r="B2" s="62">
        <v>2015</v>
      </c>
      <c r="C2" s="63">
        <v>233715</v>
      </c>
      <c r="D2" s="63">
        <v>81730</v>
      </c>
      <c r="E2" s="64">
        <f t="shared" ref="E2:E65" si="0">D2/C2</f>
        <v>0.34969942023404577</v>
      </c>
      <c r="F2" s="63">
        <v>53394</v>
      </c>
      <c r="G2" s="64">
        <f>F2/C2</f>
        <v>0.22845773698735639</v>
      </c>
      <c r="H2" s="63">
        <v>81266</v>
      </c>
      <c r="I2" s="63">
        <v>11247</v>
      </c>
      <c r="J2" s="63">
        <f t="shared" ref="J2:J31" si="1">H2-I2</f>
        <v>70019</v>
      </c>
      <c r="K2" s="64">
        <f t="shared" ref="K2:K65" si="2">J2/C2</f>
        <v>0.29959138266692337</v>
      </c>
      <c r="L2" s="64">
        <f>J2/J2</f>
        <v>1</v>
      </c>
      <c r="M2" s="63">
        <v>89378</v>
      </c>
      <c r="N2" s="63">
        <v>2349</v>
      </c>
      <c r="O2" s="63">
        <v>80610</v>
      </c>
      <c r="P2" s="65">
        <f t="shared" ref="P2:P41" si="3">(M2-N2)/O2</f>
        <v>1.0796303188190051</v>
      </c>
      <c r="Q2" s="63">
        <v>201101</v>
      </c>
      <c r="R2" s="63">
        <v>9009</v>
      </c>
      <c r="S2" s="63">
        <v>90514</v>
      </c>
      <c r="T2" s="65">
        <f t="shared" ref="T2:T65" si="4">(O2+S2)/(M2+Q2-N2-R2)</f>
        <v>0.61308178173623629</v>
      </c>
    </row>
    <row r="3" spans="1:20">
      <c r="A3" s="63" t="s">
        <v>364</v>
      </c>
      <c r="B3" s="62">
        <v>2016</v>
      </c>
      <c r="C3" s="63">
        <v>215091</v>
      </c>
      <c r="D3" s="63">
        <v>69276</v>
      </c>
      <c r="E3" s="64">
        <f t="shared" si="0"/>
        <v>0.32207763225797453</v>
      </c>
      <c r="F3" s="63">
        <v>45687</v>
      </c>
      <c r="G3" s="64">
        <f t="shared" ref="G3:G66" si="5">F3/C3</f>
        <v>0.21240777159434843</v>
      </c>
      <c r="H3" s="63">
        <v>65824</v>
      </c>
      <c r="I3" s="63">
        <v>12734</v>
      </c>
      <c r="J3" s="63">
        <f t="shared" si="1"/>
        <v>53090</v>
      </c>
      <c r="K3" s="64">
        <f t="shared" si="2"/>
        <v>0.24682576211928905</v>
      </c>
      <c r="L3" s="64">
        <f>J3/J2</f>
        <v>0.7582227681057998</v>
      </c>
      <c r="M3" s="63">
        <v>106869</v>
      </c>
      <c r="N3" s="63">
        <v>2132</v>
      </c>
      <c r="O3" s="63">
        <v>79006</v>
      </c>
      <c r="P3" s="65">
        <f t="shared" si="3"/>
        <v>1.3256841252563096</v>
      </c>
      <c r="Q3" s="63">
        <v>214817</v>
      </c>
      <c r="R3" s="63">
        <v>8620</v>
      </c>
      <c r="S3" s="63">
        <v>114431</v>
      </c>
      <c r="T3" s="65">
        <f t="shared" si="4"/>
        <v>0.62211594743579024</v>
      </c>
    </row>
    <row r="4" spans="1:20">
      <c r="A4" s="63" t="s">
        <v>364</v>
      </c>
      <c r="B4" s="62">
        <v>2017</v>
      </c>
      <c r="C4" s="63">
        <v>229234</v>
      </c>
      <c r="D4" s="63">
        <v>70744</v>
      </c>
      <c r="E4" s="64">
        <f t="shared" si="0"/>
        <v>0.30861041555790153</v>
      </c>
      <c r="F4" s="63">
        <v>48351</v>
      </c>
      <c r="G4" s="64">
        <f t="shared" si="5"/>
        <v>0.21092420845075338</v>
      </c>
      <c r="H4" s="63">
        <v>63598</v>
      </c>
      <c r="I4" s="63">
        <v>12451</v>
      </c>
      <c r="J4" s="63">
        <f t="shared" si="1"/>
        <v>51147</v>
      </c>
      <c r="K4" s="64">
        <f t="shared" si="2"/>
        <v>0.22312135198094524</v>
      </c>
      <c r="L4" s="64">
        <f>J4/J2</f>
        <v>0.73047315728587958</v>
      </c>
      <c r="M4" s="63">
        <v>128645</v>
      </c>
      <c r="N4" s="63">
        <v>4855</v>
      </c>
      <c r="O4" s="63">
        <v>100814</v>
      </c>
      <c r="P4" s="65">
        <f t="shared" si="3"/>
        <v>1.2279048544844962</v>
      </c>
      <c r="Q4" s="63">
        <v>246674</v>
      </c>
      <c r="R4" s="63">
        <v>8015</v>
      </c>
      <c r="S4" s="63">
        <v>140458</v>
      </c>
      <c r="T4" s="65">
        <f t="shared" si="4"/>
        <v>0.66567158414011351</v>
      </c>
    </row>
    <row r="5" spans="1:20">
      <c r="A5" s="63" t="s">
        <v>364</v>
      </c>
      <c r="B5" s="62">
        <v>2018</v>
      </c>
      <c r="C5" s="63">
        <v>265359</v>
      </c>
      <c r="D5" s="63">
        <v>81565</v>
      </c>
      <c r="E5" s="64">
        <f t="shared" si="0"/>
        <v>0.30737604528205187</v>
      </c>
      <c r="F5" s="63">
        <v>59531</v>
      </c>
      <c r="G5" s="64">
        <f t="shared" si="5"/>
        <v>0.22434136396353618</v>
      </c>
      <c r="H5" s="63">
        <v>77434</v>
      </c>
      <c r="I5" s="63">
        <v>13313</v>
      </c>
      <c r="J5" s="63">
        <f t="shared" si="1"/>
        <v>64121</v>
      </c>
      <c r="K5" s="64">
        <f t="shared" si="2"/>
        <v>0.24163868570502603</v>
      </c>
      <c r="L5" s="64">
        <f>J5/J2</f>
        <v>0.91576572073294393</v>
      </c>
      <c r="M5" s="63">
        <v>131339</v>
      </c>
      <c r="N5" s="63">
        <v>3956</v>
      </c>
      <c r="O5" s="63">
        <v>116866</v>
      </c>
      <c r="P5" s="65">
        <f t="shared" si="3"/>
        <v>1.0899919565998666</v>
      </c>
      <c r="Q5" s="63">
        <v>234386</v>
      </c>
      <c r="R5" s="63">
        <v>0</v>
      </c>
      <c r="S5" s="63">
        <v>141712</v>
      </c>
      <c r="T5" s="65">
        <f t="shared" si="4"/>
        <v>0.71475997114180601</v>
      </c>
    </row>
    <row r="6" spans="1:20">
      <c r="A6" s="63" t="s">
        <v>364</v>
      </c>
      <c r="B6" s="62">
        <v>2019</v>
      </c>
      <c r="C6" s="63">
        <v>260174</v>
      </c>
      <c r="D6" s="63">
        <v>76477</v>
      </c>
      <c r="E6" s="64">
        <f t="shared" si="0"/>
        <v>0.29394559025882677</v>
      </c>
      <c r="F6" s="63">
        <v>55256</v>
      </c>
      <c r="G6" s="64">
        <f t="shared" si="5"/>
        <v>0.21238094505984456</v>
      </c>
      <c r="H6" s="63">
        <v>69391</v>
      </c>
      <c r="I6" s="63">
        <v>10495</v>
      </c>
      <c r="J6" s="63">
        <f t="shared" si="1"/>
        <v>58896</v>
      </c>
      <c r="K6" s="64">
        <f t="shared" si="2"/>
        <v>0.22637158209505945</v>
      </c>
      <c r="L6" s="64">
        <f>J6/J2</f>
        <v>0.84114311829646238</v>
      </c>
      <c r="M6" s="63">
        <v>162819</v>
      </c>
      <c r="N6" s="63">
        <v>4106</v>
      </c>
      <c r="O6" s="63">
        <v>105718</v>
      </c>
      <c r="P6" s="65">
        <f t="shared" si="3"/>
        <v>1.501286441287198</v>
      </c>
      <c r="Q6" s="63">
        <v>175697</v>
      </c>
      <c r="R6" s="63">
        <v>0</v>
      </c>
      <c r="S6" s="63">
        <v>142310</v>
      </c>
      <c r="T6" s="65">
        <f t="shared" si="4"/>
        <v>0.74168834664035166</v>
      </c>
    </row>
    <row r="7" spans="1:20">
      <c r="A7" s="63" t="s">
        <v>101</v>
      </c>
      <c r="B7" s="62">
        <v>2015</v>
      </c>
      <c r="C7" s="63">
        <v>1009</v>
      </c>
      <c r="D7" s="62">
        <v>57</v>
      </c>
      <c r="E7" s="64">
        <f t="shared" si="0"/>
        <v>5.6491575817641228E-2</v>
      </c>
      <c r="F7" s="62">
        <v>8</v>
      </c>
      <c r="G7" s="64">
        <f t="shared" si="5"/>
        <v>7.9286422200198214E-3</v>
      </c>
      <c r="H7" s="62">
        <v>283</v>
      </c>
      <c r="I7" s="62">
        <v>37</v>
      </c>
      <c r="J7" s="63">
        <f t="shared" si="1"/>
        <v>246</v>
      </c>
      <c r="K7" s="64">
        <f t="shared" si="2"/>
        <v>0.24380574826560952</v>
      </c>
      <c r="L7" s="64">
        <f>J7/J7</f>
        <v>1</v>
      </c>
      <c r="M7" s="63">
        <v>1271</v>
      </c>
      <c r="N7" s="62">
        <v>84</v>
      </c>
      <c r="O7" s="62">
        <v>679</v>
      </c>
      <c r="P7" s="65">
        <f t="shared" si="3"/>
        <v>1.748159057437408</v>
      </c>
      <c r="Q7" s="62">
        <v>520</v>
      </c>
      <c r="R7" s="62">
        <v>22</v>
      </c>
      <c r="S7" s="62">
        <v>356</v>
      </c>
      <c r="T7" s="65">
        <f t="shared" si="4"/>
        <v>0.6142433234421365</v>
      </c>
    </row>
    <row r="8" spans="1:20">
      <c r="A8" s="63" t="s">
        <v>101</v>
      </c>
      <c r="B8" s="62">
        <v>2016</v>
      </c>
      <c r="C8" s="63">
        <v>1275</v>
      </c>
      <c r="D8" s="62">
        <v>96</v>
      </c>
      <c r="E8" s="64">
        <f t="shared" si="0"/>
        <v>7.5294117647058817E-2</v>
      </c>
      <c r="F8" s="62">
        <v>32</v>
      </c>
      <c r="G8" s="64">
        <f t="shared" si="5"/>
        <v>2.5098039215686273E-2</v>
      </c>
      <c r="H8" s="62">
        <v>346</v>
      </c>
      <c r="I8" s="62">
        <v>67</v>
      </c>
      <c r="J8" s="63">
        <f t="shared" si="1"/>
        <v>279</v>
      </c>
      <c r="K8" s="64">
        <f t="shared" si="2"/>
        <v>0.21882352941176469</v>
      </c>
      <c r="L8" s="64">
        <f>J8/J7</f>
        <v>1.1341463414634145</v>
      </c>
      <c r="M8" s="63">
        <v>1539</v>
      </c>
      <c r="N8" s="62">
        <v>107</v>
      </c>
      <c r="O8" s="62">
        <v>829</v>
      </c>
      <c r="P8" s="65">
        <f t="shared" si="3"/>
        <v>1.727382388419783</v>
      </c>
      <c r="Q8" s="62">
        <v>601</v>
      </c>
      <c r="R8" s="62">
        <v>39</v>
      </c>
      <c r="S8" s="62">
        <v>473</v>
      </c>
      <c r="T8" s="65">
        <f t="shared" si="4"/>
        <v>0.65295887662988972</v>
      </c>
    </row>
    <row r="9" spans="1:20">
      <c r="A9" s="63" t="s">
        <v>101</v>
      </c>
      <c r="B9" s="62">
        <v>2017</v>
      </c>
      <c r="C9" s="63">
        <v>1495</v>
      </c>
      <c r="D9" s="62">
        <v>167</v>
      </c>
      <c r="E9" s="64">
        <f t="shared" si="0"/>
        <v>0.11170568561872909</v>
      </c>
      <c r="F9" s="62">
        <v>31</v>
      </c>
      <c r="G9" s="64">
        <f t="shared" si="5"/>
        <v>2.0735785953177259E-2</v>
      </c>
      <c r="H9" s="62">
        <v>594</v>
      </c>
      <c r="I9" s="62">
        <v>135</v>
      </c>
      <c r="J9" s="63">
        <f t="shared" si="1"/>
        <v>459</v>
      </c>
      <c r="K9" s="64">
        <f t="shared" si="2"/>
        <v>0.30702341137123745</v>
      </c>
      <c r="L9" s="64">
        <f>J9/J7</f>
        <v>1.8658536585365855</v>
      </c>
      <c r="M9" s="63">
        <v>1717</v>
      </c>
      <c r="N9" s="62">
        <v>77</v>
      </c>
      <c r="O9" s="63">
        <v>1027</v>
      </c>
      <c r="P9" s="65">
        <f t="shared" si="3"/>
        <v>1.5968841285296982</v>
      </c>
      <c r="Q9" s="62">
        <v>541</v>
      </c>
      <c r="R9" s="62">
        <v>31</v>
      </c>
      <c r="S9" s="63">
        <v>641</v>
      </c>
      <c r="T9" s="65">
        <f t="shared" si="4"/>
        <v>0.77581395348837212</v>
      </c>
    </row>
    <row r="10" spans="1:20">
      <c r="A10" s="63" t="s">
        <v>101</v>
      </c>
      <c r="B10" s="62">
        <v>2018</v>
      </c>
      <c r="C10" s="63">
        <v>1801</v>
      </c>
      <c r="D10" s="62">
        <v>287</v>
      </c>
      <c r="E10" s="64">
        <f t="shared" si="0"/>
        <v>0.15935591338145474</v>
      </c>
      <c r="F10" s="62">
        <v>332</v>
      </c>
      <c r="G10" s="64">
        <f t="shared" si="5"/>
        <v>0.18434203220433093</v>
      </c>
      <c r="H10" s="62">
        <v>639</v>
      </c>
      <c r="I10" s="63">
        <v>53</v>
      </c>
      <c r="J10" s="63">
        <f t="shared" si="1"/>
        <v>586</v>
      </c>
      <c r="K10" s="64">
        <f t="shared" si="2"/>
        <v>0.32537479178234313</v>
      </c>
      <c r="L10" s="64">
        <f>J10/J7</f>
        <v>2.3821138211382116</v>
      </c>
      <c r="M10" s="63">
        <v>2221</v>
      </c>
      <c r="N10" s="62">
        <v>90</v>
      </c>
      <c r="O10" s="63">
        <v>1256</v>
      </c>
      <c r="P10" s="65">
        <f t="shared" si="3"/>
        <v>1.6966560509554141</v>
      </c>
      <c r="Q10" s="62">
        <v>857</v>
      </c>
      <c r="R10" s="62">
        <v>60</v>
      </c>
      <c r="S10" s="62">
        <v>811</v>
      </c>
      <c r="T10" s="65">
        <f t="shared" si="4"/>
        <v>0.70594262295081966</v>
      </c>
    </row>
    <row r="11" spans="1:20">
      <c r="A11" s="63" t="s">
        <v>101</v>
      </c>
      <c r="B11" s="62">
        <v>2019</v>
      </c>
      <c r="C11" s="63">
        <v>2156</v>
      </c>
      <c r="D11" s="62">
        <v>406</v>
      </c>
      <c r="E11" s="64">
        <f t="shared" si="0"/>
        <v>0.18831168831168832</v>
      </c>
      <c r="F11" s="62">
        <v>327</v>
      </c>
      <c r="G11" s="64">
        <f t="shared" si="5"/>
        <v>0.15166975881261596</v>
      </c>
      <c r="H11" s="62">
        <v>808</v>
      </c>
      <c r="I11" s="63">
        <v>92</v>
      </c>
      <c r="J11" s="63">
        <f t="shared" si="1"/>
        <v>716</v>
      </c>
      <c r="K11" s="64">
        <f t="shared" si="2"/>
        <v>0.33209647495361783</v>
      </c>
      <c r="L11" s="64">
        <f>J11/J7</f>
        <v>2.910569105691057</v>
      </c>
      <c r="M11" s="63">
        <v>2769</v>
      </c>
      <c r="N11" s="62">
        <v>118</v>
      </c>
      <c r="O11" s="63">
        <v>1474</v>
      </c>
      <c r="P11" s="65">
        <f t="shared" si="3"/>
        <v>1.7985074626865671</v>
      </c>
      <c r="Q11" s="63">
        <v>1117</v>
      </c>
      <c r="R11" s="62">
        <v>98</v>
      </c>
      <c r="S11" s="63">
        <v>1090</v>
      </c>
      <c r="T11" s="65">
        <f t="shared" si="4"/>
        <v>0.6986376021798365</v>
      </c>
    </row>
    <row r="12" spans="1:20">
      <c r="A12" s="63" t="s">
        <v>32</v>
      </c>
      <c r="B12" s="62">
        <v>2015</v>
      </c>
      <c r="C12" s="63">
        <v>93580</v>
      </c>
      <c r="D12" s="63">
        <v>33572</v>
      </c>
      <c r="E12" s="64">
        <f t="shared" si="0"/>
        <v>0.35875187005770465</v>
      </c>
      <c r="F12" s="63">
        <v>12193</v>
      </c>
      <c r="G12" s="64">
        <f t="shared" si="5"/>
        <v>0.13029493481513144</v>
      </c>
      <c r="H12" s="63">
        <v>29080</v>
      </c>
      <c r="I12" s="63">
        <v>5944</v>
      </c>
      <c r="J12" s="63">
        <f t="shared" si="1"/>
        <v>23136</v>
      </c>
      <c r="K12" s="64">
        <f t="shared" si="2"/>
        <v>0.24723231459713613</v>
      </c>
      <c r="L12" s="64">
        <f>J12/J12</f>
        <v>1</v>
      </c>
      <c r="M12" s="63">
        <v>124712</v>
      </c>
      <c r="N12" s="63">
        <v>2902</v>
      </c>
      <c r="O12" s="63">
        <v>49858</v>
      </c>
      <c r="P12" s="65">
        <f t="shared" si="3"/>
        <v>2.4431385133779937</v>
      </c>
      <c r="Q12" s="63">
        <v>51511</v>
      </c>
      <c r="R12" s="63">
        <v>21774</v>
      </c>
      <c r="S12" s="63">
        <v>46282</v>
      </c>
      <c r="T12" s="65">
        <f t="shared" si="4"/>
        <v>0.63439065108514192</v>
      </c>
    </row>
    <row r="13" spans="1:20">
      <c r="A13" s="63" t="s">
        <v>32</v>
      </c>
      <c r="B13" s="62">
        <v>2016</v>
      </c>
      <c r="C13" s="63">
        <v>85320</v>
      </c>
      <c r="D13" s="63">
        <v>27170</v>
      </c>
      <c r="E13" s="64">
        <f t="shared" si="0"/>
        <v>0.3184481950304735</v>
      </c>
      <c r="F13" s="63">
        <v>16798</v>
      </c>
      <c r="G13" s="64">
        <f t="shared" si="5"/>
        <v>0.19688232536333802</v>
      </c>
      <c r="H13" s="63">
        <v>33325</v>
      </c>
      <c r="I13" s="63">
        <v>8343</v>
      </c>
      <c r="J13" s="63">
        <f t="shared" si="1"/>
        <v>24982</v>
      </c>
      <c r="K13" s="64">
        <f t="shared" si="2"/>
        <v>0.29280356305672761</v>
      </c>
      <c r="L13" s="64">
        <f>J13/J12</f>
        <v>1.0797890733056708</v>
      </c>
      <c r="M13" s="63">
        <v>139660</v>
      </c>
      <c r="N13" s="63">
        <v>2251</v>
      </c>
      <c r="O13" s="63">
        <v>59357</v>
      </c>
      <c r="P13" s="65">
        <f t="shared" si="3"/>
        <v>2.3149586400929967</v>
      </c>
      <c r="Q13" s="63">
        <v>54034</v>
      </c>
      <c r="R13" s="63">
        <v>21605</v>
      </c>
      <c r="S13" s="63">
        <v>62340</v>
      </c>
      <c r="T13" s="65">
        <f t="shared" si="4"/>
        <v>0.716547533531954</v>
      </c>
    </row>
    <row r="14" spans="1:20">
      <c r="A14" s="63" t="s">
        <v>32</v>
      </c>
      <c r="B14" s="62">
        <v>2017</v>
      </c>
      <c r="C14" s="63">
        <v>89950</v>
      </c>
      <c r="D14" s="63">
        <v>30432</v>
      </c>
      <c r="E14" s="64">
        <f t="shared" si="0"/>
        <v>0.33832128960533631</v>
      </c>
      <c r="F14" s="63">
        <v>21204</v>
      </c>
      <c r="G14" s="64">
        <f t="shared" si="5"/>
        <v>0.23573096164535853</v>
      </c>
      <c r="H14" s="63">
        <v>39507</v>
      </c>
      <c r="I14" s="63">
        <v>8129</v>
      </c>
      <c r="J14" s="63">
        <f t="shared" si="1"/>
        <v>31378</v>
      </c>
      <c r="K14" s="64">
        <f t="shared" si="2"/>
        <v>0.34883824346859366</v>
      </c>
      <c r="L14" s="64">
        <f>J14/J12</f>
        <v>1.3562413554633472</v>
      </c>
      <c r="M14" s="63">
        <v>159851</v>
      </c>
      <c r="N14" s="63">
        <v>2181</v>
      </c>
      <c r="O14" s="63">
        <v>64527</v>
      </c>
      <c r="P14" s="65">
        <f t="shared" si="3"/>
        <v>2.4434732747532042</v>
      </c>
      <c r="Q14" s="63">
        <v>81235</v>
      </c>
      <c r="R14" s="63">
        <v>45228</v>
      </c>
      <c r="S14" s="63">
        <v>104165</v>
      </c>
      <c r="T14" s="65">
        <f t="shared" si="4"/>
        <v>0.87099655612179039</v>
      </c>
    </row>
    <row r="15" spans="1:20">
      <c r="A15" s="63" t="s">
        <v>32</v>
      </c>
      <c r="B15" s="62">
        <v>2018</v>
      </c>
      <c r="C15" s="63">
        <v>110360</v>
      </c>
      <c r="D15" s="63">
        <v>44958</v>
      </c>
      <c r="E15" s="64">
        <f t="shared" si="0"/>
        <v>0.40737586081913735</v>
      </c>
      <c r="F15" s="63">
        <v>16571</v>
      </c>
      <c r="G15" s="64">
        <f t="shared" si="5"/>
        <v>0.15015404131931859</v>
      </c>
      <c r="H15" s="63">
        <v>43884</v>
      </c>
      <c r="I15" s="63">
        <v>11632</v>
      </c>
      <c r="J15" s="63">
        <f t="shared" si="1"/>
        <v>32252</v>
      </c>
      <c r="K15" s="64">
        <f t="shared" si="2"/>
        <v>0.29224356650960492</v>
      </c>
      <c r="L15" s="64">
        <f>J15/J12</f>
        <v>1.3940179806362378</v>
      </c>
      <c r="M15" s="63">
        <v>169662</v>
      </c>
      <c r="N15" s="63">
        <v>2662</v>
      </c>
      <c r="O15" s="63">
        <v>58488</v>
      </c>
      <c r="P15" s="65">
        <f t="shared" si="3"/>
        <v>2.8552865545069075</v>
      </c>
      <c r="Q15" s="63">
        <v>89186</v>
      </c>
      <c r="R15" s="63">
        <v>43736</v>
      </c>
      <c r="S15" s="63">
        <v>117642</v>
      </c>
      <c r="T15" s="65">
        <f t="shared" si="4"/>
        <v>0.82904212755942575</v>
      </c>
    </row>
    <row r="16" spans="1:20">
      <c r="A16" s="63" t="s">
        <v>32</v>
      </c>
      <c r="B16" s="62">
        <v>2019</v>
      </c>
      <c r="C16" s="63">
        <v>125843</v>
      </c>
      <c r="D16" s="63">
        <v>54559</v>
      </c>
      <c r="E16" s="64">
        <f t="shared" si="0"/>
        <v>0.43354815126784962</v>
      </c>
      <c r="F16" s="63">
        <v>39240</v>
      </c>
      <c r="G16" s="64">
        <f t="shared" si="5"/>
        <v>0.31181710544090652</v>
      </c>
      <c r="H16" s="63">
        <v>52185</v>
      </c>
      <c r="I16" s="63">
        <v>13925</v>
      </c>
      <c r="J16" s="63">
        <f t="shared" si="1"/>
        <v>38260</v>
      </c>
      <c r="K16" s="64">
        <f t="shared" si="2"/>
        <v>0.30402962421429874</v>
      </c>
      <c r="L16" s="64">
        <f>J16/J12</f>
        <v>1.6536998616874135</v>
      </c>
      <c r="M16" s="63">
        <v>175552</v>
      </c>
      <c r="N16" s="63">
        <v>2063</v>
      </c>
      <c r="O16" s="63">
        <v>69420</v>
      </c>
      <c r="P16" s="65">
        <f t="shared" si="3"/>
        <v>2.4991212906943243</v>
      </c>
      <c r="Q16" s="63">
        <v>111004</v>
      </c>
      <c r="R16" s="63">
        <v>49776</v>
      </c>
      <c r="S16" s="63">
        <v>114806</v>
      </c>
      <c r="T16" s="65">
        <f t="shared" si="4"/>
        <v>0.78488562822462793</v>
      </c>
    </row>
    <row r="17" spans="1:20">
      <c r="A17" s="63" t="s">
        <v>29</v>
      </c>
      <c r="B17" s="62">
        <v>2015</v>
      </c>
      <c r="C17" s="63">
        <v>17928</v>
      </c>
      <c r="D17" s="63">
        <v>8244</v>
      </c>
      <c r="E17" s="64">
        <f t="shared" si="0"/>
        <v>0.45983935742971888</v>
      </c>
      <c r="F17" s="63">
        <v>3669</v>
      </c>
      <c r="G17" s="64">
        <f t="shared" si="5"/>
        <v>0.20465194109772422</v>
      </c>
      <c r="H17" s="63">
        <v>8599</v>
      </c>
      <c r="I17" s="63">
        <v>2523</v>
      </c>
      <c r="J17" s="63">
        <f t="shared" si="1"/>
        <v>6076</v>
      </c>
      <c r="K17" s="64">
        <f t="shared" si="2"/>
        <v>0.33891120035698347</v>
      </c>
      <c r="L17" s="64">
        <f>J17/J17</f>
        <v>1</v>
      </c>
      <c r="M17" s="63">
        <v>21652</v>
      </c>
      <c r="N17" s="63">
        <v>0</v>
      </c>
      <c r="O17" s="63">
        <v>1925</v>
      </c>
      <c r="P17" s="65">
        <f t="shared" si="3"/>
        <v>11.247792207792207</v>
      </c>
      <c r="Q17" s="63">
        <v>27755</v>
      </c>
      <c r="R17" s="63">
        <v>21272</v>
      </c>
      <c r="S17" s="63">
        <v>5189</v>
      </c>
      <c r="T17" s="65">
        <f t="shared" si="4"/>
        <v>0.25285231917540429</v>
      </c>
    </row>
    <row r="18" spans="1:20">
      <c r="A18" s="63" t="s">
        <v>29</v>
      </c>
      <c r="B18" s="62">
        <v>2016</v>
      </c>
      <c r="C18" s="63">
        <v>27638</v>
      </c>
      <c r="D18" s="63">
        <v>14834</v>
      </c>
      <c r="E18" s="64">
        <f t="shared" si="0"/>
        <v>0.53672479918952165</v>
      </c>
      <c r="F18" s="63">
        <v>10188</v>
      </c>
      <c r="G18" s="64">
        <f t="shared" si="5"/>
        <v>0.36862291048556334</v>
      </c>
      <c r="H18" s="63">
        <v>16108</v>
      </c>
      <c r="I18" s="63">
        <v>4491</v>
      </c>
      <c r="J18" s="63">
        <f t="shared" si="1"/>
        <v>11617</v>
      </c>
      <c r="K18" s="64">
        <f t="shared" si="2"/>
        <v>0.4203270858962298</v>
      </c>
      <c r="L18" s="64">
        <f>J18/J17</f>
        <v>1.9119486504279131</v>
      </c>
      <c r="M18" s="63">
        <v>34401</v>
      </c>
      <c r="N18" s="63">
        <v>0</v>
      </c>
      <c r="O18" s="63">
        <v>2875</v>
      </c>
      <c r="P18" s="65">
        <f t="shared" si="3"/>
        <v>11.965565217391305</v>
      </c>
      <c r="Q18" s="63">
        <v>30560</v>
      </c>
      <c r="R18" s="63">
        <v>20657</v>
      </c>
      <c r="S18" s="63">
        <v>5767</v>
      </c>
      <c r="T18" s="65">
        <f t="shared" si="4"/>
        <v>0.19506139400505598</v>
      </c>
    </row>
    <row r="19" spans="1:20">
      <c r="A19" s="63" t="s">
        <v>29</v>
      </c>
      <c r="B19" s="62">
        <v>2017</v>
      </c>
      <c r="C19" s="63">
        <v>40653</v>
      </c>
      <c r="D19" s="63">
        <v>23330</v>
      </c>
      <c r="E19" s="64">
        <f t="shared" si="0"/>
        <v>0.57388138636754971</v>
      </c>
      <c r="F19" s="63">
        <v>15920</v>
      </c>
      <c r="G19" s="64">
        <f t="shared" si="5"/>
        <v>0.39160701547241283</v>
      </c>
      <c r="H19" s="63">
        <v>24216</v>
      </c>
      <c r="I19" s="63">
        <v>6733</v>
      </c>
      <c r="J19" s="63">
        <f t="shared" si="1"/>
        <v>17483</v>
      </c>
      <c r="K19" s="64">
        <f t="shared" si="2"/>
        <v>0.43005436253167045</v>
      </c>
      <c r="L19" s="64">
        <f>J19/J17</f>
        <v>2.8773864384463463</v>
      </c>
      <c r="M19" s="63">
        <v>48563</v>
      </c>
      <c r="N19" s="63">
        <v>0</v>
      </c>
      <c r="O19" s="63">
        <v>3760</v>
      </c>
      <c r="P19" s="65">
        <f t="shared" si="3"/>
        <v>12.915691489361702</v>
      </c>
      <c r="Q19" s="63">
        <v>35961</v>
      </c>
      <c r="R19" s="63">
        <v>20105</v>
      </c>
      <c r="S19" s="63">
        <v>10177</v>
      </c>
      <c r="T19" s="65">
        <f t="shared" si="4"/>
        <v>0.21634921374128752</v>
      </c>
    </row>
    <row r="20" spans="1:20">
      <c r="A20" s="63" t="s">
        <v>29</v>
      </c>
      <c r="B20" s="62">
        <v>2018</v>
      </c>
      <c r="C20" s="63">
        <v>55838</v>
      </c>
      <c r="D20" s="63">
        <v>29233</v>
      </c>
      <c r="E20" s="64">
        <f t="shared" si="0"/>
        <v>0.52353236147426485</v>
      </c>
      <c r="F20" s="63">
        <v>22111</v>
      </c>
      <c r="G20" s="64">
        <f t="shared" si="5"/>
        <v>0.39598481320964218</v>
      </c>
      <c r="H20" s="63">
        <v>29274</v>
      </c>
      <c r="I20" s="63">
        <v>13915</v>
      </c>
      <c r="J20" s="63">
        <f t="shared" si="1"/>
        <v>15359</v>
      </c>
      <c r="K20" s="64">
        <f t="shared" si="2"/>
        <v>0.2750635767756725</v>
      </c>
      <c r="L20" s="64">
        <f>J20/J17</f>
        <v>2.5278143515470703</v>
      </c>
      <c r="M20" s="63">
        <v>50480</v>
      </c>
      <c r="N20" s="63">
        <v>0</v>
      </c>
      <c r="O20" s="63">
        <v>7017</v>
      </c>
      <c r="P20" s="65">
        <f t="shared" si="3"/>
        <v>7.1939575317087074</v>
      </c>
      <c r="Q20" s="63">
        <v>46854</v>
      </c>
      <c r="R20" s="63">
        <v>19595</v>
      </c>
      <c r="S20" s="63">
        <v>13207</v>
      </c>
      <c r="T20" s="65">
        <f t="shared" si="4"/>
        <v>0.26015256177722895</v>
      </c>
    </row>
    <row r="21" spans="1:20">
      <c r="A21" s="63" t="s">
        <v>29</v>
      </c>
      <c r="B21" s="62">
        <v>2019</v>
      </c>
      <c r="C21" s="63">
        <v>70697</v>
      </c>
      <c r="D21" s="63">
        <v>34728</v>
      </c>
      <c r="E21" s="64">
        <f t="shared" si="0"/>
        <v>0.49122310706253447</v>
      </c>
      <c r="F21" s="63">
        <v>18485</v>
      </c>
      <c r="G21" s="64">
        <f t="shared" si="5"/>
        <v>0.26146795479298979</v>
      </c>
      <c r="H21" s="63">
        <v>36314</v>
      </c>
      <c r="I21" s="63">
        <v>15102</v>
      </c>
      <c r="J21" s="63">
        <f t="shared" si="1"/>
        <v>21212</v>
      </c>
      <c r="K21" s="64">
        <f t="shared" si="2"/>
        <v>0.30004102012815254</v>
      </c>
      <c r="L21" s="64">
        <f>J21/J17</f>
        <v>3.4911125740618827</v>
      </c>
      <c r="M21" s="63">
        <v>66225</v>
      </c>
      <c r="N21" s="63">
        <v>0</v>
      </c>
      <c r="O21" s="63">
        <v>15053</v>
      </c>
      <c r="P21" s="65">
        <f t="shared" si="3"/>
        <v>4.3994552580880883</v>
      </c>
      <c r="Q21" s="63">
        <v>67151</v>
      </c>
      <c r="R21" s="63">
        <v>19609</v>
      </c>
      <c r="S21" s="63">
        <v>32322</v>
      </c>
      <c r="T21" s="65">
        <f t="shared" si="4"/>
        <v>0.41642128209410462</v>
      </c>
    </row>
    <row r="22" spans="1:20">
      <c r="A22" s="62" t="s">
        <v>33</v>
      </c>
      <c r="B22" s="62">
        <v>2015</v>
      </c>
      <c r="C22" s="63">
        <v>107006</v>
      </c>
      <c r="D22" s="63">
        <v>7304</v>
      </c>
      <c r="E22" s="64">
        <f t="shared" si="0"/>
        <v>6.825785469973647E-2</v>
      </c>
      <c r="F22" s="62">
        <v>596</v>
      </c>
      <c r="G22" s="64">
        <f t="shared" si="5"/>
        <v>5.5697811337681999E-3</v>
      </c>
      <c r="H22" s="63">
        <v>11920</v>
      </c>
      <c r="I22" s="63">
        <v>4589</v>
      </c>
      <c r="J22" s="63">
        <f t="shared" si="1"/>
        <v>7331</v>
      </c>
      <c r="K22" s="64">
        <f t="shared" si="2"/>
        <v>6.8510176999420594E-2</v>
      </c>
      <c r="L22" s="64">
        <f>J22/J22</f>
        <v>1</v>
      </c>
      <c r="M22" s="63">
        <v>36474</v>
      </c>
      <c r="N22" s="63">
        <v>10243</v>
      </c>
      <c r="O22" s="63">
        <v>33899</v>
      </c>
      <c r="P22" s="65">
        <f t="shared" si="3"/>
        <v>0.77379863712793884</v>
      </c>
      <c r="Q22" s="63">
        <v>28970</v>
      </c>
      <c r="R22" s="63">
        <v>4521</v>
      </c>
      <c r="S22" s="63">
        <v>18161</v>
      </c>
      <c r="T22" s="65">
        <f t="shared" si="4"/>
        <v>1.0272296764009472</v>
      </c>
    </row>
    <row r="23" spans="1:20">
      <c r="A23" s="62" t="s">
        <v>33</v>
      </c>
      <c r="B23" s="62">
        <v>2016</v>
      </c>
      <c r="C23" s="63">
        <v>135987</v>
      </c>
      <c r="D23" s="63">
        <v>10753</v>
      </c>
      <c r="E23" s="64">
        <f t="shared" si="0"/>
        <v>7.9073734989373978E-2</v>
      </c>
      <c r="F23" s="63">
        <v>2371</v>
      </c>
      <c r="G23" s="64">
        <f t="shared" si="5"/>
        <v>1.7435490157147373E-2</v>
      </c>
      <c r="H23" s="63">
        <v>16443</v>
      </c>
      <c r="I23" s="63">
        <v>6737</v>
      </c>
      <c r="J23" s="63">
        <f t="shared" si="1"/>
        <v>9706</v>
      </c>
      <c r="K23" s="64">
        <f t="shared" si="2"/>
        <v>7.1374469618419409E-2</v>
      </c>
      <c r="L23" s="64">
        <f>J23/J22</f>
        <v>1.3239667166825808</v>
      </c>
      <c r="M23" s="63">
        <v>45781</v>
      </c>
      <c r="N23" s="63">
        <v>11461</v>
      </c>
      <c r="O23" s="63">
        <v>43816</v>
      </c>
      <c r="P23" s="65">
        <f t="shared" si="3"/>
        <v>0.78327551579331756</v>
      </c>
      <c r="Q23" s="63">
        <v>37621</v>
      </c>
      <c r="R23" s="63">
        <v>4638</v>
      </c>
      <c r="S23" s="63">
        <v>20301</v>
      </c>
      <c r="T23" s="65">
        <f t="shared" si="4"/>
        <v>0.95266184271132048</v>
      </c>
    </row>
    <row r="24" spans="1:20">
      <c r="A24" s="62" t="s">
        <v>33</v>
      </c>
      <c r="B24" s="62">
        <v>2017</v>
      </c>
      <c r="C24" s="63">
        <v>177866</v>
      </c>
      <c r="D24" s="63">
        <v>13120</v>
      </c>
      <c r="E24" s="64">
        <f t="shared" si="0"/>
        <v>7.3763394915273298E-2</v>
      </c>
      <c r="F24" s="63">
        <v>3033</v>
      </c>
      <c r="G24" s="64">
        <f t="shared" si="5"/>
        <v>1.7052162864178651E-2</v>
      </c>
      <c r="H24" s="63">
        <v>18434</v>
      </c>
      <c r="I24" s="63">
        <v>11955</v>
      </c>
      <c r="J24" s="63">
        <f t="shared" si="1"/>
        <v>6479</v>
      </c>
      <c r="K24" s="64">
        <f t="shared" si="2"/>
        <v>3.642629844939449E-2</v>
      </c>
      <c r="L24" s="64">
        <f>J24/J22</f>
        <v>0.88378120311008046</v>
      </c>
      <c r="M24" s="63">
        <v>60197</v>
      </c>
      <c r="N24" s="63">
        <v>16047</v>
      </c>
      <c r="O24" s="63">
        <v>57883</v>
      </c>
      <c r="P24" s="65">
        <f t="shared" si="3"/>
        <v>0.76274553841369663</v>
      </c>
      <c r="Q24" s="63">
        <v>71113</v>
      </c>
      <c r="R24" s="63">
        <v>16721</v>
      </c>
      <c r="S24" s="63">
        <v>45718</v>
      </c>
      <c r="T24" s="65">
        <f t="shared" si="4"/>
        <v>1.0513385155568185</v>
      </c>
    </row>
    <row r="25" spans="1:20">
      <c r="A25" s="62" t="s">
        <v>33</v>
      </c>
      <c r="B25" s="62">
        <v>2018</v>
      </c>
      <c r="C25" s="63">
        <v>232887</v>
      </c>
      <c r="D25" s="63">
        <v>24817</v>
      </c>
      <c r="E25" s="64">
        <f t="shared" si="0"/>
        <v>0.10656241009588341</v>
      </c>
      <c r="F25" s="63">
        <v>10073</v>
      </c>
      <c r="G25" s="64">
        <f t="shared" si="5"/>
        <v>4.3252736305590261E-2</v>
      </c>
      <c r="H25" s="63">
        <v>30723</v>
      </c>
      <c r="I25" s="63">
        <v>13427</v>
      </c>
      <c r="J25" s="63">
        <f t="shared" si="1"/>
        <v>17296</v>
      </c>
      <c r="K25" s="64">
        <f t="shared" si="2"/>
        <v>7.4267777935221796E-2</v>
      </c>
      <c r="L25" s="64">
        <f>J25/J22</f>
        <v>2.3592961396808074</v>
      </c>
      <c r="M25" s="63">
        <v>75101</v>
      </c>
      <c r="N25" s="63">
        <v>16655</v>
      </c>
      <c r="O25" s="63">
        <v>68391</v>
      </c>
      <c r="P25" s="65">
        <f t="shared" si="3"/>
        <v>0.85458612975391501</v>
      </c>
      <c r="Q25" s="63">
        <v>87547</v>
      </c>
      <c r="R25" s="63">
        <v>18658</v>
      </c>
      <c r="S25" s="63">
        <v>50708</v>
      </c>
      <c r="T25" s="65">
        <f t="shared" si="4"/>
        <v>0.93532021832174972</v>
      </c>
    </row>
    <row r="26" spans="1:20">
      <c r="A26" s="62" t="s">
        <v>33</v>
      </c>
      <c r="B26" s="62">
        <v>2019</v>
      </c>
      <c r="C26" s="63">
        <v>280522</v>
      </c>
      <c r="D26" s="63">
        <v>29842</v>
      </c>
      <c r="E26" s="64">
        <f t="shared" si="0"/>
        <v>0.10638024825147403</v>
      </c>
      <c r="F26" s="63">
        <v>11588</v>
      </c>
      <c r="G26" s="64">
        <f t="shared" si="5"/>
        <v>4.1308703060722513E-2</v>
      </c>
      <c r="H26" s="63">
        <v>38514</v>
      </c>
      <c r="I26" s="63">
        <v>16861</v>
      </c>
      <c r="J26" s="63">
        <f t="shared" si="1"/>
        <v>21653</v>
      </c>
      <c r="K26" s="64">
        <f t="shared" si="2"/>
        <v>7.7188241920419787E-2</v>
      </c>
      <c r="L26" s="64">
        <f>J26/J22</f>
        <v>2.9536216068749148</v>
      </c>
      <c r="M26" s="63">
        <v>96334</v>
      </c>
      <c r="N26" s="63">
        <v>19868</v>
      </c>
      <c r="O26" s="63">
        <v>87812</v>
      </c>
      <c r="P26" s="65">
        <f t="shared" si="3"/>
        <v>0.87079214685919915</v>
      </c>
      <c r="Q26" s="63">
        <v>128914</v>
      </c>
      <c r="R26" s="63">
        <v>18803</v>
      </c>
      <c r="S26" s="63">
        <v>75376</v>
      </c>
      <c r="T26" s="65">
        <f t="shared" si="4"/>
        <v>0.87464156889648781</v>
      </c>
    </row>
    <row r="27" spans="1:20">
      <c r="A27" s="62" t="s">
        <v>27</v>
      </c>
      <c r="B27" s="62">
        <v>2015</v>
      </c>
      <c r="C27" s="63">
        <v>74989</v>
      </c>
      <c r="D27" s="63">
        <v>24384</v>
      </c>
      <c r="E27" s="64">
        <f t="shared" si="0"/>
        <v>0.32516769126138501</v>
      </c>
      <c r="F27" s="63">
        <v>15826</v>
      </c>
      <c r="G27" s="64">
        <f t="shared" si="5"/>
        <v>0.21104428649535265</v>
      </c>
      <c r="H27" s="63">
        <v>26024</v>
      </c>
      <c r="I27" s="63">
        <v>9915</v>
      </c>
      <c r="J27" s="63">
        <f t="shared" si="1"/>
        <v>16109</v>
      </c>
      <c r="K27" s="64">
        <f t="shared" si="2"/>
        <v>0.21481817333208872</v>
      </c>
      <c r="L27" s="64">
        <f>J27/J27</f>
        <v>1</v>
      </c>
      <c r="M27" s="63">
        <v>90114</v>
      </c>
      <c r="N27" s="62">
        <v>491</v>
      </c>
      <c r="O27" s="63">
        <v>19310</v>
      </c>
      <c r="P27" s="65">
        <f t="shared" si="3"/>
        <v>4.6412739513205592</v>
      </c>
      <c r="Q27" s="63">
        <v>57347</v>
      </c>
      <c r="R27" s="63">
        <v>19716</v>
      </c>
      <c r="S27" s="63">
        <v>7820</v>
      </c>
      <c r="T27" s="65">
        <f t="shared" si="4"/>
        <v>0.21319565593223003</v>
      </c>
    </row>
    <row r="28" spans="1:20">
      <c r="A28" s="62" t="s">
        <v>27</v>
      </c>
      <c r="B28" s="62">
        <v>2016</v>
      </c>
      <c r="C28" s="63">
        <v>90272</v>
      </c>
      <c r="D28" s="63">
        <v>29816</v>
      </c>
      <c r="E28" s="64">
        <f t="shared" si="0"/>
        <v>0.33029067706487059</v>
      </c>
      <c r="F28" s="63">
        <v>19478</v>
      </c>
      <c r="G28" s="64">
        <f t="shared" si="5"/>
        <v>0.2157701169797944</v>
      </c>
      <c r="H28" s="63">
        <v>36036</v>
      </c>
      <c r="I28" s="63">
        <v>10212</v>
      </c>
      <c r="J28" s="63">
        <f t="shared" si="1"/>
        <v>25824</v>
      </c>
      <c r="K28" s="64">
        <f t="shared" si="2"/>
        <v>0.28606876993973768</v>
      </c>
      <c r="L28" s="64">
        <f>J28/J26</f>
        <v>1.1926291968780307</v>
      </c>
      <c r="M28" s="63">
        <v>105408</v>
      </c>
      <c r="N28" s="62">
        <v>268</v>
      </c>
      <c r="O28" s="63">
        <v>16756</v>
      </c>
      <c r="P28" s="65">
        <f t="shared" si="3"/>
        <v>6.2747672475531155</v>
      </c>
      <c r="Q28" s="63">
        <v>62089</v>
      </c>
      <c r="R28" s="63">
        <v>19775</v>
      </c>
      <c r="S28" s="63">
        <v>11705</v>
      </c>
      <c r="T28" s="65">
        <f t="shared" si="4"/>
        <v>0.19301612706335536</v>
      </c>
    </row>
    <row r="29" spans="1:20">
      <c r="A29" s="62" t="s">
        <v>27</v>
      </c>
      <c r="B29" s="62">
        <v>2017</v>
      </c>
      <c r="C29" s="63">
        <v>110855</v>
      </c>
      <c r="D29" s="63">
        <v>35781</v>
      </c>
      <c r="E29" s="64">
        <f t="shared" si="0"/>
        <v>0.32277299174597446</v>
      </c>
      <c r="F29" s="63">
        <v>12662</v>
      </c>
      <c r="G29" s="64">
        <f t="shared" si="5"/>
        <v>0.11422128005051645</v>
      </c>
      <c r="H29" s="63">
        <v>37091</v>
      </c>
      <c r="I29" s="63">
        <v>13184</v>
      </c>
      <c r="J29" s="63">
        <f t="shared" si="1"/>
        <v>23907</v>
      </c>
      <c r="K29" s="64">
        <f t="shared" si="2"/>
        <v>0.21566009652248433</v>
      </c>
      <c r="L29" s="64">
        <f>J29/J26</f>
        <v>1.1040964300558813</v>
      </c>
      <c r="M29" s="63">
        <v>124308</v>
      </c>
      <c r="N29" s="62">
        <v>749</v>
      </c>
      <c r="O29" s="63">
        <v>24183</v>
      </c>
      <c r="P29" s="65">
        <f t="shared" si="3"/>
        <v>5.1093330025224333</v>
      </c>
      <c r="Q29" s="63">
        <v>72987</v>
      </c>
      <c r="R29" s="63">
        <v>19439</v>
      </c>
      <c r="S29" s="63">
        <v>20610</v>
      </c>
      <c r="T29" s="65">
        <f t="shared" si="4"/>
        <v>0.25291490454922733</v>
      </c>
    </row>
    <row r="30" spans="1:20">
      <c r="A30" s="62" t="s">
        <v>27</v>
      </c>
      <c r="B30" s="62">
        <v>2018</v>
      </c>
      <c r="C30" s="63">
        <v>136819</v>
      </c>
      <c r="D30" s="63">
        <v>40421</v>
      </c>
      <c r="E30" s="64">
        <f t="shared" si="0"/>
        <v>0.29543411368304112</v>
      </c>
      <c r="F30" s="63">
        <v>30736</v>
      </c>
      <c r="G30" s="64">
        <f t="shared" si="5"/>
        <v>0.22464716157843576</v>
      </c>
      <c r="H30" s="63">
        <v>47971</v>
      </c>
      <c r="I30" s="63">
        <v>25139</v>
      </c>
      <c r="J30" s="63">
        <f t="shared" si="1"/>
        <v>22832</v>
      </c>
      <c r="K30" s="64">
        <f t="shared" si="2"/>
        <v>0.16687740737763029</v>
      </c>
      <c r="L30" s="64">
        <f>J30/J26</f>
        <v>1.0544497298295847</v>
      </c>
      <c r="M30" s="63">
        <v>135676</v>
      </c>
      <c r="N30" s="63">
        <v>1107</v>
      </c>
      <c r="O30" s="63">
        <v>34620</v>
      </c>
      <c r="P30" s="65">
        <f t="shared" si="3"/>
        <v>3.8870306181398036</v>
      </c>
      <c r="Q30" s="63">
        <v>97116</v>
      </c>
      <c r="R30" s="63">
        <v>20108</v>
      </c>
      <c r="S30" s="63">
        <v>20544</v>
      </c>
      <c r="T30" s="65">
        <f t="shared" si="4"/>
        <v>0.26072777286756121</v>
      </c>
    </row>
    <row r="31" spans="1:20">
      <c r="A31" s="62" t="s">
        <v>27</v>
      </c>
      <c r="B31" s="62">
        <v>2019</v>
      </c>
      <c r="C31" s="63">
        <v>161857</v>
      </c>
      <c r="D31" s="63">
        <v>48133</v>
      </c>
      <c r="E31" s="64">
        <f t="shared" si="0"/>
        <v>0.29737978586035824</v>
      </c>
      <c r="F31" s="63">
        <v>34343</v>
      </c>
      <c r="G31" s="64">
        <f t="shared" si="5"/>
        <v>0.21218112284300339</v>
      </c>
      <c r="H31" s="63">
        <v>54520</v>
      </c>
      <c r="I31" s="63">
        <v>23548</v>
      </c>
      <c r="J31" s="63">
        <f t="shared" si="1"/>
        <v>30972</v>
      </c>
      <c r="K31" s="64">
        <f t="shared" si="2"/>
        <v>0.19135409651729612</v>
      </c>
      <c r="L31" s="64">
        <f>J31/J26</f>
        <v>1.430379162240798</v>
      </c>
      <c r="M31" s="63">
        <v>152578</v>
      </c>
      <c r="N31" s="62">
        <v>999</v>
      </c>
      <c r="O31" s="63">
        <v>45221</v>
      </c>
      <c r="P31" s="65">
        <f t="shared" si="3"/>
        <v>3.3519603723933571</v>
      </c>
      <c r="Q31" s="63">
        <v>123331</v>
      </c>
      <c r="R31" s="63">
        <v>22603</v>
      </c>
      <c r="S31" s="63">
        <v>29246</v>
      </c>
      <c r="T31" s="65">
        <f t="shared" si="4"/>
        <v>0.29514440740843495</v>
      </c>
    </row>
    <row r="32" spans="1:20">
      <c r="A32" s="62" t="s">
        <v>222</v>
      </c>
      <c r="B32" s="62">
        <v>2015</v>
      </c>
      <c r="C32" s="63">
        <v>5010</v>
      </c>
      <c r="D32" s="62">
        <v>747</v>
      </c>
      <c r="E32" s="64">
        <f t="shared" si="0"/>
        <v>0.14910179640718563</v>
      </c>
      <c r="F32" s="62">
        <v>614</v>
      </c>
      <c r="G32" s="64">
        <f t="shared" si="5"/>
        <v>0.12255489021956088</v>
      </c>
      <c r="H32" s="63">
        <v>1175</v>
      </c>
      <c r="I32" s="63">
        <v>-86</v>
      </c>
      <c r="J32" s="63">
        <f>H32+I32</f>
        <v>1089</v>
      </c>
      <c r="K32" s="64">
        <f t="shared" si="2"/>
        <v>0.21736526946107784</v>
      </c>
      <c r="L32" s="64">
        <f>J32/J32</f>
        <v>1</v>
      </c>
      <c r="M32" s="63">
        <v>6053</v>
      </c>
      <c r="N32" s="62">
        <v>418</v>
      </c>
      <c r="O32" s="63">
        <v>2351</v>
      </c>
      <c r="P32" s="65">
        <f t="shared" si="3"/>
        <v>2.3968524032326668</v>
      </c>
      <c r="Q32" s="63">
        <v>1317</v>
      </c>
      <c r="R32" s="62">
        <v>784</v>
      </c>
      <c r="S32" s="63">
        <v>550</v>
      </c>
      <c r="T32" s="65">
        <f t="shared" si="4"/>
        <v>0.47033073929961089</v>
      </c>
    </row>
    <row r="33" spans="1:20">
      <c r="A33" s="62" t="s">
        <v>222</v>
      </c>
      <c r="B33" s="62">
        <v>2016</v>
      </c>
      <c r="C33" s="63">
        <v>6910</v>
      </c>
      <c r="D33" s="63">
        <v>1934</v>
      </c>
      <c r="E33" s="64">
        <f t="shared" si="0"/>
        <v>0.27988422575976846</v>
      </c>
      <c r="F33" s="63">
        <v>1666</v>
      </c>
      <c r="G33" s="64">
        <f t="shared" si="5"/>
        <v>0.24109985528219971</v>
      </c>
      <c r="H33" s="63">
        <v>1672</v>
      </c>
      <c r="I33" s="63">
        <v>-176</v>
      </c>
      <c r="J33" s="63">
        <f>H33+I33</f>
        <v>1496</v>
      </c>
      <c r="K33" s="64">
        <f t="shared" si="2"/>
        <v>0.21649782923299565</v>
      </c>
      <c r="L33" s="64">
        <f>J33/J32</f>
        <v>1.3737373737373737</v>
      </c>
      <c r="M33" s="63">
        <v>8536</v>
      </c>
      <c r="N33" s="62">
        <v>794</v>
      </c>
      <c r="O33" s="63">
        <v>1788</v>
      </c>
      <c r="P33" s="65">
        <f t="shared" si="3"/>
        <v>4.3299776286353469</v>
      </c>
      <c r="Q33" s="63">
        <v>1305</v>
      </c>
      <c r="R33" s="62">
        <v>722</v>
      </c>
      <c r="S33" s="63">
        <v>2291</v>
      </c>
      <c r="T33" s="65">
        <f t="shared" si="4"/>
        <v>0.48996996996996994</v>
      </c>
    </row>
    <row r="34" spans="1:20">
      <c r="A34" s="62" t="s">
        <v>222</v>
      </c>
      <c r="B34" s="62">
        <v>2017</v>
      </c>
      <c r="C34" s="63">
        <v>9714</v>
      </c>
      <c r="D34" s="63">
        <v>3210</v>
      </c>
      <c r="E34" s="64">
        <f t="shared" si="0"/>
        <v>0.33045089561457691</v>
      </c>
      <c r="F34" s="63">
        <v>3047</v>
      </c>
      <c r="G34" s="64">
        <f t="shared" si="5"/>
        <v>0.3136709903232448</v>
      </c>
      <c r="H34" s="63">
        <v>3502</v>
      </c>
      <c r="I34" s="63">
        <v>-593</v>
      </c>
      <c r="J34" s="63">
        <f>H34+I34</f>
        <v>2909</v>
      </c>
      <c r="K34" s="64">
        <f t="shared" si="2"/>
        <v>0.29946469013794524</v>
      </c>
      <c r="L34" s="64">
        <f>J34/J32</f>
        <v>2.6712580348943984</v>
      </c>
      <c r="M34" s="63">
        <v>9255</v>
      </c>
      <c r="N34" s="62">
        <v>796</v>
      </c>
      <c r="O34" s="63">
        <v>1153</v>
      </c>
      <c r="P34" s="65">
        <f t="shared" si="3"/>
        <v>7.3365134431916736</v>
      </c>
      <c r="Q34" s="63">
        <v>1316</v>
      </c>
      <c r="R34" s="62">
        <v>670</v>
      </c>
      <c r="S34" s="63">
        <v>2617</v>
      </c>
      <c r="T34" s="65">
        <f t="shared" si="4"/>
        <v>0.41405820977484897</v>
      </c>
    </row>
    <row r="35" spans="1:20">
      <c r="A35" s="62" t="s">
        <v>222</v>
      </c>
      <c r="B35" s="62">
        <v>2018</v>
      </c>
      <c r="C35" s="63">
        <v>11716</v>
      </c>
      <c r="D35" s="63">
        <v>2846</v>
      </c>
      <c r="E35" s="64">
        <f t="shared" si="0"/>
        <v>0.24291567087743257</v>
      </c>
      <c r="F35" s="63">
        <v>4141</v>
      </c>
      <c r="G35" s="64">
        <f t="shared" si="5"/>
        <v>0.35344827586206895</v>
      </c>
      <c r="H35" s="63">
        <v>3743</v>
      </c>
      <c r="I35" s="63">
        <v>-600</v>
      </c>
      <c r="J35" s="63">
        <f t="shared" ref="J35:J36" si="6">H35+I35</f>
        <v>3143</v>
      </c>
      <c r="K35" s="64">
        <f t="shared" si="2"/>
        <v>0.26826561966541485</v>
      </c>
      <c r="L35" s="64">
        <f>J35/J32</f>
        <v>2.8861340679522498</v>
      </c>
      <c r="M35" s="63">
        <v>10557</v>
      </c>
      <c r="N35" s="63">
        <v>1575</v>
      </c>
      <c r="O35" s="63">
        <v>1329</v>
      </c>
      <c r="P35" s="65">
        <f t="shared" si="3"/>
        <v>6.758465011286682</v>
      </c>
      <c r="Q35" s="63">
        <v>2735</v>
      </c>
      <c r="R35" s="62">
        <v>663</v>
      </c>
      <c r="S35" s="63">
        <v>2621</v>
      </c>
      <c r="T35" s="65">
        <f t="shared" si="4"/>
        <v>0.3573367106929618</v>
      </c>
    </row>
    <row r="36" spans="1:20">
      <c r="A36" s="62" t="s">
        <v>222</v>
      </c>
      <c r="B36" s="62">
        <v>2019</v>
      </c>
      <c r="C36" s="63">
        <v>10918</v>
      </c>
      <c r="D36" s="63">
        <v>3242</v>
      </c>
      <c r="E36" s="64">
        <f t="shared" si="0"/>
        <v>0.29694083165414908</v>
      </c>
      <c r="F36" s="63">
        <v>2796</v>
      </c>
      <c r="G36" s="64">
        <f t="shared" si="5"/>
        <v>0.25609085913170909</v>
      </c>
      <c r="H36" s="63">
        <v>4761</v>
      </c>
      <c r="I36" s="63">
        <v>-489</v>
      </c>
      <c r="J36" s="63">
        <f t="shared" si="6"/>
        <v>4272</v>
      </c>
      <c r="K36" s="64">
        <f t="shared" si="2"/>
        <v>0.39128045429565855</v>
      </c>
      <c r="L36" s="64">
        <f>J36/J32</f>
        <v>3.9228650137741048</v>
      </c>
      <c r="M36" s="63">
        <v>13690</v>
      </c>
      <c r="N36" s="62">
        <v>979</v>
      </c>
      <c r="O36" s="63">
        <v>1784</v>
      </c>
      <c r="P36" s="65">
        <f t="shared" si="3"/>
        <v>7.125</v>
      </c>
      <c r="Q36" s="63">
        <v>3625</v>
      </c>
      <c r="R36" s="62">
        <v>667</v>
      </c>
      <c r="S36" s="63">
        <v>3327</v>
      </c>
      <c r="T36" s="65">
        <f t="shared" si="4"/>
        <v>0.32618546173974089</v>
      </c>
    </row>
    <row r="37" spans="1:20">
      <c r="A37" s="62" t="s">
        <v>174</v>
      </c>
      <c r="B37" s="62">
        <v>2015</v>
      </c>
      <c r="C37" s="63">
        <v>114</v>
      </c>
      <c r="D37" s="62">
        <v>40</v>
      </c>
      <c r="E37" s="64">
        <f t="shared" si="0"/>
        <v>0.35087719298245612</v>
      </c>
      <c r="F37" s="62">
        <v>16</v>
      </c>
      <c r="G37" s="64">
        <f t="shared" si="5"/>
        <v>0.14035087719298245</v>
      </c>
      <c r="H37" s="62">
        <v>-37</v>
      </c>
      <c r="I37" s="62">
        <v>5</v>
      </c>
      <c r="J37" s="63">
        <f t="shared" ref="J37:J100" si="7">H37-I37</f>
        <v>-42</v>
      </c>
      <c r="K37" s="64">
        <f t="shared" si="2"/>
        <v>-0.36842105263157893</v>
      </c>
      <c r="L37" s="64">
        <f>J37/ABS(J37)</f>
        <v>-1</v>
      </c>
      <c r="M37" s="62">
        <v>200</v>
      </c>
      <c r="N37" s="62">
        <v>0</v>
      </c>
      <c r="O37" s="62">
        <v>119</v>
      </c>
      <c r="P37" s="65">
        <f t="shared" si="3"/>
        <v>1.680672268907563</v>
      </c>
      <c r="Q37" s="62">
        <v>10</v>
      </c>
      <c r="R37" s="62">
        <v>2</v>
      </c>
      <c r="S37" s="62">
        <v>53</v>
      </c>
      <c r="T37" s="65">
        <f t="shared" si="4"/>
        <v>0.82692307692307687</v>
      </c>
    </row>
    <row r="38" spans="1:20">
      <c r="A38" s="62" t="s">
        <v>174</v>
      </c>
      <c r="B38" s="62">
        <v>2016</v>
      </c>
      <c r="C38" s="63">
        <v>203</v>
      </c>
      <c r="D38" s="62">
        <v>61</v>
      </c>
      <c r="E38" s="64">
        <f t="shared" si="0"/>
        <v>0.30049261083743845</v>
      </c>
      <c r="F38" s="62">
        <v>20</v>
      </c>
      <c r="G38" s="64">
        <f t="shared" si="5"/>
        <v>9.8522167487684734E-2</v>
      </c>
      <c r="H38" s="62">
        <v>75</v>
      </c>
      <c r="I38" s="62">
        <v>7</v>
      </c>
      <c r="J38" s="63">
        <f t="shared" si="7"/>
        <v>68</v>
      </c>
      <c r="K38" s="64">
        <f t="shared" si="2"/>
        <v>0.33497536945812806</v>
      </c>
      <c r="L38" s="64">
        <f>J38/ABS(J37)</f>
        <v>1.6190476190476191</v>
      </c>
      <c r="M38" s="62">
        <v>516</v>
      </c>
      <c r="N38" s="62">
        <v>0</v>
      </c>
      <c r="O38" s="62">
        <v>344</v>
      </c>
      <c r="P38" s="65">
        <f t="shared" si="3"/>
        <v>1.5</v>
      </c>
      <c r="Q38" s="62">
        <v>21</v>
      </c>
      <c r="R38" s="62">
        <v>3</v>
      </c>
      <c r="S38" s="62">
        <v>29</v>
      </c>
      <c r="T38" s="65">
        <f t="shared" si="4"/>
        <v>0.69850187265917607</v>
      </c>
    </row>
    <row r="39" spans="1:20">
      <c r="A39" s="62" t="s">
        <v>174</v>
      </c>
      <c r="B39" s="62">
        <v>2017</v>
      </c>
      <c r="C39" s="63">
        <v>308</v>
      </c>
      <c r="D39" s="62">
        <v>77</v>
      </c>
      <c r="E39" s="64">
        <f t="shared" si="0"/>
        <v>0.25</v>
      </c>
      <c r="F39" s="62">
        <v>51</v>
      </c>
      <c r="G39" s="64">
        <f t="shared" si="5"/>
        <v>0.16558441558441558</v>
      </c>
      <c r="H39" s="62">
        <v>31</v>
      </c>
      <c r="I39" s="62">
        <v>10</v>
      </c>
      <c r="J39" s="63">
        <f t="shared" si="7"/>
        <v>21</v>
      </c>
      <c r="K39" s="64">
        <f t="shared" si="2"/>
        <v>6.8181818181818177E-2</v>
      </c>
      <c r="L39" s="64">
        <f>J39/ABS(J37)</f>
        <v>0.5</v>
      </c>
      <c r="M39" s="62">
        <v>766</v>
      </c>
      <c r="N39" s="62">
        <v>0</v>
      </c>
      <c r="O39" s="62">
        <v>519</v>
      </c>
      <c r="P39" s="65">
        <f t="shared" si="3"/>
        <v>1.4759152215799614</v>
      </c>
      <c r="Q39" s="62">
        <v>31</v>
      </c>
      <c r="R39" s="62">
        <v>8</v>
      </c>
      <c r="S39" s="62">
        <v>33</v>
      </c>
      <c r="T39" s="65">
        <f t="shared" si="4"/>
        <v>0.69961977186311786</v>
      </c>
    </row>
    <row r="40" spans="1:20">
      <c r="A40" s="62" t="s">
        <v>174</v>
      </c>
      <c r="B40" s="62">
        <v>2018</v>
      </c>
      <c r="C40" s="63">
        <v>477</v>
      </c>
      <c r="D40" s="62">
        <v>119</v>
      </c>
      <c r="E40" s="64">
        <f t="shared" si="0"/>
        <v>0.24947589098532494</v>
      </c>
      <c r="F40" s="62">
        <v>88</v>
      </c>
      <c r="G40" s="64">
        <f t="shared" si="5"/>
        <v>0.18448637316561844</v>
      </c>
      <c r="H40" s="62">
        <v>87</v>
      </c>
      <c r="I40" s="62">
        <v>20</v>
      </c>
      <c r="J40" s="63">
        <f t="shared" si="7"/>
        <v>67</v>
      </c>
      <c r="K40" s="64">
        <f t="shared" si="2"/>
        <v>0.14046121593291405</v>
      </c>
      <c r="L40" s="64">
        <f>J40/ABS(J37)</f>
        <v>1.5952380952380953</v>
      </c>
      <c r="M40" s="63">
        <v>1057</v>
      </c>
      <c r="N40" s="62">
        <v>0</v>
      </c>
      <c r="O40" s="62">
        <v>714</v>
      </c>
      <c r="P40" s="65">
        <f t="shared" si="3"/>
        <v>1.4803921568627452</v>
      </c>
      <c r="Q40" s="62">
        <v>61</v>
      </c>
      <c r="R40" s="62">
        <v>4</v>
      </c>
      <c r="S40" s="62">
        <v>9</v>
      </c>
      <c r="T40" s="65">
        <f t="shared" si="4"/>
        <v>0.64901256732495516</v>
      </c>
    </row>
    <row r="41" spans="1:20">
      <c r="A41" s="62" t="s">
        <v>174</v>
      </c>
      <c r="B41" s="62">
        <v>2019</v>
      </c>
      <c r="C41" s="63">
        <v>661</v>
      </c>
      <c r="D41" s="62">
        <v>134</v>
      </c>
      <c r="E41" s="64">
        <f t="shared" si="0"/>
        <v>0.20272314674735251</v>
      </c>
      <c r="F41" s="62">
        <v>108</v>
      </c>
      <c r="G41" s="64">
        <f t="shared" si="5"/>
        <v>0.16338880484114976</v>
      </c>
      <c r="H41" s="62">
        <v>60</v>
      </c>
      <c r="I41" s="62">
        <v>36</v>
      </c>
      <c r="J41" s="63">
        <f t="shared" si="7"/>
        <v>24</v>
      </c>
      <c r="K41" s="64">
        <f t="shared" si="2"/>
        <v>3.6308623298033284E-2</v>
      </c>
      <c r="L41" s="64">
        <f>J41/ABS(J37)</f>
        <v>0.5714285714285714</v>
      </c>
      <c r="M41" s="63">
        <v>1449</v>
      </c>
      <c r="N41" s="62">
        <v>0</v>
      </c>
      <c r="O41" s="62">
        <v>930</v>
      </c>
      <c r="P41" s="65">
        <f t="shared" si="3"/>
        <v>1.5580645161290323</v>
      </c>
      <c r="Q41" s="62">
        <v>280</v>
      </c>
      <c r="R41" s="62">
        <v>0</v>
      </c>
      <c r="S41" s="62">
        <v>186</v>
      </c>
      <c r="T41" s="65">
        <f t="shared" si="4"/>
        <v>0.64545980335454023</v>
      </c>
    </row>
    <row r="42" spans="1:20">
      <c r="A42" s="62" t="s">
        <v>34</v>
      </c>
      <c r="B42" s="62">
        <v>2015</v>
      </c>
      <c r="C42" s="63">
        <v>6667</v>
      </c>
      <c r="D42" s="62">
        <v>603</v>
      </c>
      <c r="E42" s="64">
        <f t="shared" si="0"/>
        <v>9.0445477726113693E-2</v>
      </c>
      <c r="F42" s="62">
        <v>-47</v>
      </c>
      <c r="G42" s="64">
        <f t="shared" si="5"/>
        <v>-7.0496475176241189E-3</v>
      </c>
      <c r="H42" s="63">
        <v>1613</v>
      </c>
      <c r="I42" s="62">
        <v>284</v>
      </c>
      <c r="J42" s="63">
        <f t="shared" si="7"/>
        <v>1329</v>
      </c>
      <c r="K42" s="64">
        <f t="shared" si="2"/>
        <v>0.19934003299835007</v>
      </c>
      <c r="L42" s="64">
        <f>J42/J42</f>
        <v>1</v>
      </c>
      <c r="M42" s="63">
        <v>4347</v>
      </c>
      <c r="N42" s="63">
        <v>0</v>
      </c>
      <c r="O42" s="63">
        <v>5617</v>
      </c>
      <c r="P42" s="65">
        <f>M42/O42</f>
        <v>0.77390065871461633</v>
      </c>
      <c r="Q42" s="63">
        <v>8423</v>
      </c>
      <c r="R42" s="63">
        <v>4503</v>
      </c>
      <c r="S42" s="63">
        <v>7768</v>
      </c>
      <c r="T42" s="65">
        <f t="shared" si="4"/>
        <v>1.6190879400024192</v>
      </c>
    </row>
    <row r="43" spans="1:20">
      <c r="A43" s="62" t="s">
        <v>34</v>
      </c>
      <c r="B43" s="62">
        <v>2016</v>
      </c>
      <c r="C43" s="63">
        <v>8392</v>
      </c>
      <c r="D43" s="62">
        <v>709</v>
      </c>
      <c r="E43" s="64">
        <f t="shared" si="0"/>
        <v>8.4485224022878933E-2</v>
      </c>
      <c r="F43" s="62">
        <v>180</v>
      </c>
      <c r="G43" s="64">
        <f t="shared" si="5"/>
        <v>2.1448999046711152E-2</v>
      </c>
      <c r="H43" s="63">
        <v>2162</v>
      </c>
      <c r="I43" s="62">
        <v>464</v>
      </c>
      <c r="J43" s="63">
        <f t="shared" si="7"/>
        <v>1698</v>
      </c>
      <c r="K43" s="64">
        <f t="shared" si="2"/>
        <v>0.20233555767397521</v>
      </c>
      <c r="L43" s="64">
        <f>J43/J42</f>
        <v>1.2776523702031604</v>
      </c>
      <c r="M43" s="63">
        <v>5997</v>
      </c>
      <c r="N43" s="63">
        <v>0</v>
      </c>
      <c r="O43" s="63">
        <v>7258</v>
      </c>
      <c r="P43" s="65">
        <f>M43/O43</f>
        <v>0.8262606778726922</v>
      </c>
      <c r="Q43" s="63">
        <v>11588</v>
      </c>
      <c r="R43" s="63">
        <v>8558</v>
      </c>
      <c r="S43" s="63">
        <v>10085</v>
      </c>
      <c r="T43" s="65">
        <f t="shared" si="4"/>
        <v>1.9212362911266201</v>
      </c>
    </row>
    <row r="44" spans="1:20">
      <c r="A44" s="62" t="s">
        <v>34</v>
      </c>
      <c r="B44" s="62">
        <v>2017</v>
      </c>
      <c r="C44" s="63">
        <v>10480</v>
      </c>
      <c r="D44" s="62">
        <v>987</v>
      </c>
      <c r="E44" s="64">
        <f t="shared" si="0"/>
        <v>9.4179389312977105E-2</v>
      </c>
      <c r="F44" s="62">
        <v>127</v>
      </c>
      <c r="G44" s="64">
        <f t="shared" si="5"/>
        <v>1.2118320610687024E-2</v>
      </c>
      <c r="H44" s="63">
        <v>2738</v>
      </c>
      <c r="I44" s="62">
        <v>534</v>
      </c>
      <c r="J44" s="63">
        <f t="shared" si="7"/>
        <v>2204</v>
      </c>
      <c r="K44" s="64">
        <f t="shared" si="2"/>
        <v>0.21030534351145039</v>
      </c>
      <c r="L44" s="64">
        <f>J44/J42</f>
        <v>1.6583897667419112</v>
      </c>
      <c r="M44" s="63">
        <v>9290</v>
      </c>
      <c r="N44" s="63">
        <v>0</v>
      </c>
      <c r="O44" s="63">
        <v>10130</v>
      </c>
      <c r="P44" s="65">
        <f>M44/O44</f>
        <v>0.91707798617966441</v>
      </c>
      <c r="Q44" s="63">
        <v>11719</v>
      </c>
      <c r="R44" s="63">
        <v>8309</v>
      </c>
      <c r="S44" s="63">
        <v>11621</v>
      </c>
      <c r="T44" s="65">
        <f t="shared" si="4"/>
        <v>1.7126771653543307</v>
      </c>
    </row>
    <row r="45" spans="1:20">
      <c r="A45" s="62" t="s">
        <v>34</v>
      </c>
      <c r="B45" s="62">
        <v>2018</v>
      </c>
      <c r="C45" s="63">
        <v>13282</v>
      </c>
      <c r="D45" s="63">
        <v>1524</v>
      </c>
      <c r="E45" s="64">
        <f t="shared" si="0"/>
        <v>0.11474175575967475</v>
      </c>
      <c r="F45" s="63">
        <v>1110</v>
      </c>
      <c r="G45" s="64">
        <f t="shared" si="5"/>
        <v>8.3571751242282791E-2</v>
      </c>
      <c r="H45" s="63">
        <v>3398</v>
      </c>
      <c r="I45" s="62">
        <v>595</v>
      </c>
      <c r="J45" s="63">
        <f t="shared" si="7"/>
        <v>2803</v>
      </c>
      <c r="K45" s="64">
        <f t="shared" si="2"/>
        <v>0.21103749435326005</v>
      </c>
      <c r="L45" s="64">
        <f>J45/J42</f>
        <v>2.1091045899172309</v>
      </c>
      <c r="M45" s="63">
        <v>10683</v>
      </c>
      <c r="N45" s="63">
        <v>0</v>
      </c>
      <c r="O45" s="63">
        <v>11255</v>
      </c>
      <c r="P45" s="65">
        <f>M45/O45</f>
        <v>0.94917814304753445</v>
      </c>
      <c r="Q45" s="63">
        <v>20054</v>
      </c>
      <c r="R45" s="63">
        <v>14926</v>
      </c>
      <c r="S45" s="63">
        <v>15132</v>
      </c>
      <c r="T45" s="65">
        <f t="shared" si="4"/>
        <v>1.6689013977610525</v>
      </c>
    </row>
    <row r="46" spans="1:20">
      <c r="A46" s="62" t="s">
        <v>34</v>
      </c>
      <c r="B46" s="62">
        <v>2019</v>
      </c>
      <c r="C46" s="63">
        <v>17098</v>
      </c>
      <c r="D46" s="63">
        <v>2598</v>
      </c>
      <c r="E46" s="64">
        <f t="shared" si="0"/>
        <v>0.15194759621008305</v>
      </c>
      <c r="F46" s="62">
        <v>126</v>
      </c>
      <c r="G46" s="64">
        <f t="shared" si="5"/>
        <v>7.3692829570710027E-3</v>
      </c>
      <c r="H46" s="63">
        <v>4331</v>
      </c>
      <c r="I46" s="62">
        <v>643</v>
      </c>
      <c r="J46" s="63">
        <f t="shared" si="7"/>
        <v>3688</v>
      </c>
      <c r="K46" s="64">
        <f t="shared" si="2"/>
        <v>0.21569774242601475</v>
      </c>
      <c r="L46" s="64">
        <f>J46/J42</f>
        <v>2.7750188111361926</v>
      </c>
      <c r="M46" s="63">
        <v>15963</v>
      </c>
      <c r="N46" s="63">
        <v>0</v>
      </c>
      <c r="O46" s="63">
        <v>14845</v>
      </c>
      <c r="P46" s="65">
        <f>M46/O46</f>
        <v>1.0753115527113506</v>
      </c>
      <c r="Q46" s="63">
        <v>39163</v>
      </c>
      <c r="R46" s="63">
        <v>29858</v>
      </c>
      <c r="S46" s="63">
        <v>21241</v>
      </c>
      <c r="T46" s="65">
        <f t="shared" si="4"/>
        <v>1.4281304416653475</v>
      </c>
    </row>
    <row r="47" spans="1:20">
      <c r="A47" s="62" t="s">
        <v>195</v>
      </c>
      <c r="B47" s="62">
        <v>2015</v>
      </c>
      <c r="C47" s="63">
        <v>4046</v>
      </c>
      <c r="D47" s="62">
        <v>-294</v>
      </c>
      <c r="E47" s="64">
        <f t="shared" si="0"/>
        <v>-7.2664359861591699E-2</v>
      </c>
      <c r="F47" s="62">
        <v>-889</v>
      </c>
      <c r="G47" s="64">
        <f t="shared" si="5"/>
        <v>-0.21972318339100347</v>
      </c>
      <c r="H47" s="62">
        <v>-524</v>
      </c>
      <c r="I47" s="63">
        <v>1635</v>
      </c>
      <c r="J47" s="63">
        <f t="shared" si="7"/>
        <v>-2159</v>
      </c>
      <c r="K47" s="64">
        <f t="shared" si="2"/>
        <v>-0.53361344537815125</v>
      </c>
      <c r="L47" s="64">
        <f>J47/ABS(J47)</f>
        <v>-1</v>
      </c>
      <c r="M47" s="63">
        <v>2792</v>
      </c>
      <c r="N47" s="63">
        <v>1278</v>
      </c>
      <c r="O47" s="63">
        <v>2816</v>
      </c>
      <c r="P47" s="65">
        <f t="shared" ref="P47:P51" si="8">M47/O47</f>
        <v>0.99147727272727271</v>
      </c>
      <c r="Q47" s="63">
        <v>5301</v>
      </c>
      <c r="R47" s="63">
        <v>0</v>
      </c>
      <c r="S47" s="63">
        <v>4145</v>
      </c>
      <c r="T47" s="65">
        <f t="shared" si="4"/>
        <v>1.0214233308877476</v>
      </c>
    </row>
    <row r="48" spans="1:20">
      <c r="A48" s="62" t="s">
        <v>195</v>
      </c>
      <c r="B48" s="62">
        <v>2016</v>
      </c>
      <c r="C48" s="63">
        <v>7000</v>
      </c>
      <c r="D48" s="62">
        <v>301</v>
      </c>
      <c r="E48" s="64">
        <f t="shared" si="0"/>
        <v>4.2999999999999997E-2</v>
      </c>
      <c r="F48" s="62">
        <v>-675</v>
      </c>
      <c r="G48" s="64">
        <f t="shared" si="5"/>
        <v>-9.6428571428571433E-2</v>
      </c>
      <c r="H48" s="62">
        <v>-124</v>
      </c>
      <c r="I48" s="63">
        <v>1440</v>
      </c>
      <c r="J48" s="63">
        <f t="shared" si="7"/>
        <v>-1564</v>
      </c>
      <c r="K48" s="64">
        <f t="shared" si="2"/>
        <v>-0.22342857142857142</v>
      </c>
      <c r="L48" s="64">
        <f>J48/ABS(J47)</f>
        <v>-0.72440944881889768</v>
      </c>
      <c r="M48" s="63">
        <v>6260</v>
      </c>
      <c r="N48" s="63">
        <v>2067</v>
      </c>
      <c r="O48" s="63">
        <v>5827</v>
      </c>
      <c r="P48" s="65">
        <f t="shared" si="8"/>
        <v>1.0743092500429037</v>
      </c>
      <c r="Q48" s="63">
        <v>16404</v>
      </c>
      <c r="R48" s="62">
        <v>376</v>
      </c>
      <c r="S48" s="63">
        <v>10923</v>
      </c>
      <c r="T48" s="65">
        <f t="shared" si="4"/>
        <v>0.82834676821126552</v>
      </c>
    </row>
    <row r="49" spans="1:20">
      <c r="A49" s="62" t="s">
        <v>195</v>
      </c>
      <c r="B49" s="62">
        <v>2017</v>
      </c>
      <c r="C49" s="63">
        <v>11759</v>
      </c>
      <c r="D49" s="62">
        <v>71</v>
      </c>
      <c r="E49" s="64">
        <f t="shared" si="0"/>
        <v>6.0379283952717066E-3</v>
      </c>
      <c r="F49" s="63">
        <v>-1961</v>
      </c>
      <c r="G49" s="64">
        <f t="shared" si="5"/>
        <v>-0.16676588145250446</v>
      </c>
      <c r="H49" s="62">
        <v>-61</v>
      </c>
      <c r="I49" s="63">
        <v>4081</v>
      </c>
      <c r="J49" s="63">
        <f t="shared" si="7"/>
        <v>-4142</v>
      </c>
      <c r="K49" s="64">
        <f t="shared" si="2"/>
        <v>-0.35224083680585083</v>
      </c>
      <c r="L49" s="64">
        <f>J49/ABS(J47)</f>
        <v>-1.9184807781380269</v>
      </c>
      <c r="M49" s="63">
        <v>6571</v>
      </c>
      <c r="N49" s="63">
        <v>2264</v>
      </c>
      <c r="O49" s="63">
        <v>7675</v>
      </c>
      <c r="P49" s="65">
        <f t="shared" si="8"/>
        <v>0.85615635179153093</v>
      </c>
      <c r="Q49" s="63">
        <v>22085</v>
      </c>
      <c r="R49" s="62">
        <v>422</v>
      </c>
      <c r="S49" s="63">
        <v>15348</v>
      </c>
      <c r="T49" s="65">
        <f t="shared" si="4"/>
        <v>0.88652291105121295</v>
      </c>
    </row>
    <row r="50" spans="1:20">
      <c r="A50" s="62" t="s">
        <v>195</v>
      </c>
      <c r="B50" s="62">
        <v>2018</v>
      </c>
      <c r="C50" s="63">
        <v>21461</v>
      </c>
      <c r="D50" s="63">
        <v>1635</v>
      </c>
      <c r="E50" s="64">
        <f t="shared" si="0"/>
        <v>7.6184707143189978E-2</v>
      </c>
      <c r="F50" s="62">
        <v>-976</v>
      </c>
      <c r="G50" s="64">
        <f t="shared" si="5"/>
        <v>-4.5477843530124414E-2</v>
      </c>
      <c r="H50" s="63">
        <v>2098</v>
      </c>
      <c r="I50" s="63">
        <v>2320</v>
      </c>
      <c r="J50" s="63">
        <f t="shared" si="7"/>
        <v>-222</v>
      </c>
      <c r="K50" s="64">
        <f t="shared" si="2"/>
        <v>-1.0344345557056987E-2</v>
      </c>
      <c r="L50" s="64">
        <f>J50/ABS(J47)</f>
        <v>-0.10282538212135248</v>
      </c>
      <c r="M50" s="63">
        <v>8306</v>
      </c>
      <c r="N50" s="63">
        <v>3113</v>
      </c>
      <c r="O50" s="63">
        <v>9992</v>
      </c>
      <c r="P50" s="65">
        <f t="shared" si="8"/>
        <v>0.83126501200960767</v>
      </c>
      <c r="Q50" s="63">
        <v>21433</v>
      </c>
      <c r="R50" s="62">
        <v>351</v>
      </c>
      <c r="S50" s="63">
        <v>13434</v>
      </c>
      <c r="T50" s="65">
        <f t="shared" si="4"/>
        <v>0.89156993339676494</v>
      </c>
    </row>
    <row r="51" spans="1:20">
      <c r="A51" s="62" t="s">
        <v>195</v>
      </c>
      <c r="B51" s="62">
        <v>2019</v>
      </c>
      <c r="C51" s="63">
        <v>24578</v>
      </c>
      <c r="D51" s="63">
        <v>2187</v>
      </c>
      <c r="E51" s="64">
        <f t="shared" si="0"/>
        <v>8.8982016437464395E-2</v>
      </c>
      <c r="F51" s="62">
        <v>-870</v>
      </c>
      <c r="G51" s="64">
        <f t="shared" si="5"/>
        <v>-3.5397509968264303E-2</v>
      </c>
      <c r="H51" s="63">
        <v>2405</v>
      </c>
      <c r="I51" s="63">
        <v>1432</v>
      </c>
      <c r="J51" s="63">
        <f t="shared" si="7"/>
        <v>973</v>
      </c>
      <c r="K51" s="64">
        <f t="shared" si="2"/>
        <v>3.9588249654162258E-2</v>
      </c>
      <c r="L51" s="64">
        <f>J51/ABS(J47)</f>
        <v>0.45067160722556737</v>
      </c>
      <c r="M51" s="63">
        <v>12103</v>
      </c>
      <c r="N51" s="63">
        <v>3552</v>
      </c>
      <c r="O51" s="63">
        <v>10667</v>
      </c>
      <c r="P51" s="65">
        <f t="shared" si="8"/>
        <v>1.1346207931002157</v>
      </c>
      <c r="Q51" s="63">
        <v>22206</v>
      </c>
      <c r="R51" s="62">
        <v>537</v>
      </c>
      <c r="S51" s="63">
        <v>15532</v>
      </c>
      <c r="T51" s="65">
        <f t="shared" si="4"/>
        <v>0.86694242223692919</v>
      </c>
    </row>
    <row r="52" spans="1:20">
      <c r="A52" s="62" t="s">
        <v>46</v>
      </c>
      <c r="B52" s="62">
        <v>2014</v>
      </c>
      <c r="C52" s="63">
        <v>12293</v>
      </c>
      <c r="D52" s="63">
        <v>4472</v>
      </c>
      <c r="E52" s="64">
        <f t="shared" si="0"/>
        <v>0.36378426746929149</v>
      </c>
      <c r="F52" s="63">
        <v>3914</v>
      </c>
      <c r="G52" s="64">
        <f t="shared" si="5"/>
        <v>0.31839258114374036</v>
      </c>
      <c r="H52" s="63">
        <v>6649</v>
      </c>
      <c r="I52" s="63">
        <v>1243</v>
      </c>
      <c r="J52" s="63">
        <f t="shared" si="7"/>
        <v>5406</v>
      </c>
      <c r="K52" s="64">
        <f t="shared" si="2"/>
        <v>0.43976246644431788</v>
      </c>
      <c r="L52" s="64">
        <f>J52/J52</f>
        <v>1</v>
      </c>
      <c r="M52" s="63">
        <v>22925</v>
      </c>
      <c r="N52" s="62">
        <v>0</v>
      </c>
      <c r="O52" s="63">
        <v>6400</v>
      </c>
      <c r="P52" s="65">
        <f>(M52-N52)/O52</f>
        <v>3.58203125</v>
      </c>
      <c r="Q52" s="63">
        <v>18281</v>
      </c>
      <c r="R52" s="63">
        <v>8326</v>
      </c>
      <c r="S52" s="63">
        <v>15706</v>
      </c>
      <c r="T52" s="65">
        <f t="shared" si="4"/>
        <v>0.67232360097323596</v>
      </c>
    </row>
    <row r="53" spans="1:20">
      <c r="A53" s="62" t="s">
        <v>46</v>
      </c>
      <c r="B53" s="62">
        <v>2015</v>
      </c>
      <c r="C53" s="63">
        <v>15686</v>
      </c>
      <c r="D53" s="63">
        <v>5623</v>
      </c>
      <c r="E53" s="64">
        <f t="shared" si="0"/>
        <v>0.35847252326915718</v>
      </c>
      <c r="F53" s="63">
        <v>11083</v>
      </c>
      <c r="G53" s="64">
        <f t="shared" si="5"/>
        <v>0.70655361468825706</v>
      </c>
      <c r="H53" s="63">
        <v>8815</v>
      </c>
      <c r="I53" s="63">
        <v>1682</v>
      </c>
      <c r="J53" s="63">
        <f t="shared" si="7"/>
        <v>7133</v>
      </c>
      <c r="K53" s="64">
        <f t="shared" si="2"/>
        <v>0.45473670789238813</v>
      </c>
      <c r="L53" s="64">
        <f>J53/J52</f>
        <v>1.3194598594154643</v>
      </c>
      <c r="M53" s="63">
        <v>20792</v>
      </c>
      <c r="N53" s="62">
        <v>0</v>
      </c>
      <c r="O53" s="63">
        <v>8071</v>
      </c>
      <c r="P53" s="65">
        <f t="shared" ref="P53:P111" si="9">(M53-N53)/O53</f>
        <v>2.5761367860240365</v>
      </c>
      <c r="Q53" s="63">
        <v>35729</v>
      </c>
      <c r="R53" s="63">
        <v>13941</v>
      </c>
      <c r="S53" s="63">
        <v>17767</v>
      </c>
      <c r="T53" s="65">
        <f t="shared" si="4"/>
        <v>0.60681070925317049</v>
      </c>
    </row>
    <row r="54" spans="1:20">
      <c r="A54" s="62" t="s">
        <v>46</v>
      </c>
      <c r="B54" s="62">
        <v>2016</v>
      </c>
      <c r="C54" s="63">
        <v>22994</v>
      </c>
      <c r="D54" s="63">
        <v>9058</v>
      </c>
      <c r="E54" s="64">
        <f t="shared" si="0"/>
        <v>0.39392885100460989</v>
      </c>
      <c r="F54" s="63">
        <v>6345</v>
      </c>
      <c r="G54" s="64">
        <f t="shared" si="5"/>
        <v>0.27594154996955728</v>
      </c>
      <c r="H54" s="63">
        <v>11670</v>
      </c>
      <c r="I54" s="63">
        <v>2549</v>
      </c>
      <c r="J54" s="63">
        <f t="shared" si="7"/>
        <v>9121</v>
      </c>
      <c r="K54" s="64">
        <f t="shared" si="2"/>
        <v>0.3966686961816126</v>
      </c>
      <c r="L54" s="64">
        <f>J54/J52</f>
        <v>1.6871994080651129</v>
      </c>
      <c r="M54" s="63">
        <v>26516</v>
      </c>
      <c r="N54" s="62">
        <v>139</v>
      </c>
      <c r="O54" s="63">
        <v>13623</v>
      </c>
      <c r="P54" s="65">
        <f t="shared" si="9"/>
        <v>1.9362108199368715</v>
      </c>
      <c r="Q54" s="63">
        <v>47114</v>
      </c>
      <c r="R54" s="63">
        <v>20952</v>
      </c>
      <c r="S54" s="63">
        <v>26542</v>
      </c>
      <c r="T54" s="65">
        <f t="shared" si="4"/>
        <v>0.764479719827176</v>
      </c>
    </row>
    <row r="55" spans="1:20">
      <c r="A55" s="62" t="s">
        <v>46</v>
      </c>
      <c r="B55" s="62">
        <v>2017</v>
      </c>
      <c r="C55" s="63">
        <v>39898</v>
      </c>
      <c r="D55" s="63">
        <v>14640</v>
      </c>
      <c r="E55" s="64">
        <f t="shared" si="0"/>
        <v>0.36693568599929821</v>
      </c>
      <c r="F55" s="63">
        <v>10201</v>
      </c>
      <c r="G55" s="64">
        <f t="shared" si="5"/>
        <v>0.25567697628953834</v>
      </c>
      <c r="H55" s="63">
        <v>19955</v>
      </c>
      <c r="I55" s="63">
        <v>4757</v>
      </c>
      <c r="J55" s="63">
        <f t="shared" si="7"/>
        <v>15198</v>
      </c>
      <c r="K55" s="64">
        <f t="shared" si="2"/>
        <v>0.38092134944107475</v>
      </c>
      <c r="L55" s="64">
        <f>J55/J52</f>
        <v>2.8113207547169812</v>
      </c>
      <c r="M55" s="63">
        <v>40949</v>
      </c>
      <c r="N55" s="62">
        <v>723</v>
      </c>
      <c r="O55" s="63">
        <v>21651</v>
      </c>
      <c r="P55" s="65">
        <f t="shared" si="9"/>
        <v>1.857928040275276</v>
      </c>
      <c r="Q55" s="63">
        <v>73378</v>
      </c>
      <c r="R55" s="63">
        <v>31724</v>
      </c>
      <c r="S55" s="63">
        <v>44270</v>
      </c>
      <c r="T55" s="65">
        <f t="shared" si="4"/>
        <v>0.80509281875915972</v>
      </c>
    </row>
    <row r="56" spans="1:20">
      <c r="A56" s="62" t="s">
        <v>46</v>
      </c>
      <c r="B56" s="62">
        <v>2018</v>
      </c>
      <c r="C56" s="63">
        <v>56150</v>
      </c>
      <c r="D56" s="63">
        <v>14281</v>
      </c>
      <c r="E56" s="64">
        <f t="shared" si="0"/>
        <v>0.2543365983971505</v>
      </c>
      <c r="F56" s="63">
        <v>13052</v>
      </c>
      <c r="G56" s="64">
        <f t="shared" si="5"/>
        <v>0.23244879786286732</v>
      </c>
      <c r="H56" s="63">
        <v>22495</v>
      </c>
      <c r="I56" s="63">
        <v>5287</v>
      </c>
      <c r="J56" s="63">
        <f t="shared" si="7"/>
        <v>17208</v>
      </c>
      <c r="K56" s="64">
        <f t="shared" si="2"/>
        <v>0.30646482635796973</v>
      </c>
      <c r="L56" s="64">
        <f>J56/J52</f>
        <v>3.1831298557158711</v>
      </c>
      <c r="M56" s="63">
        <v>40271</v>
      </c>
      <c r="N56" s="63">
        <v>1272</v>
      </c>
      <c r="O56" s="63">
        <v>30943</v>
      </c>
      <c r="P56" s="65">
        <f t="shared" si="9"/>
        <v>1.2603496752092558</v>
      </c>
      <c r="Q56" s="63">
        <v>103525</v>
      </c>
      <c r="R56" s="63">
        <v>50605</v>
      </c>
      <c r="S56" s="63">
        <v>52101</v>
      </c>
      <c r="T56" s="65">
        <f t="shared" si="4"/>
        <v>0.90344760060488039</v>
      </c>
    </row>
    <row r="57" spans="1:20">
      <c r="A57" s="62" t="s">
        <v>218</v>
      </c>
      <c r="B57" s="62">
        <v>2015</v>
      </c>
      <c r="C57" s="63">
        <v>55355</v>
      </c>
      <c r="D57" s="63">
        <v>23067</v>
      </c>
      <c r="E57" s="64">
        <f t="shared" si="0"/>
        <v>0.41671032427061694</v>
      </c>
      <c r="F57" s="63">
        <v>11420</v>
      </c>
      <c r="G57" s="64">
        <f t="shared" si="5"/>
        <v>0.20630476018426519</v>
      </c>
      <c r="H57" s="63">
        <v>19017</v>
      </c>
      <c r="I57" s="63">
        <v>7326</v>
      </c>
      <c r="J57" s="63">
        <f t="shared" si="7"/>
        <v>11691</v>
      </c>
      <c r="K57" s="64">
        <f t="shared" si="2"/>
        <v>0.21120043356517026</v>
      </c>
      <c r="L57" s="64">
        <f>J57/J57</f>
        <v>1</v>
      </c>
      <c r="M57" s="63">
        <v>40356</v>
      </c>
      <c r="N57" s="63">
        <v>5167</v>
      </c>
      <c r="O57" s="63">
        <v>15667</v>
      </c>
      <c r="P57" s="65">
        <f t="shared" si="9"/>
        <v>2.2460585944979896</v>
      </c>
      <c r="Q57" s="63">
        <v>62709</v>
      </c>
      <c r="R57" s="63">
        <v>15265</v>
      </c>
      <c r="S57" s="63">
        <v>41083</v>
      </c>
      <c r="T57" s="65">
        <f t="shared" si="4"/>
        <v>0.68677162876816766</v>
      </c>
    </row>
    <row r="58" spans="1:20">
      <c r="A58" s="62" t="s">
        <v>218</v>
      </c>
      <c r="B58" s="62">
        <v>2016</v>
      </c>
      <c r="C58" s="63">
        <v>59387</v>
      </c>
      <c r="D58" s="63">
        <v>23037</v>
      </c>
      <c r="E58" s="64">
        <f t="shared" si="0"/>
        <v>0.38791317965211242</v>
      </c>
      <c r="F58" s="63">
        <v>10316</v>
      </c>
      <c r="G58" s="64">
        <f t="shared" si="5"/>
        <v>0.17370805058346103</v>
      </c>
      <c r="H58" s="63">
        <v>21808</v>
      </c>
      <c r="I58" s="63">
        <v>9625</v>
      </c>
      <c r="J58" s="63">
        <f t="shared" si="7"/>
        <v>12183</v>
      </c>
      <c r="K58" s="64">
        <f t="shared" si="2"/>
        <v>0.20514590735346119</v>
      </c>
      <c r="L58" s="64">
        <f>J58/J57</f>
        <v>1.0420836540928919</v>
      </c>
      <c r="M58" s="63">
        <v>35508</v>
      </c>
      <c r="N58" s="63">
        <v>5553</v>
      </c>
      <c r="O58" s="63">
        <v>20302</v>
      </c>
      <c r="P58" s="65">
        <f t="shared" si="9"/>
        <v>1.4754703970052212</v>
      </c>
      <c r="Q58" s="63">
        <v>77819</v>
      </c>
      <c r="R58" s="63">
        <v>23593</v>
      </c>
      <c r="S58" s="63">
        <v>46219</v>
      </c>
      <c r="T58" s="65">
        <f t="shared" si="4"/>
        <v>0.79021394376403231</v>
      </c>
    </row>
    <row r="59" spans="1:20">
      <c r="A59" s="62" t="s">
        <v>218</v>
      </c>
      <c r="B59" s="62">
        <v>2017</v>
      </c>
      <c r="C59" s="63">
        <v>62761</v>
      </c>
      <c r="D59" s="63">
        <v>26617</v>
      </c>
      <c r="E59" s="64">
        <f t="shared" si="0"/>
        <v>0.42410095441436563</v>
      </c>
      <c r="F59" s="63">
        <v>9601</v>
      </c>
      <c r="G59" s="64">
        <f t="shared" si="5"/>
        <v>0.15297716734914996</v>
      </c>
      <c r="H59" s="63">
        <v>22110</v>
      </c>
      <c r="I59" s="63">
        <v>11778</v>
      </c>
      <c r="J59" s="63">
        <f t="shared" si="7"/>
        <v>10332</v>
      </c>
      <c r="K59" s="64">
        <f t="shared" si="2"/>
        <v>0.16462452797119231</v>
      </c>
      <c r="L59" s="64">
        <f>J59/J57</f>
        <v>0.88375673595073134</v>
      </c>
      <c r="M59" s="63">
        <v>29500</v>
      </c>
      <c r="N59" s="63">
        <v>6983</v>
      </c>
      <c r="O59" s="63">
        <v>17421</v>
      </c>
      <c r="P59" s="65">
        <f t="shared" si="9"/>
        <v>1.2925205212100339</v>
      </c>
      <c r="Q59" s="63">
        <v>93749</v>
      </c>
      <c r="R59" s="63">
        <v>37134</v>
      </c>
      <c r="S59" s="63">
        <v>53364</v>
      </c>
      <c r="T59" s="65">
        <f t="shared" si="4"/>
        <v>0.89451802052267093</v>
      </c>
    </row>
    <row r="60" spans="1:20">
      <c r="A60" s="62" t="s">
        <v>218</v>
      </c>
      <c r="B60" s="62">
        <v>2018</v>
      </c>
      <c r="C60" s="63">
        <v>70848</v>
      </c>
      <c r="D60" s="63">
        <v>32329</v>
      </c>
      <c r="E60" s="64">
        <f t="shared" si="0"/>
        <v>0.45631492773261068</v>
      </c>
      <c r="F60" s="63">
        <v>21053</v>
      </c>
      <c r="G60" s="64">
        <f t="shared" si="5"/>
        <v>0.29715729448961159</v>
      </c>
      <c r="H60" s="63">
        <v>29432</v>
      </c>
      <c r="I60" s="63">
        <v>15181</v>
      </c>
      <c r="J60" s="63">
        <f t="shared" si="7"/>
        <v>14251</v>
      </c>
      <c r="K60" s="64">
        <f t="shared" si="2"/>
        <v>0.20114893857271907</v>
      </c>
      <c r="L60" s="64">
        <f>J60/J57</f>
        <v>1.2189718586947225</v>
      </c>
      <c r="M60" s="63">
        <v>28787</v>
      </c>
      <c r="N60" s="63">
        <v>7253</v>
      </c>
      <c r="O60" s="63">
        <v>16626</v>
      </c>
      <c r="P60" s="65">
        <f t="shared" si="9"/>
        <v>1.2952002887044389</v>
      </c>
      <c r="Q60" s="63">
        <v>99176</v>
      </c>
      <c r="R60" s="63">
        <v>36349</v>
      </c>
      <c r="S60" s="63">
        <v>52981</v>
      </c>
      <c r="T60" s="65">
        <f t="shared" si="4"/>
        <v>0.82510875878664314</v>
      </c>
    </row>
    <row r="61" spans="1:20">
      <c r="A61" s="62" t="s">
        <v>218</v>
      </c>
      <c r="B61" s="62">
        <v>2019</v>
      </c>
      <c r="C61" s="63">
        <v>71965</v>
      </c>
      <c r="D61" s="63">
        <v>33254</v>
      </c>
      <c r="E61" s="64">
        <f t="shared" si="0"/>
        <v>0.46208573612172582</v>
      </c>
      <c r="F61" s="63">
        <v>21048</v>
      </c>
      <c r="G61" s="64">
        <f t="shared" si="5"/>
        <v>0.2924755089279511</v>
      </c>
      <c r="H61" s="63">
        <v>33145</v>
      </c>
      <c r="I61" s="63">
        <v>16213</v>
      </c>
      <c r="J61" s="63">
        <f t="shared" si="7"/>
        <v>16932</v>
      </c>
      <c r="K61" s="64">
        <f t="shared" si="2"/>
        <v>0.23528103939414993</v>
      </c>
      <c r="L61" s="64">
        <f t="shared" ref="L61" si="10">J61/J57</f>
        <v>1.4482935591480626</v>
      </c>
      <c r="M61" s="63">
        <v>31239</v>
      </c>
      <c r="N61" s="63">
        <v>8744</v>
      </c>
      <c r="O61" s="63">
        <v>22310</v>
      </c>
      <c r="P61" s="65">
        <f t="shared" si="9"/>
        <v>1.0082922456297625</v>
      </c>
      <c r="Q61" s="63">
        <v>105285</v>
      </c>
      <c r="R61" s="63">
        <v>37103</v>
      </c>
      <c r="S61" s="63">
        <v>58865</v>
      </c>
      <c r="T61" s="65">
        <f t="shared" si="4"/>
        <v>0.89521047233587348</v>
      </c>
    </row>
    <row r="62" spans="1:20">
      <c r="A62" s="62" t="s">
        <v>225</v>
      </c>
      <c r="B62" s="62">
        <v>2015</v>
      </c>
      <c r="C62" s="63">
        <v>3991</v>
      </c>
      <c r="D62" s="62">
        <v>-222</v>
      </c>
      <c r="E62" s="64">
        <f t="shared" si="0"/>
        <v>-5.56251566023553E-2</v>
      </c>
      <c r="F62" s="62">
        <v>-660</v>
      </c>
      <c r="G62" s="64">
        <f t="shared" si="5"/>
        <v>-0.16537208719619143</v>
      </c>
      <c r="H62" s="62">
        <v>-226</v>
      </c>
      <c r="I62" s="62">
        <v>96</v>
      </c>
      <c r="J62" s="63">
        <f t="shared" si="7"/>
        <v>-322</v>
      </c>
      <c r="K62" s="64">
        <f t="shared" si="2"/>
        <v>-8.068153345026309E-2</v>
      </c>
      <c r="L62" s="64">
        <f>J62/ABS(J62)</f>
        <v>-1</v>
      </c>
      <c r="M62" s="63">
        <v>2320</v>
      </c>
      <c r="N62" s="62">
        <v>678</v>
      </c>
      <c r="O62" s="63">
        <v>1403</v>
      </c>
      <c r="P62" s="65">
        <f t="shared" si="9"/>
        <v>1.1703492516037064</v>
      </c>
      <c r="Q62" s="62">
        <v>789</v>
      </c>
      <c r="R62" s="62">
        <v>467</v>
      </c>
      <c r="S62" s="63">
        <v>3521</v>
      </c>
      <c r="T62" s="65">
        <f t="shared" si="4"/>
        <v>2.5071283095723014</v>
      </c>
    </row>
    <row r="63" spans="1:20">
      <c r="A63" s="62" t="s">
        <v>225</v>
      </c>
      <c r="B63" s="62">
        <v>2016</v>
      </c>
      <c r="C63" s="63">
        <v>4272</v>
      </c>
      <c r="D63" s="62">
        <v>-59</v>
      </c>
      <c r="E63" s="64">
        <f t="shared" si="0"/>
        <v>-1.3810861423220975E-2</v>
      </c>
      <c r="F63" s="62">
        <v>-497</v>
      </c>
      <c r="G63" s="64">
        <f t="shared" si="5"/>
        <v>-0.11633895131086143</v>
      </c>
      <c r="H63" s="62">
        <v>90</v>
      </c>
      <c r="I63" s="62">
        <v>77</v>
      </c>
      <c r="J63" s="63">
        <f t="shared" si="7"/>
        <v>13</v>
      </c>
      <c r="K63" s="64">
        <f t="shared" si="2"/>
        <v>3.0430711610486892E-3</v>
      </c>
      <c r="L63" s="64">
        <f>J63/ABS(J62)</f>
        <v>4.0372670807453416E-2</v>
      </c>
      <c r="M63" s="63">
        <v>2530</v>
      </c>
      <c r="N63" s="62">
        <v>751</v>
      </c>
      <c r="O63" s="63">
        <v>1346</v>
      </c>
      <c r="P63" s="65">
        <f t="shared" si="9"/>
        <v>1.3216939078751857</v>
      </c>
      <c r="Q63" s="62">
        <v>791</v>
      </c>
      <c r="R63" s="62">
        <v>521</v>
      </c>
      <c r="S63" s="63">
        <v>2905</v>
      </c>
      <c r="T63" s="65">
        <f t="shared" si="4"/>
        <v>2.0746705710102491</v>
      </c>
    </row>
    <row r="64" spans="1:20">
      <c r="A64" s="62" t="s">
        <v>225</v>
      </c>
      <c r="B64" s="62">
        <v>2017</v>
      </c>
      <c r="C64" s="63">
        <v>5329</v>
      </c>
      <c r="D64" s="62">
        <v>229</v>
      </c>
      <c r="E64" s="64">
        <f t="shared" si="0"/>
        <v>4.2972415087258395E-2</v>
      </c>
      <c r="F64" s="62">
        <v>43</v>
      </c>
      <c r="G64" s="64">
        <f t="shared" si="5"/>
        <v>8.0690561080878215E-3</v>
      </c>
      <c r="H64" s="62">
        <v>68</v>
      </c>
      <c r="I64" s="62">
        <v>113</v>
      </c>
      <c r="J64" s="63">
        <f t="shared" si="7"/>
        <v>-45</v>
      </c>
      <c r="K64" s="64">
        <f t="shared" si="2"/>
        <v>-8.4443610433477204E-3</v>
      </c>
      <c r="L64" s="64">
        <f>J64/ABS(J62)</f>
        <v>-0.13975155279503104</v>
      </c>
      <c r="M64" s="63">
        <v>2622</v>
      </c>
      <c r="N64" s="63">
        <v>739</v>
      </c>
      <c r="O64" s="63">
        <v>1486</v>
      </c>
      <c r="P64" s="65">
        <f t="shared" si="9"/>
        <v>1.2671601615074024</v>
      </c>
      <c r="Q64" s="62">
        <v>918</v>
      </c>
      <c r="R64" s="62">
        <v>528</v>
      </c>
      <c r="S64" s="63">
        <v>2929</v>
      </c>
      <c r="T64" s="65">
        <f t="shared" si="4"/>
        <v>1.9423669159700836</v>
      </c>
    </row>
    <row r="65" spans="1:20">
      <c r="A65" s="62" t="s">
        <v>225</v>
      </c>
      <c r="B65" s="62">
        <v>2018</v>
      </c>
      <c r="C65" s="63">
        <v>6475</v>
      </c>
      <c r="D65" s="62">
        <v>590</v>
      </c>
      <c r="E65" s="64">
        <f t="shared" si="0"/>
        <v>9.1119691119691121E-2</v>
      </c>
      <c r="F65" s="62">
        <v>337</v>
      </c>
      <c r="G65" s="64">
        <f t="shared" si="5"/>
        <v>5.2046332046332043E-2</v>
      </c>
      <c r="H65" s="62">
        <v>34</v>
      </c>
      <c r="I65" s="62">
        <v>163</v>
      </c>
      <c r="J65" s="63">
        <f t="shared" si="7"/>
        <v>-129</v>
      </c>
      <c r="K65" s="64">
        <f t="shared" si="2"/>
        <v>-1.9922779922779923E-2</v>
      </c>
      <c r="L65" s="64">
        <f>J65/ABS(J62)</f>
        <v>-0.40062111801242234</v>
      </c>
      <c r="M65" s="63">
        <v>3540</v>
      </c>
      <c r="N65" s="63">
        <v>845</v>
      </c>
      <c r="O65" s="63">
        <v>1984</v>
      </c>
      <c r="P65" s="65">
        <f t="shared" si="9"/>
        <v>1.358366935483871</v>
      </c>
      <c r="Q65" s="63">
        <v>1016</v>
      </c>
      <c r="R65" s="62">
        <v>515</v>
      </c>
      <c r="S65" s="63">
        <v>3290</v>
      </c>
      <c r="T65" s="65">
        <f t="shared" si="4"/>
        <v>1.6501877346683353</v>
      </c>
    </row>
    <row r="66" spans="1:20">
      <c r="A66" s="62" t="s">
        <v>225</v>
      </c>
      <c r="B66" s="62">
        <v>2019</v>
      </c>
      <c r="C66" s="63">
        <v>6731</v>
      </c>
      <c r="D66" s="62">
        <v>725</v>
      </c>
      <c r="E66" s="64">
        <f t="shared" ref="E66:E129" si="11">D66/C66</f>
        <v>0.10771059277967612</v>
      </c>
      <c r="F66" s="62">
        <v>341</v>
      </c>
      <c r="G66" s="64">
        <f t="shared" si="5"/>
        <v>5.0661120190164909E-2</v>
      </c>
      <c r="H66" s="62">
        <v>493</v>
      </c>
      <c r="I66" s="62">
        <v>217</v>
      </c>
      <c r="J66" s="63">
        <f t="shared" si="7"/>
        <v>276</v>
      </c>
      <c r="K66" s="64">
        <f t="shared" ref="K66:K129" si="12">J66/C66</f>
        <v>4.1004308423711187E-2</v>
      </c>
      <c r="L66" s="64">
        <f>J66/ABS(J62)</f>
        <v>0.8571428571428571</v>
      </c>
      <c r="M66" s="63">
        <v>4597</v>
      </c>
      <c r="N66" s="62">
        <v>982</v>
      </c>
      <c r="O66" s="63">
        <v>2359</v>
      </c>
      <c r="P66" s="65">
        <f t="shared" si="9"/>
        <v>1.5324289953370072</v>
      </c>
      <c r="Q66" s="63">
        <v>1431</v>
      </c>
      <c r="R66" s="62">
        <v>499</v>
      </c>
      <c r="S66" s="63">
        <v>3201</v>
      </c>
      <c r="T66" s="65">
        <f t="shared" ref="T66:T100" si="13">(O66+S66)/(M66+Q66-N66-R66)</f>
        <v>1.2227842533538598</v>
      </c>
    </row>
    <row r="67" spans="1:20">
      <c r="A67" s="62" t="s">
        <v>251</v>
      </c>
      <c r="B67" s="62">
        <v>2015</v>
      </c>
      <c r="C67" s="63">
        <v>13880</v>
      </c>
      <c r="D67" s="63">
        <v>9572</v>
      </c>
      <c r="E67" s="64">
        <f t="shared" si="11"/>
        <v>0.68962536023054755</v>
      </c>
      <c r="F67" s="63">
        <v>6313</v>
      </c>
      <c r="G67" s="64">
        <f t="shared" ref="G67:G111" si="14">F67/C67</f>
        <v>0.45482708933717581</v>
      </c>
      <c r="H67" s="63">
        <v>6584</v>
      </c>
      <c r="I67" s="62">
        <v>414</v>
      </c>
      <c r="J67" s="63">
        <f t="shared" si="7"/>
        <v>6170</v>
      </c>
      <c r="K67" s="64">
        <f t="shared" si="12"/>
        <v>0.44452449567723346</v>
      </c>
      <c r="L67" s="64">
        <f>J67/J67</f>
        <v>1</v>
      </c>
      <c r="M67" s="63">
        <v>10892</v>
      </c>
      <c r="N67" s="63">
        <v>0</v>
      </c>
      <c r="O67" s="63">
        <v>5374</v>
      </c>
      <c r="P67" s="65">
        <f t="shared" si="9"/>
        <v>2.026795682917752</v>
      </c>
      <c r="Q67" s="63">
        <v>29344</v>
      </c>
      <c r="R67" s="63">
        <v>23186</v>
      </c>
      <c r="S67" s="63">
        <v>5020</v>
      </c>
      <c r="T67" s="65">
        <f t="shared" si="13"/>
        <v>0.60961876832844575</v>
      </c>
    </row>
    <row r="68" spans="1:20">
      <c r="A68" s="62" t="s">
        <v>251</v>
      </c>
      <c r="B68" s="62">
        <v>2016</v>
      </c>
      <c r="C68" s="63">
        <v>15082</v>
      </c>
      <c r="D68" s="63">
        <v>10526</v>
      </c>
      <c r="E68" s="64">
        <f t="shared" si="11"/>
        <v>0.69791804800424351</v>
      </c>
      <c r="F68" s="63">
        <v>5929</v>
      </c>
      <c r="G68" s="64">
        <f t="shared" si="14"/>
        <v>0.39311762365733988</v>
      </c>
      <c r="H68" s="63">
        <v>5574</v>
      </c>
      <c r="I68" s="62">
        <v>523</v>
      </c>
      <c r="J68" s="63">
        <f t="shared" si="7"/>
        <v>5051</v>
      </c>
      <c r="K68" s="64">
        <f t="shared" si="12"/>
        <v>0.3349025328205808</v>
      </c>
      <c r="L68" s="64">
        <f>J68/J67</f>
        <v>0.81863857374392224</v>
      </c>
      <c r="M68" s="63">
        <v>14313</v>
      </c>
      <c r="N68" s="63">
        <v>0</v>
      </c>
      <c r="O68" s="63">
        <v>8046</v>
      </c>
      <c r="P68" s="65">
        <f t="shared" si="9"/>
        <v>1.7788963460104399</v>
      </c>
      <c r="Q68" s="63">
        <v>49722</v>
      </c>
      <c r="R68" s="63">
        <v>42300</v>
      </c>
      <c r="S68" s="63">
        <v>23077</v>
      </c>
      <c r="T68" s="65">
        <f t="shared" si="13"/>
        <v>1.4319300667126753</v>
      </c>
    </row>
    <row r="69" spans="1:20">
      <c r="A69" s="62" t="s">
        <v>251</v>
      </c>
      <c r="B69" s="62">
        <v>2017</v>
      </c>
      <c r="C69" s="63">
        <v>18358</v>
      </c>
      <c r="D69" s="63">
        <v>12911</v>
      </c>
      <c r="E69" s="64">
        <f t="shared" si="11"/>
        <v>0.70329011874931913</v>
      </c>
      <c r="F69" s="63">
        <v>6467</v>
      </c>
      <c r="G69" s="64">
        <f t="shared" si="14"/>
        <v>0.35227148926898355</v>
      </c>
      <c r="H69" s="63">
        <v>9208</v>
      </c>
      <c r="I69" s="62">
        <v>707</v>
      </c>
      <c r="J69" s="63">
        <f t="shared" si="7"/>
        <v>8501</v>
      </c>
      <c r="K69" s="64">
        <f t="shared" si="12"/>
        <v>0.46306787231724589</v>
      </c>
      <c r="L69" s="64">
        <f>J69/J67</f>
        <v>1.3777957860615884</v>
      </c>
      <c r="M69" s="63">
        <v>19023</v>
      </c>
      <c r="N69" s="63">
        <v>0</v>
      </c>
      <c r="O69" s="63">
        <v>9994</v>
      </c>
      <c r="P69" s="65">
        <f t="shared" si="9"/>
        <v>1.9034420652391435</v>
      </c>
      <c r="Q69" s="63">
        <v>48954</v>
      </c>
      <c r="R69" s="63">
        <v>42958</v>
      </c>
      <c r="S69" s="63">
        <v>25223</v>
      </c>
      <c r="T69" s="65">
        <f t="shared" si="13"/>
        <v>1.407610216235661</v>
      </c>
    </row>
    <row r="70" spans="1:20">
      <c r="A70" s="62" t="s">
        <v>251</v>
      </c>
      <c r="B70" s="62">
        <v>2018</v>
      </c>
      <c r="C70" s="63">
        <v>20609</v>
      </c>
      <c r="D70" s="63">
        <v>14369</v>
      </c>
      <c r="E70" s="64">
        <f t="shared" si="11"/>
        <v>0.6972196613130186</v>
      </c>
      <c r="F70" s="63">
        <v>9942</v>
      </c>
      <c r="G70" s="64">
        <f t="shared" si="14"/>
        <v>0.48241059731185404</v>
      </c>
      <c r="H70" s="63">
        <v>12713</v>
      </c>
      <c r="I70" s="62">
        <v>718</v>
      </c>
      <c r="J70" s="63">
        <f t="shared" si="7"/>
        <v>11995</v>
      </c>
      <c r="K70" s="64">
        <f t="shared" si="12"/>
        <v>0.58202726963947793</v>
      </c>
      <c r="L70" s="64">
        <f>J70/J67</f>
        <v>1.9440842787682333</v>
      </c>
      <c r="M70" s="63">
        <v>18216</v>
      </c>
      <c r="N70" s="63">
        <v>0</v>
      </c>
      <c r="O70" s="63">
        <v>11305</v>
      </c>
      <c r="P70" s="65">
        <f t="shared" si="9"/>
        <v>1.6113224237063246</v>
      </c>
      <c r="Q70" s="63">
        <v>51009</v>
      </c>
      <c r="R70" s="63">
        <v>42752</v>
      </c>
      <c r="S70" s="63">
        <v>23914</v>
      </c>
      <c r="T70" s="65">
        <f t="shared" si="13"/>
        <v>1.3303743436709099</v>
      </c>
    </row>
    <row r="71" spans="1:20">
      <c r="A71" s="62" t="s">
        <v>251</v>
      </c>
      <c r="B71" s="62">
        <v>2019</v>
      </c>
      <c r="C71" s="63">
        <v>22977</v>
      </c>
      <c r="D71" s="63">
        <v>16057</v>
      </c>
      <c r="E71" s="64">
        <f t="shared" si="11"/>
        <v>0.69882926404665535</v>
      </c>
      <c r="F71" s="63">
        <v>11650</v>
      </c>
      <c r="G71" s="64">
        <f t="shared" si="14"/>
        <v>0.50702876789833307</v>
      </c>
      <c r="H71" s="63">
        <v>12784</v>
      </c>
      <c r="I71" s="62">
        <v>756</v>
      </c>
      <c r="J71" s="63">
        <f t="shared" si="7"/>
        <v>12028</v>
      </c>
      <c r="K71" s="64">
        <f t="shared" si="12"/>
        <v>0.52348000174087128</v>
      </c>
      <c r="L71" s="64">
        <f>J71/J67</f>
        <v>1.9494327390599675</v>
      </c>
      <c r="M71" s="63">
        <v>20970</v>
      </c>
      <c r="N71" s="63">
        <v>0</v>
      </c>
      <c r="O71" s="63">
        <v>13415</v>
      </c>
      <c r="P71" s="65">
        <f t="shared" si="9"/>
        <v>1.563175549757734</v>
      </c>
      <c r="Q71" s="63">
        <v>51604</v>
      </c>
      <c r="R71" s="63">
        <v>42436</v>
      </c>
      <c r="S71" s="63">
        <v>24475</v>
      </c>
      <c r="T71" s="65">
        <f t="shared" si="13"/>
        <v>1.2572168027075452</v>
      </c>
    </row>
    <row r="72" spans="1:20">
      <c r="A72" s="62" t="s">
        <v>62</v>
      </c>
      <c r="B72" s="62">
        <v>2015</v>
      </c>
      <c r="C72" s="63">
        <v>1267</v>
      </c>
      <c r="D72" s="63">
        <v>-142</v>
      </c>
      <c r="E72" s="64">
        <f t="shared" si="11"/>
        <v>-0.11207576953433307</v>
      </c>
      <c r="F72" s="63">
        <v>-180</v>
      </c>
      <c r="G72" s="64">
        <f t="shared" si="14"/>
        <v>-0.1420678768745067</v>
      </c>
      <c r="H72" s="62">
        <v>28</v>
      </c>
      <c r="I72" s="62">
        <v>37</v>
      </c>
      <c r="J72" s="63">
        <f t="shared" si="7"/>
        <v>-9</v>
      </c>
      <c r="K72" s="64">
        <f t="shared" si="12"/>
        <v>-7.1033938437253356E-3</v>
      </c>
      <c r="L72" s="64">
        <f>J72/ABS(J72)</f>
        <v>-1</v>
      </c>
      <c r="M72" s="62">
        <v>706</v>
      </c>
      <c r="N72" s="62">
        <v>12</v>
      </c>
      <c r="O72" s="62">
        <v>334</v>
      </c>
      <c r="P72" s="65">
        <f t="shared" si="9"/>
        <v>2.0778443113772456</v>
      </c>
      <c r="Q72" s="62">
        <v>189</v>
      </c>
      <c r="R72" s="62">
        <v>83</v>
      </c>
      <c r="S72" s="62">
        <v>53</v>
      </c>
      <c r="T72" s="65">
        <f t="shared" si="13"/>
        <v>0.48375000000000001</v>
      </c>
    </row>
    <row r="73" spans="1:20">
      <c r="A73" s="62" t="s">
        <v>62</v>
      </c>
      <c r="B73" s="62">
        <v>2016</v>
      </c>
      <c r="C73" s="63">
        <v>1709</v>
      </c>
      <c r="D73" s="63">
        <v>-85</v>
      </c>
      <c r="E73" s="64">
        <f t="shared" si="11"/>
        <v>-4.9736688121708603E-2</v>
      </c>
      <c r="F73" s="62">
        <v>-172</v>
      </c>
      <c r="G73" s="64">
        <f t="shared" si="14"/>
        <v>-0.10064365125804564</v>
      </c>
      <c r="H73" s="62">
        <v>23</v>
      </c>
      <c r="I73" s="62">
        <v>25</v>
      </c>
      <c r="J73" s="63">
        <f t="shared" si="7"/>
        <v>-2</v>
      </c>
      <c r="K73" s="64">
        <f t="shared" si="12"/>
        <v>-1.1702750146284377E-3</v>
      </c>
      <c r="L73" s="64">
        <f>J73/ABS(J72)</f>
        <v>-0.22222222222222221</v>
      </c>
      <c r="M73" s="63">
        <v>1001</v>
      </c>
      <c r="N73" s="62">
        <v>14</v>
      </c>
      <c r="O73" s="62">
        <v>577</v>
      </c>
      <c r="P73" s="65">
        <f t="shared" si="9"/>
        <v>1.7105719237435009</v>
      </c>
      <c r="Q73" s="63">
        <v>210</v>
      </c>
      <c r="R73" s="62">
        <v>76</v>
      </c>
      <c r="S73" s="62">
        <v>58</v>
      </c>
      <c r="T73" s="65">
        <f t="shared" si="13"/>
        <v>0.56645851917930423</v>
      </c>
    </row>
    <row r="74" spans="1:20">
      <c r="A74" s="62" t="s">
        <v>62</v>
      </c>
      <c r="B74" s="62">
        <v>2017</v>
      </c>
      <c r="C74" s="63">
        <v>2214</v>
      </c>
      <c r="D74" s="63">
        <v>-17</v>
      </c>
      <c r="E74" s="64">
        <f t="shared" si="11"/>
        <v>-7.6784101174345075E-3</v>
      </c>
      <c r="F74" s="63">
        <v>-63</v>
      </c>
      <c r="G74" s="64">
        <f t="shared" si="14"/>
        <v>-2.8455284552845527E-2</v>
      </c>
      <c r="H74" s="62">
        <v>128</v>
      </c>
      <c r="I74" s="62">
        <v>26</v>
      </c>
      <c r="J74" s="63">
        <f t="shared" si="7"/>
        <v>102</v>
      </c>
      <c r="K74" s="64">
        <f t="shared" si="12"/>
        <v>4.6070460704607047E-2</v>
      </c>
      <c r="L74" s="64">
        <f>J74/ABS(J72)</f>
        <v>11.333333333333334</v>
      </c>
      <c r="M74" s="63">
        <v>1778</v>
      </c>
      <c r="N74" s="62">
        <v>17</v>
      </c>
      <c r="O74" s="62">
        <v>973</v>
      </c>
      <c r="P74" s="65">
        <f t="shared" si="9"/>
        <v>1.8098663926002057</v>
      </c>
      <c r="Q74" s="63">
        <v>409</v>
      </c>
      <c r="R74" s="62">
        <v>73</v>
      </c>
      <c r="S74" s="62">
        <v>428</v>
      </c>
      <c r="T74" s="65">
        <f t="shared" si="13"/>
        <v>0.66809728183118744</v>
      </c>
    </row>
    <row r="75" spans="1:20">
      <c r="A75" s="62" t="s">
        <v>62</v>
      </c>
      <c r="B75" s="62">
        <v>2018</v>
      </c>
      <c r="C75" s="63">
        <v>3298</v>
      </c>
      <c r="D75" s="63">
        <v>29</v>
      </c>
      <c r="E75" s="64">
        <f t="shared" si="11"/>
        <v>8.7932080048514251E-3</v>
      </c>
      <c r="F75" s="63">
        <v>-38</v>
      </c>
      <c r="G75" s="64">
        <f t="shared" si="14"/>
        <v>-1.1522134627046696E-2</v>
      </c>
      <c r="H75" s="62">
        <v>295</v>
      </c>
      <c r="I75" s="62">
        <v>61</v>
      </c>
      <c r="J75" s="63">
        <f t="shared" si="7"/>
        <v>234</v>
      </c>
      <c r="K75" s="64">
        <f t="shared" si="12"/>
        <v>7.0952092177077014E-2</v>
      </c>
      <c r="L75" s="64">
        <f>J75/ABS(J72)</f>
        <v>26</v>
      </c>
      <c r="M75" s="63">
        <v>2112</v>
      </c>
      <c r="N75" s="62">
        <v>29</v>
      </c>
      <c r="O75" s="63">
        <v>1019</v>
      </c>
      <c r="P75" s="65">
        <f t="shared" si="9"/>
        <v>2.0441609421000981</v>
      </c>
      <c r="Q75" s="63">
        <v>1169</v>
      </c>
      <c r="R75" s="62">
        <v>339</v>
      </c>
      <c r="S75" s="63">
        <v>1142</v>
      </c>
      <c r="T75" s="65">
        <f t="shared" si="13"/>
        <v>0.74184689323721253</v>
      </c>
    </row>
    <row r="76" spans="1:20">
      <c r="A76" s="62" t="s">
        <v>62</v>
      </c>
      <c r="B76" s="62">
        <v>2019</v>
      </c>
      <c r="C76" s="63">
        <v>4714</v>
      </c>
      <c r="D76" s="63">
        <v>112</v>
      </c>
      <c r="E76" s="64">
        <f t="shared" si="11"/>
        <v>2.3759015697921087E-2</v>
      </c>
      <c r="F76" s="63">
        <v>375</v>
      </c>
      <c r="G76" s="64">
        <f t="shared" si="14"/>
        <v>7.9550275774289345E-2</v>
      </c>
      <c r="H76" s="63">
        <v>466</v>
      </c>
      <c r="I76" s="63">
        <v>62</v>
      </c>
      <c r="J76" s="63">
        <f t="shared" si="7"/>
        <v>404</v>
      </c>
      <c r="K76" s="64">
        <f t="shared" si="12"/>
        <v>8.5702163767501061E-2</v>
      </c>
      <c r="L76" s="64">
        <f>J76/ABS(J72)</f>
        <v>44.888888888888886</v>
      </c>
      <c r="M76" s="63">
        <v>3220</v>
      </c>
      <c r="N76" s="62">
        <v>48</v>
      </c>
      <c r="O76" s="63">
        <v>1694</v>
      </c>
      <c r="P76" s="65">
        <f t="shared" si="9"/>
        <v>1.8724911452184179</v>
      </c>
      <c r="Q76" s="63">
        <v>1331</v>
      </c>
      <c r="R76" s="62">
        <v>335</v>
      </c>
      <c r="S76" s="63">
        <v>1142</v>
      </c>
      <c r="T76" s="65">
        <f t="shared" si="13"/>
        <v>0.68042226487523993</v>
      </c>
    </row>
    <row r="77" spans="1:20">
      <c r="A77" s="62" t="s">
        <v>365</v>
      </c>
      <c r="B77" s="62">
        <v>2015</v>
      </c>
      <c r="C77" s="63">
        <v>4664</v>
      </c>
      <c r="D77" s="63">
        <v>1829</v>
      </c>
      <c r="E77" s="64">
        <f t="shared" si="11"/>
        <v>0.39215265866209265</v>
      </c>
      <c r="F77" s="62">
        <v>881</v>
      </c>
      <c r="G77" s="64">
        <f t="shared" si="14"/>
        <v>0.18889365351629503</v>
      </c>
      <c r="H77" s="63">
        <v>1192</v>
      </c>
      <c r="I77" s="62">
        <v>111</v>
      </c>
      <c r="J77" s="63">
        <f t="shared" si="7"/>
        <v>1081</v>
      </c>
      <c r="K77" s="64">
        <f t="shared" si="12"/>
        <v>0.23177530017152659</v>
      </c>
      <c r="L77" s="64">
        <f>J77/J77</f>
        <v>1</v>
      </c>
      <c r="M77" s="63">
        <v>3387</v>
      </c>
      <c r="N77" s="62">
        <v>128</v>
      </c>
      <c r="O77" s="63">
        <v>2611</v>
      </c>
      <c r="P77" s="65">
        <f t="shared" si="9"/>
        <v>1.2481807736499426</v>
      </c>
      <c r="Q77" s="63">
        <v>11864</v>
      </c>
      <c r="R77" s="63">
        <v>7657</v>
      </c>
      <c r="S77" s="63">
        <v>4572</v>
      </c>
      <c r="T77" s="65">
        <f t="shared" si="13"/>
        <v>0.96209482989552642</v>
      </c>
    </row>
    <row r="78" spans="1:20">
      <c r="A78" s="62" t="s">
        <v>365</v>
      </c>
      <c r="B78" s="62">
        <v>2016</v>
      </c>
      <c r="C78" s="63">
        <v>6608</v>
      </c>
      <c r="D78" s="63">
        <v>2623</v>
      </c>
      <c r="E78" s="64">
        <f t="shared" si="11"/>
        <v>0.39694309927360777</v>
      </c>
      <c r="F78" s="62">
        <v>962</v>
      </c>
      <c r="G78" s="64">
        <f t="shared" si="14"/>
        <v>0.14558111380145278</v>
      </c>
      <c r="H78" s="63">
        <v>2155</v>
      </c>
      <c r="I78" s="62">
        <v>136</v>
      </c>
      <c r="J78" s="63">
        <f t="shared" si="7"/>
        <v>2019</v>
      </c>
      <c r="K78" s="64">
        <f t="shared" si="12"/>
        <v>0.30553874092009686</v>
      </c>
      <c r="L78" s="64">
        <f>J78/J77</f>
        <v>1.8677150786308974</v>
      </c>
      <c r="M78" s="63">
        <v>4830</v>
      </c>
      <c r="N78" s="62">
        <v>49</v>
      </c>
      <c r="O78" s="63">
        <v>2656</v>
      </c>
      <c r="P78" s="65">
        <f t="shared" si="9"/>
        <v>1.8000753012048192</v>
      </c>
      <c r="Q78" s="63">
        <v>12622</v>
      </c>
      <c r="R78" s="63">
        <v>11680</v>
      </c>
      <c r="S78" s="63">
        <v>5677</v>
      </c>
      <c r="T78" s="65">
        <f t="shared" si="13"/>
        <v>1.4560545168617858</v>
      </c>
    </row>
    <row r="79" spans="1:20">
      <c r="A79" s="62" t="s">
        <v>365</v>
      </c>
      <c r="B79" s="62">
        <v>2017</v>
      </c>
      <c r="C79" s="63">
        <v>7017</v>
      </c>
      <c r="D79" s="63">
        <v>2581</v>
      </c>
      <c r="E79" s="64">
        <f t="shared" si="11"/>
        <v>0.36782100612797491</v>
      </c>
      <c r="F79" s="62">
        <v>273</v>
      </c>
      <c r="G79" s="64">
        <f t="shared" si="14"/>
        <v>3.8905515177426249E-2</v>
      </c>
      <c r="H79" s="63">
        <v>2213</v>
      </c>
      <c r="I79" s="62">
        <v>155</v>
      </c>
      <c r="J79" s="63">
        <f t="shared" si="7"/>
        <v>2058</v>
      </c>
      <c r="K79" s="64">
        <f t="shared" si="12"/>
        <v>0.29328772979905943</v>
      </c>
      <c r="L79" s="64">
        <f>J79/J77</f>
        <v>1.9037927844588345</v>
      </c>
      <c r="M79" s="63">
        <v>6520</v>
      </c>
      <c r="N79" s="62">
        <v>46</v>
      </c>
      <c r="O79" s="63">
        <v>3663</v>
      </c>
      <c r="P79" s="65">
        <f t="shared" si="9"/>
        <v>1.7674037674037675</v>
      </c>
      <c r="Q79" s="63">
        <v>12148</v>
      </c>
      <c r="R79" s="63">
        <v>10955</v>
      </c>
      <c r="S79" s="63">
        <v>5543</v>
      </c>
      <c r="T79" s="65">
        <f t="shared" si="13"/>
        <v>1.2007304030259554</v>
      </c>
    </row>
    <row r="80" spans="1:20">
      <c r="A80" s="62" t="s">
        <v>365</v>
      </c>
      <c r="B80" s="62">
        <v>2018</v>
      </c>
      <c r="C80" s="63">
        <v>7500</v>
      </c>
      <c r="D80" s="63">
        <v>3008</v>
      </c>
      <c r="E80" s="64">
        <f t="shared" si="11"/>
        <v>0.40106666666666668</v>
      </c>
      <c r="F80" s="63">
        <v>1813</v>
      </c>
      <c r="G80" s="64">
        <f t="shared" si="14"/>
        <v>0.24173333333333333</v>
      </c>
      <c r="H80" s="63">
        <v>1790</v>
      </c>
      <c r="I80" s="62">
        <v>131</v>
      </c>
      <c r="J80" s="63">
        <f t="shared" si="7"/>
        <v>1659</v>
      </c>
      <c r="K80" s="64">
        <f t="shared" si="12"/>
        <v>0.22120000000000001</v>
      </c>
      <c r="L80" s="64">
        <f>J80/J77</f>
        <v>1.5346901017576318</v>
      </c>
      <c r="M80" s="63">
        <v>6106</v>
      </c>
      <c r="N80" s="62">
        <v>43</v>
      </c>
      <c r="O80" s="63">
        <v>2642</v>
      </c>
      <c r="P80" s="65">
        <f t="shared" si="9"/>
        <v>2.2948523845571538</v>
      </c>
      <c r="Q80" s="63">
        <v>11729</v>
      </c>
      <c r="R80" s="63">
        <v>10562</v>
      </c>
      <c r="S80" s="63">
        <v>3836</v>
      </c>
      <c r="T80" s="65">
        <f t="shared" si="13"/>
        <v>0.89598893499308441</v>
      </c>
    </row>
    <row r="81" spans="1:20">
      <c r="A81" s="62" t="s">
        <v>365</v>
      </c>
      <c r="B81" s="62">
        <v>2019</v>
      </c>
      <c r="C81" s="63">
        <v>6489</v>
      </c>
      <c r="D81" s="63">
        <v>2313</v>
      </c>
      <c r="E81" s="64">
        <f t="shared" si="11"/>
        <v>0.3564493758668516</v>
      </c>
      <c r="F81" s="63">
        <v>1503</v>
      </c>
      <c r="G81" s="64">
        <f t="shared" si="14"/>
        <v>0.23162274618585299</v>
      </c>
      <c r="H81" s="63">
        <v>1831</v>
      </c>
      <c r="I81" s="62">
        <v>116</v>
      </c>
      <c r="J81" s="63">
        <f t="shared" si="7"/>
        <v>1715</v>
      </c>
      <c r="K81" s="64">
        <f t="shared" si="12"/>
        <v>0.26429341963322545</v>
      </c>
      <c r="L81" s="64">
        <f>J81/J77</f>
        <v>1.5864939870490287</v>
      </c>
      <c r="M81" s="63">
        <v>7292</v>
      </c>
      <c r="N81" s="62">
        <v>32</v>
      </c>
      <c r="O81" s="63">
        <v>2915</v>
      </c>
      <c r="P81" s="65">
        <f t="shared" si="9"/>
        <v>2.4905660377358489</v>
      </c>
      <c r="Q81" s="63">
        <v>12553</v>
      </c>
      <c r="R81" s="63">
        <v>10349</v>
      </c>
      <c r="S81" s="63">
        <v>4125</v>
      </c>
      <c r="T81" s="65">
        <f t="shared" si="13"/>
        <v>0.74387151310228228</v>
      </c>
    </row>
    <row r="82" spans="1:20">
      <c r="A82" s="62" t="s">
        <v>366</v>
      </c>
      <c r="B82" s="62">
        <v>2015</v>
      </c>
      <c r="C82" s="63">
        <v>4515</v>
      </c>
      <c r="D82" s="63">
        <v>1265</v>
      </c>
      <c r="E82" s="64">
        <f t="shared" si="11"/>
        <v>0.28017718715393136</v>
      </c>
      <c r="F82" s="62">
        <v>875</v>
      </c>
      <c r="G82" s="64">
        <f t="shared" si="14"/>
        <v>0.19379844961240311</v>
      </c>
      <c r="H82" s="63">
        <v>1067</v>
      </c>
      <c r="I82" s="62">
        <v>95</v>
      </c>
      <c r="J82" s="63">
        <f t="shared" si="7"/>
        <v>972</v>
      </c>
      <c r="K82" s="64">
        <f t="shared" si="12"/>
        <v>0.21528239202657806</v>
      </c>
      <c r="L82" s="64">
        <f>J82/J82</f>
        <v>1</v>
      </c>
      <c r="M82" s="63">
        <v>3720</v>
      </c>
      <c r="N82" s="62">
        <v>36</v>
      </c>
      <c r="O82" s="63">
        <v>2747</v>
      </c>
      <c r="P82" s="65">
        <f t="shared" si="9"/>
        <v>1.3410993811430652</v>
      </c>
      <c r="Q82" s="63">
        <v>2427</v>
      </c>
      <c r="R82" s="63">
        <v>1824</v>
      </c>
      <c r="S82" s="62">
        <v>364</v>
      </c>
      <c r="T82" s="65">
        <f t="shared" si="13"/>
        <v>0.7256822953114066</v>
      </c>
    </row>
    <row r="83" spans="1:20">
      <c r="A83" s="62" t="s">
        <v>366</v>
      </c>
      <c r="B83" s="62">
        <v>2016</v>
      </c>
      <c r="C83" s="63">
        <v>4396</v>
      </c>
      <c r="D83" s="63">
        <v>1071</v>
      </c>
      <c r="E83" s="64">
        <f t="shared" si="11"/>
        <v>0.24363057324840764</v>
      </c>
      <c r="F83" s="63">
        <v>1156</v>
      </c>
      <c r="G83" s="64">
        <f t="shared" si="14"/>
        <v>0.26296633303002731</v>
      </c>
      <c r="H83" s="63">
        <v>1223</v>
      </c>
      <c r="I83" s="62">
        <v>93</v>
      </c>
      <c r="J83" s="63">
        <f t="shared" si="7"/>
        <v>1130</v>
      </c>
      <c r="K83" s="64">
        <f t="shared" si="12"/>
        <v>0.2570518653321201</v>
      </c>
      <c r="L83" s="64">
        <f>J83/J82</f>
        <v>1.1625514403292181</v>
      </c>
      <c r="M83" s="63">
        <v>4354</v>
      </c>
      <c r="N83" s="62">
        <v>33</v>
      </c>
      <c r="O83" s="63">
        <v>2418</v>
      </c>
      <c r="P83" s="65">
        <f t="shared" si="9"/>
        <v>1.7870140612076095</v>
      </c>
      <c r="Q83" s="63">
        <v>2696</v>
      </c>
      <c r="R83" s="63">
        <v>1767</v>
      </c>
      <c r="S83" s="63">
        <v>1236</v>
      </c>
      <c r="T83" s="65">
        <f t="shared" si="13"/>
        <v>0.69599999999999995</v>
      </c>
    </row>
    <row r="84" spans="1:20">
      <c r="A84" s="62" t="s">
        <v>366</v>
      </c>
      <c r="B84" s="62">
        <v>2017</v>
      </c>
      <c r="C84" s="63">
        <v>4845</v>
      </c>
      <c r="D84" s="63">
        <v>1388</v>
      </c>
      <c r="E84" s="64">
        <f t="shared" si="11"/>
        <v>0.2864809081527348</v>
      </c>
      <c r="F84" s="62">
        <v>967</v>
      </c>
      <c r="G84" s="64">
        <f t="shared" si="14"/>
        <v>0.19958720330237359</v>
      </c>
      <c r="H84" s="63">
        <v>1383</v>
      </c>
      <c r="I84" s="62">
        <v>123</v>
      </c>
      <c r="J84" s="63">
        <f t="shared" si="7"/>
        <v>1260</v>
      </c>
      <c r="K84" s="64">
        <f t="shared" si="12"/>
        <v>0.26006191950464397</v>
      </c>
      <c r="L84" s="64">
        <f>J84/J82</f>
        <v>1.2962962962962963</v>
      </c>
      <c r="M84" s="63">
        <v>5199</v>
      </c>
      <c r="N84" s="62">
        <v>0</v>
      </c>
      <c r="O84" s="63">
        <v>2415</v>
      </c>
      <c r="P84" s="65">
        <f t="shared" si="9"/>
        <v>2.1527950310559008</v>
      </c>
      <c r="Q84" s="63">
        <v>2519</v>
      </c>
      <c r="R84" s="63">
        <v>1715</v>
      </c>
      <c r="S84" s="63">
        <v>1243</v>
      </c>
      <c r="T84" s="65">
        <f t="shared" si="13"/>
        <v>0.60936198567382971</v>
      </c>
    </row>
    <row r="85" spans="1:20">
      <c r="A85" s="62" t="s">
        <v>366</v>
      </c>
      <c r="B85" s="62">
        <v>2018</v>
      </c>
      <c r="C85" s="63">
        <v>5150</v>
      </c>
      <c r="D85" s="63">
        <v>1565</v>
      </c>
      <c r="E85" s="64">
        <f t="shared" si="11"/>
        <v>0.30388349514563107</v>
      </c>
      <c r="F85" s="63">
        <v>1043</v>
      </c>
      <c r="G85" s="64">
        <f t="shared" si="14"/>
        <v>0.20252427184466018</v>
      </c>
      <c r="H85" s="63">
        <v>1692</v>
      </c>
      <c r="I85" s="62">
        <v>107</v>
      </c>
      <c r="J85" s="63">
        <f t="shared" si="7"/>
        <v>1585</v>
      </c>
      <c r="K85" s="64">
        <f t="shared" si="12"/>
        <v>0.30776699029126214</v>
      </c>
      <c r="L85" s="64">
        <f>J85/J82</f>
        <v>1.6306584362139918</v>
      </c>
      <c r="M85" s="63">
        <v>6004</v>
      </c>
      <c r="N85" s="62">
        <v>0</v>
      </c>
      <c r="O85" s="63">
        <v>2491</v>
      </c>
      <c r="P85" s="65">
        <f t="shared" si="9"/>
        <v>2.4102769971898836</v>
      </c>
      <c r="Q85" s="63">
        <v>2580</v>
      </c>
      <c r="R85" s="63">
        <v>1954</v>
      </c>
      <c r="S85" s="63">
        <v>1498</v>
      </c>
      <c r="T85" s="65">
        <f t="shared" si="13"/>
        <v>0.60165912518853693</v>
      </c>
    </row>
    <row r="86" spans="1:20">
      <c r="A86" s="62" t="s">
        <v>366</v>
      </c>
      <c r="B86" s="62">
        <v>2019</v>
      </c>
      <c r="C86" s="63">
        <v>4950</v>
      </c>
      <c r="D86" s="63">
        <v>1158</v>
      </c>
      <c r="E86" s="64">
        <f t="shared" si="11"/>
        <v>0.23393939393939395</v>
      </c>
      <c r="F86" s="63">
        <v>1019</v>
      </c>
      <c r="G86" s="64">
        <f t="shared" si="14"/>
        <v>0.20585858585858585</v>
      </c>
      <c r="H86" s="63">
        <v>1547</v>
      </c>
      <c r="I86" s="62">
        <v>119</v>
      </c>
      <c r="J86" s="63">
        <f t="shared" si="7"/>
        <v>1428</v>
      </c>
      <c r="K86" s="64">
        <f t="shared" si="12"/>
        <v>0.28848484848484851</v>
      </c>
      <c r="L86" s="64">
        <f>J86/J82</f>
        <v>1.4691358024691359</v>
      </c>
      <c r="M86" s="63">
        <v>6381</v>
      </c>
      <c r="N86" s="62">
        <v>0</v>
      </c>
      <c r="O86" s="63">
        <v>2265</v>
      </c>
      <c r="P86" s="65">
        <f t="shared" si="9"/>
        <v>2.8172185430463577</v>
      </c>
      <c r="Q86" s="63">
        <v>2576</v>
      </c>
      <c r="R86" s="63">
        <v>1979</v>
      </c>
      <c r="S86" s="63">
        <v>1361</v>
      </c>
      <c r="T86" s="65">
        <f t="shared" si="13"/>
        <v>0.51963313270278022</v>
      </c>
    </row>
    <row r="87" spans="1:20">
      <c r="A87" s="62" t="s">
        <v>367</v>
      </c>
      <c r="B87" s="62">
        <v>2015</v>
      </c>
      <c r="C87" s="63">
        <v>2218</v>
      </c>
      <c r="D87" s="62">
        <v>-124</v>
      </c>
      <c r="E87" s="64">
        <f t="shared" si="11"/>
        <v>-5.5906221821460773E-2</v>
      </c>
      <c r="F87" s="62">
        <v>-533</v>
      </c>
      <c r="G87" s="64">
        <f t="shared" si="14"/>
        <v>-0.24030658250676284</v>
      </c>
      <c r="H87" s="62">
        <v>383</v>
      </c>
      <c r="I87" s="62">
        <v>347</v>
      </c>
      <c r="J87" s="63">
        <f t="shared" si="7"/>
        <v>36</v>
      </c>
      <c r="K87" s="64">
        <f t="shared" si="12"/>
        <v>1.6230838593327322E-2</v>
      </c>
      <c r="L87" s="64">
        <f>J87/J87</f>
        <v>1</v>
      </c>
      <c r="M87" s="63">
        <v>4382</v>
      </c>
      <c r="N87" s="62">
        <v>0</v>
      </c>
      <c r="O87" s="62">
        <v>506</v>
      </c>
      <c r="P87" s="65">
        <f t="shared" si="9"/>
        <v>8.6600790513833985</v>
      </c>
      <c r="Q87" s="63">
        <v>2061</v>
      </c>
      <c r="R87" s="63">
        <v>1264</v>
      </c>
      <c r="S87" s="63">
        <v>1568</v>
      </c>
      <c r="T87" s="65">
        <f t="shared" si="13"/>
        <v>0.40046340992469587</v>
      </c>
    </row>
    <row r="88" spans="1:20">
      <c r="A88" s="62" t="s">
        <v>367</v>
      </c>
      <c r="B88" s="62">
        <v>2016</v>
      </c>
      <c r="C88" s="63">
        <v>2530</v>
      </c>
      <c r="D88" s="62">
        <v>136</v>
      </c>
      <c r="E88" s="64">
        <f t="shared" si="11"/>
        <v>5.3754940711462453E-2</v>
      </c>
      <c r="F88" s="62">
        <v>-441</v>
      </c>
      <c r="G88" s="64">
        <f t="shared" si="14"/>
        <v>-0.17430830039525691</v>
      </c>
      <c r="H88" s="62">
        <v>763</v>
      </c>
      <c r="I88" s="62">
        <v>219</v>
      </c>
      <c r="J88" s="63">
        <f t="shared" si="7"/>
        <v>544</v>
      </c>
      <c r="K88" s="64">
        <f t="shared" si="12"/>
        <v>0.21501976284584981</v>
      </c>
      <c r="L88" s="64">
        <f>J88/J87</f>
        <v>15.111111111111111</v>
      </c>
      <c r="M88" s="63">
        <v>4652</v>
      </c>
      <c r="N88" s="62">
        <v>0</v>
      </c>
      <c r="O88" s="62">
        <v>584</v>
      </c>
      <c r="P88" s="65">
        <f t="shared" si="9"/>
        <v>7.9657534246575343</v>
      </c>
      <c r="Q88" s="63">
        <v>2218</v>
      </c>
      <c r="R88" s="63">
        <v>1281</v>
      </c>
      <c r="S88" s="63">
        <v>1681</v>
      </c>
      <c r="T88" s="65">
        <f t="shared" si="13"/>
        <v>0.4052603327965647</v>
      </c>
    </row>
    <row r="89" spans="1:20">
      <c r="A89" s="62" t="s">
        <v>367</v>
      </c>
      <c r="B89" s="62">
        <v>2017</v>
      </c>
      <c r="C89" s="63">
        <v>2443</v>
      </c>
      <c r="D89" s="62">
        <v>429</v>
      </c>
      <c r="E89" s="64">
        <f t="shared" si="11"/>
        <v>0.17560376586164553</v>
      </c>
      <c r="F89" s="62">
        <v>-95</v>
      </c>
      <c r="G89" s="64">
        <f t="shared" si="14"/>
        <v>-3.8886614817846908E-2</v>
      </c>
      <c r="H89" s="62">
        <v>831</v>
      </c>
      <c r="I89" s="62">
        <v>161</v>
      </c>
      <c r="J89" s="63">
        <f t="shared" si="7"/>
        <v>670</v>
      </c>
      <c r="K89" s="64">
        <f t="shared" si="12"/>
        <v>0.27425296766270979</v>
      </c>
      <c r="L89" s="64">
        <f>J89/J87</f>
        <v>18.611111111111111</v>
      </c>
      <c r="M89" s="63">
        <v>5322</v>
      </c>
      <c r="N89" s="62">
        <v>0</v>
      </c>
      <c r="O89" s="62">
        <v>583</v>
      </c>
      <c r="P89" s="65">
        <f t="shared" si="9"/>
        <v>9.1286449399656941</v>
      </c>
      <c r="Q89" s="63">
        <v>2091</v>
      </c>
      <c r="R89" s="63">
        <v>1239</v>
      </c>
      <c r="S89" s="63">
        <v>1782</v>
      </c>
      <c r="T89" s="65">
        <f t="shared" si="13"/>
        <v>0.3830579850988014</v>
      </c>
    </row>
    <row r="90" spans="1:20">
      <c r="A90" s="62" t="s">
        <v>367</v>
      </c>
      <c r="B90" s="62">
        <v>2018</v>
      </c>
      <c r="C90" s="63">
        <v>3042</v>
      </c>
      <c r="D90" s="62">
        <v>875</v>
      </c>
      <c r="E90" s="64">
        <f t="shared" si="11"/>
        <v>0.2876397107166338</v>
      </c>
      <c r="F90" s="62">
        <v>424</v>
      </c>
      <c r="G90" s="64">
        <f t="shared" si="14"/>
        <v>0.1393819855358317</v>
      </c>
      <c r="H90" s="63">
        <v>1340</v>
      </c>
      <c r="I90" s="62">
        <v>484</v>
      </c>
      <c r="J90" s="63">
        <f t="shared" si="7"/>
        <v>856</v>
      </c>
      <c r="K90" s="64">
        <f t="shared" si="12"/>
        <v>0.28139381985535833</v>
      </c>
      <c r="L90" s="64">
        <f>J90/J87</f>
        <v>23.777777777777779</v>
      </c>
      <c r="M90" s="63">
        <v>7111</v>
      </c>
      <c r="N90" s="62">
        <v>0</v>
      </c>
      <c r="O90" s="63">
        <v>1516</v>
      </c>
      <c r="P90" s="65">
        <f t="shared" si="9"/>
        <v>4.6906332453825854</v>
      </c>
      <c r="Q90" s="63">
        <v>3052</v>
      </c>
      <c r="R90" s="63">
        <v>1272</v>
      </c>
      <c r="S90" s="63">
        <v>1841</v>
      </c>
      <c r="T90" s="65">
        <f t="shared" si="13"/>
        <v>0.37757282645371726</v>
      </c>
    </row>
    <row r="91" spans="1:20">
      <c r="A91" s="62" t="s">
        <v>367</v>
      </c>
      <c r="B91" s="62">
        <v>2019</v>
      </c>
      <c r="C91" s="63">
        <v>3459</v>
      </c>
      <c r="D91" s="62">
        <v>832</v>
      </c>
      <c r="E91" s="64">
        <f t="shared" si="11"/>
        <v>0.24053194564903152</v>
      </c>
      <c r="F91" s="62">
        <v>390</v>
      </c>
      <c r="G91" s="64">
        <f t="shared" si="14"/>
        <v>0.11274934952298352</v>
      </c>
      <c r="H91" s="63">
        <v>1303</v>
      </c>
      <c r="I91" s="62">
        <v>541</v>
      </c>
      <c r="J91" s="63">
        <f t="shared" si="7"/>
        <v>762</v>
      </c>
      <c r="K91" s="64">
        <f t="shared" si="12"/>
        <v>0.22029488291413704</v>
      </c>
      <c r="L91" s="64">
        <f>J91/J87</f>
        <v>21.166666666666668</v>
      </c>
      <c r="M91" s="63">
        <v>7620</v>
      </c>
      <c r="N91" s="62">
        <v>0</v>
      </c>
      <c r="O91" s="62">
        <v>832</v>
      </c>
      <c r="P91" s="65">
        <f t="shared" si="9"/>
        <v>9.1586538461538467</v>
      </c>
      <c r="Q91" s="63">
        <v>5083</v>
      </c>
      <c r="R91" s="63">
        <v>1312</v>
      </c>
      <c r="S91" s="63">
        <v>3167</v>
      </c>
      <c r="T91" s="65">
        <f t="shared" si="13"/>
        <v>0.35106663155122464</v>
      </c>
    </row>
    <row r="92" spans="1:20">
      <c r="A92" s="62" t="s">
        <v>368</v>
      </c>
      <c r="B92" s="62">
        <v>2015</v>
      </c>
      <c r="C92" s="62">
        <v>134</v>
      </c>
      <c r="D92" s="62">
        <v>12</v>
      </c>
      <c r="E92" s="64">
        <f t="shared" si="11"/>
        <v>8.9552238805970144E-2</v>
      </c>
      <c r="F92" s="62">
        <v>12</v>
      </c>
      <c r="G92" s="64">
        <f t="shared" si="14"/>
        <v>8.9552238805970144E-2</v>
      </c>
      <c r="H92" s="62">
        <v>57</v>
      </c>
      <c r="I92" s="62">
        <v>14</v>
      </c>
      <c r="J92" s="63">
        <f t="shared" si="7"/>
        <v>43</v>
      </c>
      <c r="K92" s="64">
        <f t="shared" si="12"/>
        <v>0.32089552238805968</v>
      </c>
      <c r="L92" s="64">
        <f>J92/J92</f>
        <v>1</v>
      </c>
      <c r="M92" s="62">
        <v>504</v>
      </c>
      <c r="N92" s="62">
        <v>0</v>
      </c>
      <c r="O92" s="62">
        <v>72</v>
      </c>
      <c r="P92" s="65">
        <f t="shared" si="9"/>
        <v>7</v>
      </c>
      <c r="Q92" s="62">
        <v>38</v>
      </c>
      <c r="R92" s="62">
        <v>0</v>
      </c>
      <c r="S92" s="62">
        <v>2</v>
      </c>
      <c r="T92" s="65">
        <f t="shared" si="13"/>
        <v>0.13653136531365315</v>
      </c>
    </row>
    <row r="93" spans="1:20">
      <c r="A93" s="62" t="s">
        <v>368</v>
      </c>
      <c r="B93" s="62">
        <v>2016</v>
      </c>
      <c r="C93" s="62">
        <v>553</v>
      </c>
      <c r="D93" s="62">
        <v>152</v>
      </c>
      <c r="E93" s="64">
        <f t="shared" si="11"/>
        <v>0.27486437613019893</v>
      </c>
      <c r="F93" s="62">
        <v>142</v>
      </c>
      <c r="G93" s="64">
        <f t="shared" si="14"/>
        <v>0.25678119349005424</v>
      </c>
      <c r="H93" s="62">
        <v>218</v>
      </c>
      <c r="I93" s="62">
        <v>7</v>
      </c>
      <c r="J93" s="63">
        <f t="shared" si="7"/>
        <v>211</v>
      </c>
      <c r="K93" s="64">
        <f t="shared" si="12"/>
        <v>0.38155515370705245</v>
      </c>
      <c r="L93" s="64">
        <f>J93/J92</f>
        <v>4.9069767441860463</v>
      </c>
      <c r="M93" s="62">
        <v>720</v>
      </c>
      <c r="N93" s="62">
        <v>0</v>
      </c>
      <c r="O93" s="62">
        <v>134</v>
      </c>
      <c r="P93" s="65">
        <f t="shared" si="9"/>
        <v>5.3731343283582094</v>
      </c>
      <c r="Q93" s="62">
        <v>50</v>
      </c>
      <c r="R93" s="62">
        <v>0</v>
      </c>
      <c r="S93" s="62">
        <v>2</v>
      </c>
      <c r="T93" s="65">
        <f t="shared" si="13"/>
        <v>0.17662337662337663</v>
      </c>
    </row>
    <row r="94" spans="1:20">
      <c r="A94" s="62" t="s">
        <v>368</v>
      </c>
      <c r="B94" s="62">
        <v>2017</v>
      </c>
      <c r="C94" s="63">
        <v>1318</v>
      </c>
      <c r="D94" s="62">
        <v>350</v>
      </c>
      <c r="E94" s="64">
        <f t="shared" si="11"/>
        <v>0.26555386949924126</v>
      </c>
      <c r="F94" s="62">
        <v>319</v>
      </c>
      <c r="G94" s="64">
        <f t="shared" si="14"/>
        <v>0.24203338391502277</v>
      </c>
      <c r="H94" s="62">
        <v>428</v>
      </c>
      <c r="I94" s="62">
        <v>32</v>
      </c>
      <c r="J94" s="63">
        <f t="shared" si="7"/>
        <v>396</v>
      </c>
      <c r="K94" s="64">
        <f t="shared" si="12"/>
        <v>0.30045523520485584</v>
      </c>
      <c r="L94" s="64">
        <f>J94/J92</f>
        <v>9.2093023255813957</v>
      </c>
      <c r="M94" s="63">
        <v>1189</v>
      </c>
      <c r="N94" s="62">
        <v>0</v>
      </c>
      <c r="O94" s="62">
        <v>260</v>
      </c>
      <c r="P94" s="65">
        <f t="shared" si="9"/>
        <v>4.5730769230769228</v>
      </c>
      <c r="Q94" s="62">
        <v>113</v>
      </c>
      <c r="R94" s="62">
        <v>11</v>
      </c>
      <c r="S94" s="62">
        <v>4</v>
      </c>
      <c r="T94" s="65">
        <f t="shared" si="13"/>
        <v>0.20449264136328427</v>
      </c>
    </row>
    <row r="95" spans="1:20">
      <c r="A95" s="62" t="s">
        <v>368</v>
      </c>
      <c r="B95" s="62">
        <v>2018</v>
      </c>
      <c r="C95" s="63">
        <v>1950</v>
      </c>
      <c r="D95" s="62">
        <v>473</v>
      </c>
      <c r="E95" s="64">
        <f t="shared" si="11"/>
        <v>0.24256410256410257</v>
      </c>
      <c r="F95" s="62">
        <v>409</v>
      </c>
      <c r="G95" s="64">
        <f t="shared" si="14"/>
        <v>0.20974358974358975</v>
      </c>
      <c r="H95" s="62">
        <v>484</v>
      </c>
      <c r="I95" s="62">
        <v>35</v>
      </c>
      <c r="J95" s="63">
        <f t="shared" si="7"/>
        <v>449</v>
      </c>
      <c r="K95" s="64">
        <f t="shared" si="12"/>
        <v>0.23025641025641025</v>
      </c>
      <c r="L95" s="64">
        <f>J95/J92</f>
        <v>10.44186046511628</v>
      </c>
      <c r="M95" s="63">
        <v>1837</v>
      </c>
      <c r="N95" s="62">
        <v>0</v>
      </c>
      <c r="O95" s="62">
        <v>392</v>
      </c>
      <c r="P95" s="65">
        <f t="shared" si="9"/>
        <v>4.6862244897959187</v>
      </c>
      <c r="Q95" s="62">
        <v>921</v>
      </c>
      <c r="R95" s="62">
        <v>777</v>
      </c>
      <c r="S95" s="62">
        <v>763</v>
      </c>
      <c r="T95" s="65">
        <f t="shared" si="13"/>
        <v>0.58303886925795056</v>
      </c>
    </row>
    <row r="96" spans="1:20">
      <c r="A96" s="62" t="s">
        <v>368</v>
      </c>
      <c r="B96" s="62">
        <v>2019</v>
      </c>
      <c r="C96" s="63">
        <v>2444</v>
      </c>
      <c r="D96" s="62">
        <v>512</v>
      </c>
      <c r="E96" s="64">
        <f t="shared" si="11"/>
        <v>0.20949263502454993</v>
      </c>
      <c r="F96" s="62">
        <v>427</v>
      </c>
      <c r="G96" s="64">
        <f t="shared" si="14"/>
        <v>0.17471358428805236</v>
      </c>
      <c r="H96" s="62">
        <v>783</v>
      </c>
      <c r="I96" s="62">
        <v>27</v>
      </c>
      <c r="J96" s="63">
        <f t="shared" si="7"/>
        <v>756</v>
      </c>
      <c r="K96" s="64">
        <f t="shared" si="12"/>
        <v>0.30932896890343697</v>
      </c>
      <c r="L96" s="64">
        <f>J96/J92</f>
        <v>17.581395348837209</v>
      </c>
      <c r="M96" s="63">
        <v>2268</v>
      </c>
      <c r="N96" s="62">
        <v>0</v>
      </c>
      <c r="O96" s="62">
        <v>374</v>
      </c>
      <c r="P96" s="65">
        <f t="shared" si="9"/>
        <v>6.0641711229946527</v>
      </c>
      <c r="Q96" s="62">
        <v>961</v>
      </c>
      <c r="R96" s="62">
        <v>754</v>
      </c>
      <c r="S96" s="62">
        <v>884</v>
      </c>
      <c r="T96" s="65">
        <f t="shared" si="13"/>
        <v>0.50828282828282834</v>
      </c>
    </row>
    <row r="97" spans="1:20">
      <c r="A97" s="62" t="s">
        <v>232</v>
      </c>
      <c r="B97" s="62">
        <v>2015</v>
      </c>
      <c r="C97" s="63">
        <v>25281</v>
      </c>
      <c r="D97" s="63">
        <v>8428</v>
      </c>
      <c r="E97" s="64">
        <f t="shared" si="11"/>
        <v>0.33337288873066728</v>
      </c>
      <c r="F97" s="63">
        <v>5271</v>
      </c>
      <c r="G97" s="64">
        <f t="shared" si="14"/>
        <v>0.20849649934733594</v>
      </c>
      <c r="H97" s="63">
        <v>5506</v>
      </c>
      <c r="I97" s="62">
        <v>994</v>
      </c>
      <c r="J97" s="63">
        <f t="shared" si="7"/>
        <v>4512</v>
      </c>
      <c r="K97" s="64">
        <f t="shared" si="12"/>
        <v>0.17847395277085559</v>
      </c>
      <c r="L97" s="64">
        <f>J97/J97</f>
        <v>1</v>
      </c>
      <c r="M97" s="63">
        <v>22099</v>
      </c>
      <c r="N97" s="63">
        <v>1492</v>
      </c>
      <c r="O97" s="63">
        <v>6100</v>
      </c>
      <c r="P97" s="65">
        <f t="shared" si="9"/>
        <v>3.3781967213114754</v>
      </c>
      <c r="Q97" s="63">
        <v>28697</v>
      </c>
      <c r="R97" s="63">
        <v>9221</v>
      </c>
      <c r="S97" s="63">
        <v>13282</v>
      </c>
      <c r="T97" s="65">
        <f t="shared" si="13"/>
        <v>0.48354664072050496</v>
      </c>
    </row>
    <row r="98" spans="1:20">
      <c r="A98" s="62" t="s">
        <v>232</v>
      </c>
      <c r="B98" s="62">
        <v>2016</v>
      </c>
      <c r="C98" s="63">
        <v>23554</v>
      </c>
      <c r="D98" s="63">
        <v>7697</v>
      </c>
      <c r="E98" s="64">
        <f t="shared" si="11"/>
        <v>0.32678101384053665</v>
      </c>
      <c r="F98" s="63">
        <v>5705</v>
      </c>
      <c r="G98" s="64">
        <f t="shared" si="14"/>
        <v>0.2422093911862104</v>
      </c>
      <c r="H98" s="63">
        <v>7400</v>
      </c>
      <c r="I98" s="62">
        <v>539</v>
      </c>
      <c r="J98" s="63">
        <f t="shared" si="7"/>
        <v>6861</v>
      </c>
      <c r="K98" s="64">
        <f t="shared" si="12"/>
        <v>0.29128810393139171</v>
      </c>
      <c r="L98" s="64">
        <f>J98/J97</f>
        <v>1.5206117021276595</v>
      </c>
      <c r="M98" s="63">
        <v>22981</v>
      </c>
      <c r="N98" s="63">
        <v>1556</v>
      </c>
      <c r="O98" s="63">
        <v>7311</v>
      </c>
      <c r="P98" s="65">
        <f t="shared" si="9"/>
        <v>2.930515661332239</v>
      </c>
      <c r="Q98" s="63">
        <v>29378</v>
      </c>
      <c r="R98" s="63">
        <v>9179</v>
      </c>
      <c r="S98" s="63">
        <v>13280</v>
      </c>
      <c r="T98" s="65">
        <f t="shared" si="13"/>
        <v>0.49469056313665194</v>
      </c>
    </row>
    <row r="99" spans="1:20">
      <c r="A99" s="62" t="s">
        <v>232</v>
      </c>
      <c r="B99" s="62">
        <v>2017</v>
      </c>
      <c r="C99" s="63">
        <v>23231</v>
      </c>
      <c r="D99" s="63">
        <v>6787</v>
      </c>
      <c r="E99" s="64">
        <f t="shared" si="11"/>
        <v>0.29215272695966599</v>
      </c>
      <c r="F99" s="63">
        <v>2466</v>
      </c>
      <c r="G99" s="64">
        <f t="shared" si="14"/>
        <v>0.10615126339804572</v>
      </c>
      <c r="H99" s="63">
        <v>4693</v>
      </c>
      <c r="I99" s="62">
        <v>690</v>
      </c>
      <c r="J99" s="63">
        <f t="shared" si="7"/>
        <v>4003</v>
      </c>
      <c r="K99" s="64">
        <f t="shared" si="12"/>
        <v>0.17231285781929317</v>
      </c>
      <c r="L99" s="64">
        <f>J99/J97</f>
        <v>0.88718971631205679</v>
      </c>
      <c r="M99" s="63">
        <v>43593</v>
      </c>
      <c r="N99" s="63">
        <v>2035</v>
      </c>
      <c r="O99" s="63">
        <v>10907</v>
      </c>
      <c r="P99" s="65">
        <f t="shared" si="9"/>
        <v>3.8102136242779867</v>
      </c>
      <c r="Q99" s="63">
        <v>21893</v>
      </c>
      <c r="R99" s="63">
        <v>10360</v>
      </c>
      <c r="S99" s="63">
        <v>23833</v>
      </c>
      <c r="T99" s="65">
        <f t="shared" si="13"/>
        <v>0.65434819460925575</v>
      </c>
    </row>
    <row r="100" spans="1:20">
      <c r="A100" s="62" t="s">
        <v>232</v>
      </c>
      <c r="B100" s="62">
        <v>2018</v>
      </c>
      <c r="C100" s="63">
        <v>22732</v>
      </c>
      <c r="D100" s="63">
        <v>5438</v>
      </c>
      <c r="E100" s="64">
        <f t="shared" si="11"/>
        <v>0.23922224177371107</v>
      </c>
      <c r="F100" s="63">
        <v>-4864</v>
      </c>
      <c r="G100" s="64">
        <f t="shared" si="14"/>
        <v>-0.21397149392926271</v>
      </c>
      <c r="H100" s="63">
        <v>3895</v>
      </c>
      <c r="I100" s="62">
        <v>784</v>
      </c>
      <c r="J100" s="63">
        <f t="shared" si="7"/>
        <v>3111</v>
      </c>
      <c r="K100" s="64">
        <f t="shared" si="12"/>
        <v>0.13685553404891782</v>
      </c>
      <c r="L100" s="64">
        <f>J100/J97</f>
        <v>0.6894946808510638</v>
      </c>
      <c r="M100" s="63">
        <v>17384</v>
      </c>
      <c r="N100" s="63">
        <v>1693</v>
      </c>
      <c r="O100" s="63">
        <v>11236</v>
      </c>
      <c r="P100" s="65">
        <f t="shared" si="9"/>
        <v>1.3964934140263439</v>
      </c>
      <c r="Q100" s="63">
        <v>15302</v>
      </c>
      <c r="R100" s="63">
        <v>9453</v>
      </c>
      <c r="S100" s="63">
        <v>20522</v>
      </c>
      <c r="T100" s="65">
        <f t="shared" si="13"/>
        <v>1.4743732590529248</v>
      </c>
    </row>
    <row r="101" spans="1:20">
      <c r="A101" s="62" t="s">
        <v>232</v>
      </c>
      <c r="B101" s="62">
        <v>2019</v>
      </c>
      <c r="C101" s="63">
        <v>19550</v>
      </c>
      <c r="D101" s="63">
        <v>4759</v>
      </c>
      <c r="E101" s="64">
        <f t="shared" si="11"/>
        <v>0.24342710997442454</v>
      </c>
      <c r="F101" s="63">
        <v>4386</v>
      </c>
      <c r="G101" s="64">
        <f t="shared" si="14"/>
        <v>0.22434782608695653</v>
      </c>
      <c r="H101" s="63">
        <v>7286</v>
      </c>
      <c r="I101" s="62">
        <v>887</v>
      </c>
      <c r="J101" s="63">
        <f t="shared" ref="J101:J111" si="15">H101-I101</f>
        <v>6399</v>
      </c>
      <c r="K101" s="64">
        <f t="shared" si="12"/>
        <v>0.3273145780051151</v>
      </c>
      <c r="L101" s="64">
        <f>J101/J97</f>
        <v>1.418218085106383</v>
      </c>
      <c r="M101" s="63">
        <v>16765</v>
      </c>
      <c r="N101" s="63">
        <v>1400</v>
      </c>
      <c r="O101" s="63">
        <v>8935</v>
      </c>
      <c r="P101" s="65">
        <f t="shared" si="9"/>
        <v>1.7196418578623391</v>
      </c>
      <c r="Q101" s="63">
        <v>16192</v>
      </c>
      <c r="R101" s="63">
        <v>8454</v>
      </c>
      <c r="S101" s="63">
        <v>19113</v>
      </c>
      <c r="T101" s="65">
        <f>(O101+S101)/(M101+Q101-N101-R101)</f>
        <v>1.2140414664762151</v>
      </c>
    </row>
    <row r="102" spans="1:20">
      <c r="A102" s="62" t="s">
        <v>235</v>
      </c>
      <c r="B102" s="62">
        <v>2015</v>
      </c>
      <c r="C102" s="63">
        <v>3258</v>
      </c>
      <c r="D102" s="63">
        <v>1223</v>
      </c>
      <c r="E102" s="64">
        <f t="shared" si="11"/>
        <v>0.37538367096378145</v>
      </c>
      <c r="F102" s="62">
        <v>798</v>
      </c>
      <c r="G102" s="64">
        <f t="shared" si="14"/>
        <v>0.24493554327808473</v>
      </c>
      <c r="H102" s="62">
        <v>993</v>
      </c>
      <c r="I102" s="62">
        <v>430</v>
      </c>
      <c r="J102" s="63">
        <f t="shared" si="15"/>
        <v>563</v>
      </c>
      <c r="K102" s="64">
        <f t="shared" si="12"/>
        <v>0.17280540208717005</v>
      </c>
      <c r="L102" s="64">
        <f>J102/J102</f>
        <v>1</v>
      </c>
      <c r="M102" s="63">
        <v>1915</v>
      </c>
      <c r="N102" s="62">
        <v>268</v>
      </c>
      <c r="O102" s="62">
        <v>464</v>
      </c>
      <c r="P102" s="65">
        <f t="shared" si="9"/>
        <v>3.5495689655172415</v>
      </c>
      <c r="Q102" s="63">
        <v>1805</v>
      </c>
      <c r="R102" s="62">
        <v>902</v>
      </c>
      <c r="S102" s="62">
        <v>96</v>
      </c>
      <c r="T102" s="65">
        <f t="shared" ref="T102:T111" si="16">(O102+S102)/(M102+Q102-N102-R102)</f>
        <v>0.2196078431372549</v>
      </c>
    </row>
    <row r="103" spans="1:20">
      <c r="A103" s="62" t="s">
        <v>235</v>
      </c>
      <c r="B103" s="62">
        <v>2016</v>
      </c>
      <c r="C103" s="63">
        <v>3289</v>
      </c>
      <c r="D103" s="63">
        <v>1379</v>
      </c>
      <c r="E103" s="64">
        <f t="shared" si="11"/>
        <v>0.41927637579811494</v>
      </c>
      <c r="F103" s="62">
        <v>995</v>
      </c>
      <c r="G103" s="64">
        <f t="shared" si="14"/>
        <v>0.30252356339312864</v>
      </c>
      <c r="H103" s="63">
        <v>1096</v>
      </c>
      <c r="I103" s="62">
        <v>189</v>
      </c>
      <c r="J103" s="63">
        <f t="shared" si="15"/>
        <v>907</v>
      </c>
      <c r="K103" s="64">
        <f t="shared" si="12"/>
        <v>0.27576771055031923</v>
      </c>
      <c r="L103" s="64">
        <f>J103/J102</f>
        <v>1.61101243339254</v>
      </c>
      <c r="M103" s="63">
        <v>2002</v>
      </c>
      <c r="N103" s="62">
        <v>424</v>
      </c>
      <c r="O103" s="62">
        <v>210</v>
      </c>
      <c r="P103" s="65">
        <f t="shared" si="9"/>
        <v>7.5142857142857142</v>
      </c>
      <c r="Q103" s="63">
        <v>1853</v>
      </c>
      <c r="R103" s="62">
        <v>940</v>
      </c>
      <c r="S103" s="62">
        <v>104</v>
      </c>
      <c r="T103" s="65">
        <f t="shared" si="16"/>
        <v>0.12605379365716579</v>
      </c>
    </row>
    <row r="104" spans="1:20">
      <c r="A104" s="62" t="s">
        <v>235</v>
      </c>
      <c r="B104" s="62">
        <v>2017</v>
      </c>
      <c r="C104" s="63">
        <v>3651</v>
      </c>
      <c r="D104" s="63">
        <v>1513</v>
      </c>
      <c r="E104" s="64">
        <f t="shared" si="11"/>
        <v>0.4144070117775952</v>
      </c>
      <c r="F104" s="63">
        <v>1010</v>
      </c>
      <c r="G104" s="64">
        <f t="shared" si="14"/>
        <v>0.27663653793481235</v>
      </c>
      <c r="H104" s="63">
        <v>1471</v>
      </c>
      <c r="I104" s="62">
        <v>303</v>
      </c>
      <c r="J104" s="63">
        <f t="shared" si="15"/>
        <v>1168</v>
      </c>
      <c r="K104" s="64">
        <f t="shared" si="12"/>
        <v>0.31991235278006025</v>
      </c>
      <c r="L104" s="64">
        <f>J104/J102</f>
        <v>2.0746003552397867</v>
      </c>
      <c r="M104" s="63">
        <v>2634</v>
      </c>
      <c r="N104" s="62">
        <v>494</v>
      </c>
      <c r="O104" s="62">
        <v>388</v>
      </c>
      <c r="P104" s="65">
        <f t="shared" si="9"/>
        <v>5.5154639175257731</v>
      </c>
      <c r="Q104" s="63">
        <v>1940</v>
      </c>
      <c r="R104" s="62">
        <v>951</v>
      </c>
      <c r="S104" s="62">
        <v>120</v>
      </c>
      <c r="T104" s="65">
        <f t="shared" si="16"/>
        <v>0.16235218919782679</v>
      </c>
    </row>
    <row r="105" spans="1:20">
      <c r="A105" s="62" t="s">
        <v>235</v>
      </c>
      <c r="B105" s="62">
        <v>2018</v>
      </c>
      <c r="C105" s="63">
        <v>3868</v>
      </c>
      <c r="D105" s="63">
        <v>1620</v>
      </c>
      <c r="E105" s="64">
        <f t="shared" si="11"/>
        <v>0.4188210961737332</v>
      </c>
      <c r="F105" s="62">
        <v>918</v>
      </c>
      <c r="G105" s="64">
        <f t="shared" si="14"/>
        <v>0.23733195449844882</v>
      </c>
      <c r="H105" s="63">
        <v>1261</v>
      </c>
      <c r="I105" s="63">
        <v>422</v>
      </c>
      <c r="J105" s="63">
        <f t="shared" si="15"/>
        <v>839</v>
      </c>
      <c r="K105" s="64">
        <f t="shared" si="12"/>
        <v>0.21690796277145813</v>
      </c>
      <c r="L105" s="64">
        <f>J105/J102</f>
        <v>1.4902309058614565</v>
      </c>
      <c r="M105" s="63">
        <v>2262</v>
      </c>
      <c r="N105" s="62">
        <v>490</v>
      </c>
      <c r="O105" s="62">
        <v>390</v>
      </c>
      <c r="P105" s="65">
        <f t="shared" si="9"/>
        <v>4.5435897435897434</v>
      </c>
      <c r="Q105" s="63">
        <v>2567</v>
      </c>
      <c r="R105" s="63">
        <v>1334</v>
      </c>
      <c r="S105" s="62">
        <v>342</v>
      </c>
      <c r="T105" s="65">
        <f t="shared" si="16"/>
        <v>0.24359400998336106</v>
      </c>
    </row>
    <row r="106" spans="1:20">
      <c r="A106" s="62" t="s">
        <v>235</v>
      </c>
      <c r="B106" s="62">
        <v>2019</v>
      </c>
      <c r="C106" s="63">
        <v>3377</v>
      </c>
      <c r="D106" s="63">
        <v>1414</v>
      </c>
      <c r="E106" s="64">
        <f t="shared" si="11"/>
        <v>0.41871483565294643</v>
      </c>
      <c r="F106" s="62">
        <v>854</v>
      </c>
      <c r="G106" s="64">
        <f t="shared" si="14"/>
        <v>0.25288717796861121</v>
      </c>
      <c r="H106" s="63">
        <v>1367</v>
      </c>
      <c r="I106" s="62">
        <v>398</v>
      </c>
      <c r="J106" s="63">
        <f t="shared" si="15"/>
        <v>969</v>
      </c>
      <c r="K106" s="64">
        <f t="shared" si="12"/>
        <v>0.28694107195735863</v>
      </c>
      <c r="L106" s="64">
        <f>J106/J102</f>
        <v>1.7211367673179396</v>
      </c>
      <c r="M106" s="63">
        <v>2235</v>
      </c>
      <c r="N106" s="62">
        <v>610</v>
      </c>
      <c r="O106" s="62">
        <v>374</v>
      </c>
      <c r="P106" s="65">
        <f t="shared" si="9"/>
        <v>4.3449197860962565</v>
      </c>
      <c r="Q106" s="63">
        <v>2605</v>
      </c>
      <c r="R106" s="63">
        <v>1298</v>
      </c>
      <c r="S106" s="62">
        <v>343</v>
      </c>
      <c r="T106" s="65">
        <f t="shared" si="16"/>
        <v>0.24454297407912687</v>
      </c>
    </row>
    <row r="107" spans="1:20">
      <c r="A107" s="62" t="s">
        <v>239</v>
      </c>
      <c r="B107" s="62">
        <v>2015</v>
      </c>
      <c r="C107" s="63">
        <v>1711</v>
      </c>
      <c r="D107" s="62">
        <v>468</v>
      </c>
      <c r="E107" s="64">
        <f t="shared" si="11"/>
        <v>0.2735242548217417</v>
      </c>
      <c r="F107" s="62">
        <v>196</v>
      </c>
      <c r="G107" s="64">
        <f t="shared" si="14"/>
        <v>0.11455289304500292</v>
      </c>
      <c r="H107" s="62">
        <v>306</v>
      </c>
      <c r="I107" s="62">
        <v>170</v>
      </c>
      <c r="J107" s="63">
        <f t="shared" si="15"/>
        <v>136</v>
      </c>
      <c r="K107" s="64">
        <f t="shared" si="12"/>
        <v>7.9485680888369381E-2</v>
      </c>
      <c r="L107" s="64">
        <f>J107/J107</f>
        <v>1</v>
      </c>
      <c r="M107" s="63">
        <v>1500</v>
      </c>
      <c r="N107" s="62">
        <v>347</v>
      </c>
      <c r="O107" s="62">
        <v>325</v>
      </c>
      <c r="P107" s="65">
        <f t="shared" si="9"/>
        <v>3.5476923076923077</v>
      </c>
      <c r="Q107" s="63">
        <v>5392</v>
      </c>
      <c r="R107" s="63">
        <v>4448</v>
      </c>
      <c r="S107" s="62">
        <v>394</v>
      </c>
      <c r="T107" s="65">
        <f t="shared" si="16"/>
        <v>0.34287076776347164</v>
      </c>
    </row>
    <row r="108" spans="1:20">
      <c r="A108" s="62" t="s">
        <v>239</v>
      </c>
      <c r="B108" s="62">
        <v>2016</v>
      </c>
      <c r="C108" s="63">
        <v>2611</v>
      </c>
      <c r="D108" s="62">
        <v>718</v>
      </c>
      <c r="E108" s="64">
        <f t="shared" si="11"/>
        <v>0.27499042512447336</v>
      </c>
      <c r="F108" s="62">
        <v>-29</v>
      </c>
      <c r="G108" s="64">
        <f t="shared" si="14"/>
        <v>-1.1106855610877058E-2</v>
      </c>
      <c r="H108" s="62">
        <v>688</v>
      </c>
      <c r="I108" s="62">
        <v>316</v>
      </c>
      <c r="J108" s="63">
        <f t="shared" si="15"/>
        <v>372</v>
      </c>
      <c r="K108" s="64">
        <f t="shared" si="12"/>
        <v>0.14247414783607812</v>
      </c>
      <c r="L108" s="64">
        <f>J108/J107</f>
        <v>2.7352941176470589</v>
      </c>
      <c r="M108" s="63">
        <v>1509</v>
      </c>
      <c r="N108" s="62">
        <v>428</v>
      </c>
      <c r="O108" s="62">
        <v>374</v>
      </c>
      <c r="P108" s="65">
        <f t="shared" si="9"/>
        <v>2.8903743315508019</v>
      </c>
      <c r="Q108" s="63">
        <v>5088</v>
      </c>
      <c r="R108" s="63">
        <v>3948</v>
      </c>
      <c r="S108" s="63">
        <v>1223</v>
      </c>
      <c r="T108" s="65">
        <f t="shared" si="16"/>
        <v>0.71904547501125615</v>
      </c>
    </row>
    <row r="109" spans="1:20">
      <c r="A109" s="62" t="s">
        <v>239</v>
      </c>
      <c r="B109" s="62">
        <v>2017</v>
      </c>
      <c r="C109" s="63">
        <v>3033</v>
      </c>
      <c r="D109" s="62">
        <v>816</v>
      </c>
      <c r="E109" s="64">
        <f t="shared" si="11"/>
        <v>0.26904055390702275</v>
      </c>
      <c r="F109" s="62">
        <v>-17</v>
      </c>
      <c r="G109" s="64">
        <f t="shared" si="14"/>
        <v>-5.6050115397296403E-3</v>
      </c>
      <c r="H109" s="62">
        <v>777</v>
      </c>
      <c r="I109" s="62">
        <v>553</v>
      </c>
      <c r="J109" s="63">
        <f t="shared" si="15"/>
        <v>224</v>
      </c>
      <c r="K109" s="64">
        <f t="shared" si="12"/>
        <v>7.3854269699967029E-2</v>
      </c>
      <c r="L109" s="64">
        <f>J109/J107</f>
        <v>1.6470588235294117</v>
      </c>
      <c r="M109" s="63">
        <v>1462</v>
      </c>
      <c r="N109" s="62">
        <v>430</v>
      </c>
      <c r="O109" s="62">
        <v>419</v>
      </c>
      <c r="P109" s="65">
        <f t="shared" si="9"/>
        <v>2.4630071599045347</v>
      </c>
      <c r="Q109" s="63">
        <v>5061</v>
      </c>
      <c r="R109" s="63">
        <v>3574</v>
      </c>
      <c r="S109" s="63">
        <v>1207</v>
      </c>
      <c r="T109" s="65">
        <f t="shared" si="16"/>
        <v>0.64549424374751885</v>
      </c>
    </row>
    <row r="110" spans="1:20">
      <c r="A110" s="62" t="s">
        <v>239</v>
      </c>
      <c r="B110" s="62">
        <v>2018</v>
      </c>
      <c r="C110" s="63">
        <v>2974</v>
      </c>
      <c r="D110" s="62">
        <v>816</v>
      </c>
      <c r="E110" s="64">
        <f t="shared" si="11"/>
        <v>0.27437794216543376</v>
      </c>
      <c r="F110" s="62">
        <v>-40</v>
      </c>
      <c r="G110" s="64">
        <f t="shared" si="14"/>
        <v>-1.3449899125756557E-2</v>
      </c>
      <c r="H110" s="62">
        <v>853</v>
      </c>
      <c r="I110" s="62">
        <v>270</v>
      </c>
      <c r="J110" s="63">
        <f t="shared" si="15"/>
        <v>583</v>
      </c>
      <c r="K110" s="64">
        <f t="shared" si="12"/>
        <v>0.19603227975790183</v>
      </c>
      <c r="L110" s="64">
        <f>J110/J107</f>
        <v>4.2867647058823533</v>
      </c>
      <c r="M110" s="63">
        <v>1844</v>
      </c>
      <c r="N110" s="62">
        <v>472</v>
      </c>
      <c r="O110" s="62">
        <v>441</v>
      </c>
      <c r="P110" s="65">
        <f t="shared" si="9"/>
        <v>3.1111111111111112</v>
      </c>
      <c r="Q110" s="63">
        <v>4538</v>
      </c>
      <c r="R110" s="63">
        <v>3034</v>
      </c>
      <c r="S110" s="63">
        <v>1165</v>
      </c>
      <c r="T110" s="65">
        <f t="shared" si="16"/>
        <v>0.55841446453407506</v>
      </c>
    </row>
    <row r="111" spans="1:20">
      <c r="A111" s="62" t="s">
        <v>239</v>
      </c>
      <c r="B111" s="62">
        <v>2019</v>
      </c>
      <c r="C111" s="63">
        <v>3090</v>
      </c>
      <c r="D111" s="62">
        <v>917</v>
      </c>
      <c r="E111" s="64">
        <f t="shared" si="11"/>
        <v>0.29676375404530747</v>
      </c>
      <c r="F111" s="62">
        <v>133</v>
      </c>
      <c r="G111" s="64">
        <f t="shared" si="14"/>
        <v>4.3042071197411005E-2</v>
      </c>
      <c r="H111" s="62">
        <v>810</v>
      </c>
      <c r="I111" s="62">
        <v>221</v>
      </c>
      <c r="J111" s="63">
        <f t="shared" si="15"/>
        <v>589</v>
      </c>
      <c r="K111" s="64">
        <f t="shared" si="12"/>
        <v>0.1906148867313916</v>
      </c>
      <c r="L111" s="64">
        <f>J111/J107</f>
        <v>4.3308823529411766</v>
      </c>
      <c r="M111" s="63">
        <v>1685</v>
      </c>
      <c r="N111" s="62">
        <v>512</v>
      </c>
      <c r="O111" s="62">
        <v>436</v>
      </c>
      <c r="P111" s="65">
        <f t="shared" si="9"/>
        <v>2.6903669724770642</v>
      </c>
      <c r="Q111" s="63">
        <v>4123</v>
      </c>
      <c r="R111" s="63">
        <v>2582</v>
      </c>
      <c r="S111" s="63">
        <v>1013</v>
      </c>
      <c r="T111" s="65">
        <f t="shared" si="16"/>
        <v>0.53389830508474578</v>
      </c>
    </row>
    <row r="112" spans="1:20">
      <c r="A112" s="62" t="s">
        <v>162</v>
      </c>
      <c r="B112" s="62">
        <v>2015</v>
      </c>
      <c r="C112" s="63">
        <v>57119</v>
      </c>
      <c r="D112" s="63">
        <v>7769</v>
      </c>
      <c r="E112" s="64">
        <f t="shared" si="11"/>
        <v>0.13601428596439014</v>
      </c>
      <c r="F112" s="63">
        <v>5642</v>
      </c>
      <c r="G112" s="64">
        <f>F112/C112</f>
        <v>9.8776239079815822E-2</v>
      </c>
      <c r="H112" s="63">
        <v>13895</v>
      </c>
      <c r="I112" s="63">
        <v>0</v>
      </c>
      <c r="J112" s="63">
        <v>13895</v>
      </c>
      <c r="K112" s="64">
        <f t="shared" si="12"/>
        <v>0.24326406274619652</v>
      </c>
      <c r="L112" s="64">
        <f>J112/J112</f>
        <v>1</v>
      </c>
      <c r="M112" s="63">
        <v>70033</v>
      </c>
      <c r="N112" s="63">
        <v>0</v>
      </c>
      <c r="O112" s="63">
        <v>24695</v>
      </c>
      <c r="P112" s="65">
        <f t="shared" ref="P112:P131" si="17">M112/O112</f>
        <v>2.8359182020651952</v>
      </c>
      <c r="Q112" s="63">
        <v>757388</v>
      </c>
      <c r="R112" s="63">
        <v>3955</v>
      </c>
      <c r="S112" s="63">
        <v>690770</v>
      </c>
      <c r="T112" s="65">
        <f>(O112+S112)/(M112+Q112-N112-R112)</f>
        <v>0.86884582970031554</v>
      </c>
    </row>
    <row r="113" spans="1:20">
      <c r="A113" s="62" t="s">
        <v>162</v>
      </c>
      <c r="B113" s="62">
        <v>2016</v>
      </c>
      <c r="C113" s="63">
        <v>58779</v>
      </c>
      <c r="D113" s="63">
        <v>5705</v>
      </c>
      <c r="E113" s="64">
        <f t="shared" si="11"/>
        <v>9.705847326426105E-2</v>
      </c>
      <c r="F113" s="63">
        <v>4368</v>
      </c>
      <c r="G113" s="64">
        <f t="shared" ref="G113:G131" si="18">F113/C113</f>
        <v>7.4312254376563053E-2</v>
      </c>
      <c r="H113" s="63">
        <v>14778</v>
      </c>
      <c r="I113" s="63">
        <v>0</v>
      </c>
      <c r="J113" s="63">
        <f t="shared" ref="J113:J131" si="19">H113-I113</f>
        <v>14778</v>
      </c>
      <c r="K113" s="64">
        <f t="shared" si="12"/>
        <v>0.25141632215587201</v>
      </c>
      <c r="L113" s="64">
        <f>J113/J112</f>
        <v>1.0635480388629004</v>
      </c>
      <c r="M113" s="63">
        <v>59131</v>
      </c>
      <c r="N113" s="63">
        <v>0</v>
      </c>
      <c r="O113" s="63">
        <v>26067</v>
      </c>
      <c r="P113" s="65">
        <f t="shared" si="17"/>
        <v>2.26842367744658</v>
      </c>
      <c r="Q113" s="63">
        <v>783962</v>
      </c>
      <c r="R113" s="63">
        <v>3457</v>
      </c>
      <c r="S113" s="63">
        <v>711807</v>
      </c>
      <c r="T113" s="65">
        <f t="shared" ref="T113:T131" si="20">(O113+S113)/(M113+Q113-N113-R113)</f>
        <v>0.87880224287667508</v>
      </c>
    </row>
    <row r="114" spans="1:20">
      <c r="A114" s="62" t="s">
        <v>162</v>
      </c>
      <c r="B114" s="62">
        <v>2017</v>
      </c>
      <c r="C114" s="63">
        <v>59689</v>
      </c>
      <c r="D114" s="63">
        <v>6487</v>
      </c>
      <c r="E114" s="64">
        <f t="shared" si="11"/>
        <v>0.10867999128817706</v>
      </c>
      <c r="F114" s="63">
        <v>7863</v>
      </c>
      <c r="G114" s="64">
        <f t="shared" si="18"/>
        <v>0.1317328150915579</v>
      </c>
      <c r="H114" s="63">
        <v>13460</v>
      </c>
      <c r="I114" s="63">
        <v>0</v>
      </c>
      <c r="J114" s="63">
        <f t="shared" si="19"/>
        <v>13460</v>
      </c>
      <c r="K114" s="64">
        <f t="shared" si="12"/>
        <v>0.22550218633249008</v>
      </c>
      <c r="L114" s="64">
        <f>J114/J112</f>
        <v>0.96869377473911478</v>
      </c>
      <c r="M114" s="63">
        <v>57870</v>
      </c>
      <c r="N114" s="63">
        <v>0</v>
      </c>
      <c r="O114" s="63">
        <v>27092</v>
      </c>
      <c r="P114" s="65">
        <f t="shared" si="17"/>
        <v>2.1360549239627935</v>
      </c>
      <c r="Q114" s="63">
        <v>831921</v>
      </c>
      <c r="R114" s="63">
        <v>2776</v>
      </c>
      <c r="S114" s="63">
        <v>750485</v>
      </c>
      <c r="T114" s="65">
        <f t="shared" si="20"/>
        <v>0.87662215407856692</v>
      </c>
    </row>
    <row r="115" spans="1:20">
      <c r="A115" s="62" t="s">
        <v>162</v>
      </c>
      <c r="B115" s="62">
        <v>2018</v>
      </c>
      <c r="C115" s="63">
        <v>62992</v>
      </c>
      <c r="D115" s="63">
        <v>4834</v>
      </c>
      <c r="E115" s="64">
        <f t="shared" si="11"/>
        <v>7.6739903479806956E-2</v>
      </c>
      <c r="F115" s="63">
        <v>4074</v>
      </c>
      <c r="G115" s="64">
        <f t="shared" si="18"/>
        <v>6.4674879349758699E-2</v>
      </c>
      <c r="H115" s="63">
        <v>21664</v>
      </c>
      <c r="I115" s="63">
        <v>0</v>
      </c>
      <c r="J115" s="63">
        <f t="shared" si="19"/>
        <v>21664</v>
      </c>
      <c r="K115" s="64">
        <f t="shared" si="12"/>
        <v>0.34391668783337564</v>
      </c>
      <c r="L115" s="64">
        <f>J115/J112</f>
        <v>1.5591219863260166</v>
      </c>
      <c r="M115" s="63">
        <v>55823</v>
      </c>
      <c r="N115" s="63">
        <v>0</v>
      </c>
      <c r="O115" s="63">
        <v>25706</v>
      </c>
      <c r="P115" s="65">
        <f t="shared" si="17"/>
        <v>2.1715941803470007</v>
      </c>
      <c r="Q115" s="63">
        <v>815078</v>
      </c>
      <c r="R115" s="63">
        <v>3061</v>
      </c>
      <c r="S115" s="63">
        <v>740341</v>
      </c>
      <c r="T115" s="65">
        <f t="shared" si="20"/>
        <v>0.88270533738938051</v>
      </c>
    </row>
    <row r="116" spans="1:20">
      <c r="A116" s="62" t="s">
        <v>162</v>
      </c>
      <c r="B116" s="62">
        <v>2019</v>
      </c>
      <c r="C116" s="63">
        <v>64807</v>
      </c>
      <c r="D116" s="63">
        <v>5085</v>
      </c>
      <c r="E116" s="64">
        <f t="shared" si="11"/>
        <v>7.8463746200256146E-2</v>
      </c>
      <c r="F116" s="63">
        <v>4186</v>
      </c>
      <c r="G116" s="64">
        <f t="shared" si="18"/>
        <v>6.4591787924143995E-2</v>
      </c>
      <c r="H116" s="63">
        <v>19625</v>
      </c>
      <c r="I116" s="63">
        <v>0</v>
      </c>
      <c r="J116" s="63">
        <f t="shared" si="19"/>
        <v>19625</v>
      </c>
      <c r="K116" s="64">
        <f t="shared" si="12"/>
        <v>0.30282222599410558</v>
      </c>
      <c r="L116" s="64">
        <f>J116/J112</f>
        <v>1.4123785534364879</v>
      </c>
      <c r="M116" s="63">
        <v>60267</v>
      </c>
      <c r="N116" s="63">
        <v>0</v>
      </c>
      <c r="O116" s="63">
        <v>31270</v>
      </c>
      <c r="P116" s="65">
        <f t="shared" si="17"/>
        <v>1.9273105212663895</v>
      </c>
      <c r="Q116" s="63">
        <v>896552</v>
      </c>
      <c r="R116" s="63">
        <v>4723</v>
      </c>
      <c r="S116" s="63">
        <v>801563</v>
      </c>
      <c r="T116" s="65">
        <f t="shared" si="20"/>
        <v>0.87473637112223979</v>
      </c>
    </row>
    <row r="117" spans="1:20">
      <c r="A117" s="62" t="s">
        <v>165</v>
      </c>
      <c r="B117" s="62">
        <v>2015</v>
      </c>
      <c r="C117" s="63">
        <v>69905</v>
      </c>
      <c r="D117" s="63">
        <v>9803</v>
      </c>
      <c r="E117" s="64">
        <f t="shared" si="11"/>
        <v>0.14023317359273299</v>
      </c>
      <c r="F117" s="63">
        <v>5152</v>
      </c>
      <c r="G117" s="64">
        <f t="shared" si="18"/>
        <v>7.3700021457692583E-2</v>
      </c>
      <c r="H117" s="63">
        <v>14129</v>
      </c>
      <c r="I117" s="63">
        <v>0</v>
      </c>
      <c r="J117" s="63">
        <f t="shared" si="19"/>
        <v>14129</v>
      </c>
      <c r="K117" s="64">
        <f t="shared" si="12"/>
        <v>0.20211715900150204</v>
      </c>
      <c r="L117" s="64">
        <f>J117/J117</f>
        <v>1</v>
      </c>
      <c r="M117" s="63">
        <v>140796</v>
      </c>
      <c r="N117" s="63">
        <v>0</v>
      </c>
      <c r="O117" s="63">
        <v>32317</v>
      </c>
      <c r="P117" s="65">
        <f t="shared" si="17"/>
        <v>4.356716279357614</v>
      </c>
      <c r="Q117" s="63">
        <v>877933</v>
      </c>
      <c r="R117" s="63">
        <v>15561</v>
      </c>
      <c r="S117" s="63">
        <v>777120</v>
      </c>
      <c r="T117" s="65">
        <f t="shared" si="20"/>
        <v>0.80688080162046638</v>
      </c>
    </row>
    <row r="118" spans="1:20">
      <c r="A118" s="62" t="s">
        <v>165</v>
      </c>
      <c r="B118" s="62">
        <v>2016</v>
      </c>
      <c r="C118" s="63">
        <v>63110</v>
      </c>
      <c r="D118" s="63">
        <v>2055</v>
      </c>
      <c r="E118" s="64">
        <f t="shared" si="11"/>
        <v>3.2562192996355571E-2</v>
      </c>
      <c r="F118" s="62">
        <v>697</v>
      </c>
      <c r="G118" s="64">
        <f t="shared" si="18"/>
        <v>1.1044208524797972E-2</v>
      </c>
      <c r="H118" s="63">
        <v>14827</v>
      </c>
      <c r="I118" s="63">
        <v>0</v>
      </c>
      <c r="J118" s="63">
        <f t="shared" si="19"/>
        <v>14827</v>
      </c>
      <c r="K118" s="64">
        <f t="shared" si="12"/>
        <v>0.23493899540484867</v>
      </c>
      <c r="L118" s="64">
        <f>J118/J117</f>
        <v>1.0494019392738339</v>
      </c>
      <c r="M118" s="63">
        <v>156866</v>
      </c>
      <c r="N118" s="63">
        <v>0</v>
      </c>
      <c r="O118" s="63">
        <v>28705</v>
      </c>
      <c r="P118" s="65">
        <f t="shared" si="17"/>
        <v>5.4647622365441562</v>
      </c>
      <c r="Q118" s="63">
        <v>898764</v>
      </c>
      <c r="R118" s="63">
        <v>15080</v>
      </c>
      <c r="S118" s="63">
        <v>802579</v>
      </c>
      <c r="T118" s="65">
        <f t="shared" si="20"/>
        <v>0.79888904906059299</v>
      </c>
    </row>
    <row r="119" spans="1:20">
      <c r="A119" s="62" t="s">
        <v>165</v>
      </c>
      <c r="B119" s="62">
        <v>2017</v>
      </c>
      <c r="C119" s="63">
        <v>62412</v>
      </c>
      <c r="D119" s="63">
        <v>5804</v>
      </c>
      <c r="E119" s="64">
        <f t="shared" si="11"/>
        <v>9.2994936871114528E-2</v>
      </c>
      <c r="F119" s="63">
        <v>3907</v>
      </c>
      <c r="G119" s="64">
        <f t="shared" si="18"/>
        <v>6.2600140998525927E-2</v>
      </c>
      <c r="H119" s="63">
        <v>12283</v>
      </c>
      <c r="I119" s="63">
        <v>0</v>
      </c>
      <c r="J119" s="63">
        <f t="shared" si="19"/>
        <v>12283</v>
      </c>
      <c r="K119" s="64">
        <f t="shared" si="12"/>
        <v>0.19680510158302891</v>
      </c>
      <c r="L119" s="64">
        <f>J119/J117</f>
        <v>0.8693467336683417</v>
      </c>
      <c r="M119" s="63">
        <v>129355</v>
      </c>
      <c r="N119" s="63">
        <v>0</v>
      </c>
      <c r="O119" s="63">
        <v>21987</v>
      </c>
      <c r="P119" s="65">
        <f t="shared" si="17"/>
        <v>5.8832491927047803</v>
      </c>
      <c r="Q119" s="63">
        <v>719892</v>
      </c>
      <c r="R119" s="63">
        <v>14479</v>
      </c>
      <c r="S119" s="63">
        <v>639035</v>
      </c>
      <c r="T119" s="65">
        <f t="shared" si="20"/>
        <v>0.79186312843808104</v>
      </c>
    </row>
    <row r="120" spans="1:20">
      <c r="A120" s="62" t="s">
        <v>165</v>
      </c>
      <c r="B120" s="62">
        <v>2018</v>
      </c>
      <c r="C120" s="63">
        <v>67957</v>
      </c>
      <c r="D120" s="63">
        <v>8366</v>
      </c>
      <c r="E120" s="64">
        <f t="shared" si="11"/>
        <v>0.12310725900201598</v>
      </c>
      <c r="F120" s="63">
        <v>4982</v>
      </c>
      <c r="G120" s="64">
        <f t="shared" si="18"/>
        <v>7.3311064349515134E-2</v>
      </c>
      <c r="H120" s="63">
        <v>11738</v>
      </c>
      <c r="I120" s="63">
        <v>0</v>
      </c>
      <c r="J120" s="63">
        <f t="shared" si="19"/>
        <v>11738</v>
      </c>
      <c r="K120" s="64">
        <f t="shared" si="12"/>
        <v>0.17272687140397605</v>
      </c>
      <c r="L120" s="64">
        <f>J120/J117</f>
        <v>0.83077358624106445</v>
      </c>
      <c r="M120" s="63">
        <v>141169</v>
      </c>
      <c r="N120" s="63">
        <v>0</v>
      </c>
      <c r="O120" s="63">
        <v>19393</v>
      </c>
      <c r="P120" s="65">
        <f t="shared" si="17"/>
        <v>7.2793791574279378</v>
      </c>
      <c r="Q120" s="63">
        <v>687538</v>
      </c>
      <c r="R120" s="63">
        <v>14031</v>
      </c>
      <c r="S120" s="63">
        <v>615187</v>
      </c>
      <c r="T120" s="65">
        <f t="shared" si="20"/>
        <v>0.77893542954499706</v>
      </c>
    </row>
    <row r="121" spans="1:20">
      <c r="A121" s="62" t="s">
        <v>165</v>
      </c>
      <c r="B121" s="62">
        <v>2019</v>
      </c>
      <c r="C121" s="63">
        <v>69744</v>
      </c>
      <c r="D121" s="63">
        <v>8900</v>
      </c>
      <c r="E121" s="64">
        <f t="shared" si="11"/>
        <v>0.12760954347327369</v>
      </c>
      <c r="F121" s="63">
        <v>5721</v>
      </c>
      <c r="G121" s="64">
        <f t="shared" si="18"/>
        <v>8.2028561596696484E-2</v>
      </c>
      <c r="H121" s="63">
        <v>13786</v>
      </c>
      <c r="I121" s="63">
        <v>0</v>
      </c>
      <c r="J121" s="63">
        <f t="shared" si="19"/>
        <v>13786</v>
      </c>
      <c r="K121" s="64">
        <f t="shared" si="12"/>
        <v>0.19766574902500572</v>
      </c>
      <c r="L121" s="64">
        <f>J121/J117</f>
        <v>0.97572368886686955</v>
      </c>
      <c r="M121" s="63">
        <v>152583</v>
      </c>
      <c r="N121" s="63">
        <v>0</v>
      </c>
      <c r="O121" s="63">
        <v>18681</v>
      </c>
      <c r="P121" s="65">
        <f t="shared" si="17"/>
        <v>8.1678175686526409</v>
      </c>
      <c r="Q121" s="63">
        <v>740463</v>
      </c>
      <c r="R121" s="63">
        <v>13586</v>
      </c>
      <c r="S121" s="63">
        <v>655400</v>
      </c>
      <c r="T121" s="65">
        <f t="shared" si="20"/>
        <v>0.76647147113001157</v>
      </c>
    </row>
    <row r="122" spans="1:20">
      <c r="A122" s="62" t="s">
        <v>152</v>
      </c>
      <c r="B122" s="62">
        <v>2015</v>
      </c>
      <c r="C122" s="63">
        <v>100492</v>
      </c>
      <c r="D122" s="63">
        <v>55684</v>
      </c>
      <c r="E122" s="64">
        <f t="shared" si="11"/>
        <v>0.55411376029932735</v>
      </c>
      <c r="F122" s="63">
        <v>22406</v>
      </c>
      <c r="G122" s="64">
        <f t="shared" si="18"/>
        <v>0.22296302193209411</v>
      </c>
      <c r="H122" s="63">
        <v>73466</v>
      </c>
      <c r="I122" s="63">
        <v>0</v>
      </c>
      <c r="J122" s="63">
        <f t="shared" si="19"/>
        <v>73466</v>
      </c>
      <c r="K122" s="64">
        <f t="shared" si="12"/>
        <v>0.73106316920749914</v>
      </c>
      <c r="L122" s="64">
        <f>J122/J122</f>
        <v>1</v>
      </c>
      <c r="M122" s="63">
        <v>1397225</v>
      </c>
      <c r="N122" s="63">
        <v>2047</v>
      </c>
      <c r="O122" s="63">
        <v>1498578</v>
      </c>
      <c r="P122" s="65">
        <f t="shared" si="17"/>
        <v>0.93236721745548112</v>
      </c>
      <c r="Q122" s="63">
        <v>2351698</v>
      </c>
      <c r="R122" s="63">
        <v>54948</v>
      </c>
      <c r="S122" s="63">
        <v>605547</v>
      </c>
      <c r="T122" s="65">
        <f t="shared" si="20"/>
        <v>0.569925794869239</v>
      </c>
    </row>
    <row r="123" spans="1:20">
      <c r="A123" s="62" t="s">
        <v>152</v>
      </c>
      <c r="B123" s="62">
        <v>2016</v>
      </c>
      <c r="C123" s="63">
        <v>105486</v>
      </c>
      <c r="D123" s="63">
        <v>56690</v>
      </c>
      <c r="E123" s="64">
        <f t="shared" si="11"/>
        <v>0.53741728760214624</v>
      </c>
      <c r="F123" s="63">
        <v>22583</v>
      </c>
      <c r="G123" s="64">
        <f t="shared" si="18"/>
        <v>0.21408528145915098</v>
      </c>
      <c r="H123" s="63">
        <v>20196</v>
      </c>
      <c r="I123" s="63">
        <v>0</v>
      </c>
      <c r="J123" s="63">
        <f t="shared" si="19"/>
        <v>20196</v>
      </c>
      <c r="K123" s="64">
        <f t="shared" si="12"/>
        <v>0.19145668619532449</v>
      </c>
      <c r="L123" s="64">
        <f>J123/J122</f>
        <v>0.27490267606784091</v>
      </c>
      <c r="M123" s="63">
        <v>1501020</v>
      </c>
      <c r="N123" s="63">
        <v>3057</v>
      </c>
      <c r="O123" s="63">
        <v>1599288</v>
      </c>
      <c r="P123" s="65">
        <f t="shared" si="17"/>
        <v>0.93855515704488501</v>
      </c>
      <c r="Q123" s="63">
        <v>2490972</v>
      </c>
      <c r="R123" s="63">
        <v>54246</v>
      </c>
      <c r="S123" s="63">
        <v>637494</v>
      </c>
      <c r="T123" s="65">
        <f t="shared" si="20"/>
        <v>0.56847745781178638</v>
      </c>
    </row>
    <row r="124" spans="1:20">
      <c r="A124" s="62" t="s">
        <v>152</v>
      </c>
      <c r="B124" s="62">
        <v>2017</v>
      </c>
      <c r="C124" s="63">
        <v>113254</v>
      </c>
      <c r="D124" s="63">
        <v>58957</v>
      </c>
      <c r="E124" s="64">
        <f t="shared" si="11"/>
        <v>0.52057322478676249</v>
      </c>
      <c r="F124" s="63">
        <v>22567</v>
      </c>
      <c r="G124" s="64">
        <f t="shared" si="18"/>
        <v>0.19926007028449327</v>
      </c>
      <c r="H124" s="63">
        <v>-2501</v>
      </c>
      <c r="I124" s="63">
        <v>0</v>
      </c>
      <c r="J124" s="63">
        <f t="shared" si="19"/>
        <v>-2501</v>
      </c>
      <c r="K124" s="64">
        <f t="shared" si="12"/>
        <v>-2.2083105232486269E-2</v>
      </c>
      <c r="L124" s="64">
        <f>J124/J122</f>
        <v>-3.404295864753764E-2</v>
      </c>
      <c r="M124" s="63">
        <v>1545989</v>
      </c>
      <c r="N124" s="63">
        <v>3704</v>
      </c>
      <c r="O124" s="63">
        <v>1670258</v>
      </c>
      <c r="P124" s="65">
        <f t="shared" si="17"/>
        <v>0.92559891944837269</v>
      </c>
      <c r="Q124" s="63">
        <v>2533600</v>
      </c>
      <c r="R124" s="63">
        <v>54392</v>
      </c>
      <c r="S124" s="63">
        <v>607649</v>
      </c>
      <c r="T124" s="65">
        <f t="shared" si="20"/>
        <v>0.5664331630068733</v>
      </c>
    </row>
    <row r="125" spans="1:20">
      <c r="A125" s="62" t="s">
        <v>152</v>
      </c>
      <c r="B125" s="62">
        <v>2018</v>
      </c>
      <c r="C125" s="63">
        <v>131412</v>
      </c>
      <c r="D125" s="63">
        <v>67089</v>
      </c>
      <c r="E125" s="64">
        <f t="shared" si="11"/>
        <v>0.51052415304538401</v>
      </c>
      <c r="F125" s="63">
        <v>30709</v>
      </c>
      <c r="G125" s="64">
        <f t="shared" si="18"/>
        <v>0.23368489940035916</v>
      </c>
      <c r="H125" s="63">
        <v>14187</v>
      </c>
      <c r="I125" s="63">
        <v>0</v>
      </c>
      <c r="J125" s="63">
        <f t="shared" si="19"/>
        <v>14187</v>
      </c>
      <c r="K125" s="64">
        <f t="shared" si="12"/>
        <v>0.10795817733540317</v>
      </c>
      <c r="L125" s="64">
        <f>J125/J122</f>
        <v>0.19310973783791141</v>
      </c>
      <c r="M125" s="63">
        <v>1571789</v>
      </c>
      <c r="N125" s="63">
        <v>12287</v>
      </c>
      <c r="O125" s="63">
        <v>1754656</v>
      </c>
      <c r="P125" s="65">
        <f t="shared" si="17"/>
        <v>0.89578185125745446</v>
      </c>
      <c r="Q125" s="63">
        <v>2622532</v>
      </c>
      <c r="R125" s="63">
        <v>54349</v>
      </c>
      <c r="S125" s="63">
        <v>611361</v>
      </c>
      <c r="T125" s="65">
        <f t="shared" si="20"/>
        <v>0.57320677328817482</v>
      </c>
    </row>
    <row r="126" spans="1:20">
      <c r="A126" s="62" t="s">
        <v>152</v>
      </c>
      <c r="B126" s="62">
        <v>2019</v>
      </c>
      <c r="C126" s="63">
        <v>142422</v>
      </c>
      <c r="D126" s="63">
        <v>71565</v>
      </c>
      <c r="E126" s="64">
        <f t="shared" si="11"/>
        <v>0.50248557104941649</v>
      </c>
      <c r="F126" s="63">
        <v>34642</v>
      </c>
      <c r="G126" s="64">
        <f t="shared" si="18"/>
        <v>0.24323489348555702</v>
      </c>
      <c r="H126" s="63">
        <v>6046</v>
      </c>
      <c r="I126" s="63">
        <v>0</v>
      </c>
      <c r="J126" s="63">
        <f t="shared" si="19"/>
        <v>6046</v>
      </c>
      <c r="K126" s="64">
        <f t="shared" si="12"/>
        <v>4.2451306680147731E-2</v>
      </c>
      <c r="L126" s="64">
        <f>J126/J122</f>
        <v>8.2296572564179354E-2</v>
      </c>
      <c r="M126" s="63">
        <v>1459821</v>
      </c>
      <c r="N126" s="63">
        <v>7451</v>
      </c>
      <c r="O126" s="63">
        <v>1825309</v>
      </c>
      <c r="P126" s="65">
        <f t="shared" si="17"/>
        <v>0.79976650528759785</v>
      </c>
      <c r="Q126" s="63">
        <v>2687379</v>
      </c>
      <c r="R126" s="63">
        <v>53341</v>
      </c>
      <c r="S126" s="63">
        <v>600740</v>
      </c>
      <c r="T126" s="65">
        <f t="shared" si="20"/>
        <v>0.59368741447256368</v>
      </c>
    </row>
    <row r="127" spans="1:20">
      <c r="A127" s="62" t="s">
        <v>157</v>
      </c>
      <c r="B127" s="62">
        <v>2015</v>
      </c>
      <c r="C127" s="63">
        <v>90033</v>
      </c>
      <c r="D127" s="63">
        <v>47985</v>
      </c>
      <c r="E127" s="64">
        <f t="shared" si="11"/>
        <v>0.53297124387724504</v>
      </c>
      <c r="F127" s="63">
        <v>21470</v>
      </c>
      <c r="G127" s="64">
        <f t="shared" si="18"/>
        <v>0.23846811724589873</v>
      </c>
      <c r="H127" s="63">
        <v>14772</v>
      </c>
      <c r="I127" s="63">
        <v>0</v>
      </c>
      <c r="J127" s="63">
        <f t="shared" si="19"/>
        <v>14772</v>
      </c>
      <c r="K127" s="64">
        <f t="shared" si="12"/>
        <v>0.16407317316983772</v>
      </c>
      <c r="L127" s="64">
        <f>J127/J126</f>
        <v>2.443268276546477</v>
      </c>
      <c r="M127" s="63">
        <v>1211669</v>
      </c>
      <c r="N127" s="63">
        <v>21307</v>
      </c>
      <c r="O127" s="63">
        <v>1352744</v>
      </c>
      <c r="P127" s="65">
        <f t="shared" si="17"/>
        <v>0.89571197506697497</v>
      </c>
      <c r="Q127" s="63">
        <v>1787632</v>
      </c>
      <c r="R127" s="63">
        <v>42405</v>
      </c>
      <c r="S127" s="63">
        <v>240863</v>
      </c>
      <c r="T127" s="65">
        <f t="shared" si="20"/>
        <v>0.54285766842701755</v>
      </c>
    </row>
    <row r="128" spans="1:20">
      <c r="A128" s="62" t="s">
        <v>157</v>
      </c>
      <c r="B128" s="62">
        <v>2016</v>
      </c>
      <c r="C128" s="63">
        <v>93512</v>
      </c>
      <c r="D128" s="63">
        <v>46931</v>
      </c>
      <c r="E128" s="64">
        <f t="shared" si="11"/>
        <v>0.50187141757207632</v>
      </c>
      <c r="F128" s="63">
        <v>20373</v>
      </c>
      <c r="G128" s="64">
        <f t="shared" si="18"/>
        <v>0.21786508683377534</v>
      </c>
      <c r="H128" s="63">
        <v>169</v>
      </c>
      <c r="I128" s="63">
        <v>0</v>
      </c>
      <c r="J128" s="63">
        <f t="shared" si="19"/>
        <v>169</v>
      </c>
      <c r="K128" s="64">
        <f t="shared" si="12"/>
        <v>1.8072546838908375E-3</v>
      </c>
      <c r="L128" s="64">
        <f>J128/J126</f>
        <v>2.795236520013232E-2</v>
      </c>
      <c r="M128" s="63">
        <v>1263167</v>
      </c>
      <c r="N128" s="63">
        <v>27367</v>
      </c>
      <c r="O128" s="63">
        <v>1432405</v>
      </c>
      <c r="P128" s="65">
        <f t="shared" si="17"/>
        <v>0.88185045430587017</v>
      </c>
      <c r="Q128" s="63">
        <v>1930115</v>
      </c>
      <c r="R128" s="63">
        <v>43767</v>
      </c>
      <c r="S128" s="63">
        <v>297213</v>
      </c>
      <c r="T128" s="65">
        <f t="shared" si="20"/>
        <v>0.55398334736213661</v>
      </c>
    </row>
    <row r="129" spans="1:20">
      <c r="A129" s="62" t="s">
        <v>157</v>
      </c>
      <c r="B129" s="62">
        <v>2017</v>
      </c>
      <c r="C129" s="63">
        <v>96776</v>
      </c>
      <c r="D129" s="63">
        <v>46439</v>
      </c>
      <c r="E129" s="64">
        <f t="shared" si="11"/>
        <v>0.47986070926676033</v>
      </c>
      <c r="F129" s="63">
        <v>20554</v>
      </c>
      <c r="G129" s="64">
        <f t="shared" si="18"/>
        <v>0.21238736876911632</v>
      </c>
      <c r="H129" s="63">
        <v>18722</v>
      </c>
      <c r="I129" s="63">
        <v>0</v>
      </c>
      <c r="J129" s="63">
        <f t="shared" si="19"/>
        <v>18722</v>
      </c>
      <c r="K129" s="64">
        <f t="shared" si="12"/>
        <v>0.19345705546829792</v>
      </c>
      <c r="L129" s="64">
        <f>J129/J126</f>
        <v>3.0965927886205757</v>
      </c>
      <c r="M129" s="63">
        <v>1261532</v>
      </c>
      <c r="N129" s="63">
        <v>20820</v>
      </c>
      <c r="O129" s="63">
        <v>1479073</v>
      </c>
      <c r="P129" s="65">
        <f t="shared" si="17"/>
        <v>0.85292071452862706</v>
      </c>
      <c r="Q129" s="63">
        <v>1951757</v>
      </c>
      <c r="R129" s="63">
        <v>43246</v>
      </c>
      <c r="S129" s="63">
        <v>264605</v>
      </c>
      <c r="T129" s="65">
        <f t="shared" si="20"/>
        <v>0.55368514709818895</v>
      </c>
    </row>
    <row r="130" spans="1:20">
      <c r="A130" s="62" t="s">
        <v>157</v>
      </c>
      <c r="B130" s="62">
        <v>2018</v>
      </c>
      <c r="C130" s="63">
        <v>100858</v>
      </c>
      <c r="D130" s="63">
        <v>46106</v>
      </c>
      <c r="E130" s="64">
        <f t="shared" ref="E130:E131" si="21">D130/C130</f>
        <v>0.45713775803605067</v>
      </c>
      <c r="F130" s="63">
        <v>20689</v>
      </c>
      <c r="G130" s="64">
        <f t="shared" si="18"/>
        <v>0.20512998473100796</v>
      </c>
      <c r="H130" s="63">
        <v>36073</v>
      </c>
      <c r="I130" s="63">
        <v>0</v>
      </c>
      <c r="J130" s="63">
        <f t="shared" si="19"/>
        <v>36073</v>
      </c>
      <c r="K130" s="64">
        <f t="shared" ref="K130:K131" si="22">J130/C130</f>
        <v>0.35766126633484702</v>
      </c>
      <c r="L130" s="64">
        <f>J130/J126</f>
        <v>5.9664240820377108</v>
      </c>
      <c r="M130" s="63">
        <v>1214447</v>
      </c>
      <c r="N130" s="63">
        <v>17618</v>
      </c>
      <c r="O130" s="63">
        <v>1438504</v>
      </c>
      <c r="P130" s="65">
        <f t="shared" si="17"/>
        <v>0.84424304694321328</v>
      </c>
      <c r="Q130" s="63">
        <v>1895883</v>
      </c>
      <c r="R130" s="63">
        <v>43055</v>
      </c>
      <c r="S130" s="63">
        <v>260313</v>
      </c>
      <c r="T130" s="65">
        <f t="shared" si="20"/>
        <v>0.55705182582828172</v>
      </c>
    </row>
    <row r="131" spans="1:20">
      <c r="A131" s="62" t="s">
        <v>157</v>
      </c>
      <c r="B131" s="62">
        <v>2019</v>
      </c>
      <c r="C131" s="63">
        <v>102453</v>
      </c>
      <c r="D131" s="63">
        <v>40122</v>
      </c>
      <c r="E131" s="64">
        <f t="shared" si="21"/>
        <v>0.39161371555737751</v>
      </c>
      <c r="F131" s="63">
        <v>17938</v>
      </c>
      <c r="G131" s="64">
        <f t="shared" si="18"/>
        <v>0.17508516100065397</v>
      </c>
      <c r="H131" s="63">
        <v>6730</v>
      </c>
      <c r="I131" s="63">
        <v>0</v>
      </c>
      <c r="J131" s="63">
        <f t="shared" si="19"/>
        <v>6730</v>
      </c>
      <c r="K131" s="64">
        <f t="shared" si="22"/>
        <v>6.5688657237953016E-2</v>
      </c>
      <c r="L131" s="64">
        <f t="shared" ref="L131" si="23">J131/J126</f>
        <v>1.1131326496857425</v>
      </c>
      <c r="M131" s="63">
        <v>1220726</v>
      </c>
      <c r="N131" s="63">
        <v>24622</v>
      </c>
      <c r="O131" s="63">
        <v>1466784</v>
      </c>
      <c r="P131" s="65">
        <f t="shared" si="17"/>
        <v>0.83224660209001466</v>
      </c>
      <c r="Q131" s="63">
        <v>1927555</v>
      </c>
      <c r="R131" s="63">
        <v>39760</v>
      </c>
      <c r="S131" s="63">
        <v>272787</v>
      </c>
      <c r="T131" s="65">
        <f t="shared" si="20"/>
        <v>0.56408170306485395</v>
      </c>
    </row>
    <row r="132" spans="1:20">
      <c r="A132" s="62" t="s">
        <v>283</v>
      </c>
      <c r="B132" s="62">
        <v>2015</v>
      </c>
      <c r="C132" s="63">
        <v>406.66399999999999</v>
      </c>
      <c r="D132" s="63">
        <v>84.01</v>
      </c>
      <c r="E132" s="64">
        <f t="shared" ref="E132:E195" si="24">D132/C132</f>
        <v>0.20658332185784828</v>
      </c>
      <c r="F132" s="63">
        <v>43.433999999999997</v>
      </c>
      <c r="G132" s="64">
        <f>F132/C132</f>
        <v>0.10680561839749769</v>
      </c>
      <c r="H132" s="63">
        <v>180.928</v>
      </c>
      <c r="I132" s="63">
        <v>-15.471</v>
      </c>
      <c r="J132" s="63">
        <f>H132+I132</f>
        <v>165.45699999999999</v>
      </c>
      <c r="K132" s="64">
        <f t="shared" ref="K132:K195" si="25">J132/C132</f>
        <v>0.40686414337143195</v>
      </c>
      <c r="L132" s="64">
        <f>J132/J132</f>
        <v>1</v>
      </c>
      <c r="M132" s="62">
        <v>86</v>
      </c>
      <c r="N132" s="62">
        <v>10</v>
      </c>
      <c r="O132" s="62">
        <v>24</v>
      </c>
      <c r="P132" s="65">
        <f>(M132-N132)/O132</f>
        <v>3.1666666666666665</v>
      </c>
      <c r="Q132" s="63">
        <v>260</v>
      </c>
      <c r="R132" s="63">
        <v>0</v>
      </c>
      <c r="S132" s="62">
        <v>124</v>
      </c>
      <c r="T132" s="65">
        <f>(O132+S132)/(M132+Q132-N132-R132)</f>
        <v>0.44047619047619047</v>
      </c>
    </row>
    <row r="133" spans="1:20">
      <c r="A133" s="62" t="s">
        <v>283</v>
      </c>
      <c r="B133" s="62">
        <v>2016</v>
      </c>
      <c r="C133" s="63">
        <v>403.34</v>
      </c>
      <c r="D133" s="63">
        <v>90.341999999999999</v>
      </c>
      <c r="E133" s="64">
        <f t="shared" si="24"/>
        <v>0.22398472752516488</v>
      </c>
      <c r="F133" s="63">
        <v>42.106999999999999</v>
      </c>
      <c r="G133" s="64">
        <f t="shared" ref="G133:G181" si="26">F133/C133</f>
        <v>0.10439579511082461</v>
      </c>
      <c r="H133" s="63">
        <v>186.98099999999999</v>
      </c>
      <c r="I133" s="63">
        <v>-21.728999999999999</v>
      </c>
      <c r="J133" s="63">
        <f>H133+I133</f>
        <v>165.25200000000001</v>
      </c>
      <c r="K133" s="64">
        <f t="shared" si="25"/>
        <v>0.40970893043090201</v>
      </c>
      <c r="L133" s="64">
        <f>J133/J132</f>
        <v>0.99876100739164864</v>
      </c>
      <c r="M133" s="62">
        <v>389</v>
      </c>
      <c r="N133" s="62">
        <v>55</v>
      </c>
      <c r="O133" s="62">
        <v>265</v>
      </c>
      <c r="P133" s="65">
        <f>(M133-N133)/O133</f>
        <v>1.260377358490566</v>
      </c>
      <c r="Q133" s="63">
        <v>1310</v>
      </c>
      <c r="R133" s="63">
        <v>0</v>
      </c>
      <c r="S133" s="62">
        <v>527</v>
      </c>
      <c r="T133" s="65">
        <f>(O133+S133)/(M133+Q133-N133-R133)</f>
        <v>0.48175182481751827</v>
      </c>
    </row>
    <row r="134" spans="1:20">
      <c r="A134" s="62" t="s">
        <v>283</v>
      </c>
      <c r="B134" s="62">
        <v>2017</v>
      </c>
      <c r="C134" s="62">
        <v>546</v>
      </c>
      <c r="D134" s="63">
        <v>202.798</v>
      </c>
      <c r="E134" s="64">
        <f t="shared" si="24"/>
        <v>0.37142490842490844</v>
      </c>
      <c r="F134" s="66">
        <v>132.42599999999999</v>
      </c>
      <c r="G134" s="64">
        <f t="shared" si="26"/>
        <v>0.24253846153846151</v>
      </c>
      <c r="H134" s="63">
        <v>309.81200000000001</v>
      </c>
      <c r="I134" s="63">
        <v>-59.186999999999998</v>
      </c>
      <c r="J134" s="63">
        <f t="shared" ref="J134:J136" si="27">H134+I134</f>
        <v>250.625</v>
      </c>
      <c r="K134" s="64">
        <f t="shared" si="25"/>
        <v>0.4590201465201465</v>
      </c>
      <c r="L134" s="64">
        <f>J134/J132</f>
        <v>1.5147440120393818</v>
      </c>
      <c r="M134" s="62">
        <v>300</v>
      </c>
      <c r="N134" s="62">
        <v>41</v>
      </c>
      <c r="O134" s="62">
        <v>130</v>
      </c>
      <c r="P134" s="65">
        <f>(M134-N134)/O134</f>
        <v>1.9923076923076923</v>
      </c>
      <c r="Q134" s="63">
        <v>1049</v>
      </c>
      <c r="R134" s="63">
        <v>0</v>
      </c>
      <c r="S134" s="62">
        <v>328</v>
      </c>
      <c r="T134" s="65">
        <f>(O134+S134)/(M134+Q134-N134-R134)</f>
        <v>0.35015290519877673</v>
      </c>
    </row>
    <row r="135" spans="1:20">
      <c r="A135" s="62" t="s">
        <v>283</v>
      </c>
      <c r="B135" s="62">
        <v>2018</v>
      </c>
      <c r="C135" s="63">
        <v>915.91099999999994</v>
      </c>
      <c r="D135" s="63">
        <v>387.08300000000003</v>
      </c>
      <c r="E135" s="64">
        <f t="shared" si="24"/>
        <v>0.42262075682025879</v>
      </c>
      <c r="F135" s="66">
        <v>273.94299999999998</v>
      </c>
      <c r="G135" s="64">
        <f t="shared" si="26"/>
        <v>0.29909347087216992</v>
      </c>
      <c r="H135" s="63">
        <v>553.01900000000001</v>
      </c>
      <c r="I135" s="63">
        <v>-275.20400000000001</v>
      </c>
      <c r="J135" s="63">
        <f t="shared" si="27"/>
        <v>277.815</v>
      </c>
      <c r="K135" s="64">
        <f t="shared" si="25"/>
        <v>0.30332095585706476</v>
      </c>
      <c r="L135" s="64">
        <f>J135/J132</f>
        <v>1.6790767389714549</v>
      </c>
      <c r="M135" s="62">
        <v>398</v>
      </c>
      <c r="N135" s="62">
        <v>40</v>
      </c>
      <c r="O135" s="62">
        <v>193</v>
      </c>
      <c r="P135" s="65">
        <f>(M135-N135)/O135</f>
        <v>1.854922279792746</v>
      </c>
      <c r="Q135" s="63">
        <v>1117</v>
      </c>
      <c r="R135" s="63">
        <v>0</v>
      </c>
      <c r="S135" s="62">
        <v>447</v>
      </c>
      <c r="T135" s="65">
        <f>(O135+S135)/(M135+Q135-N135-R135)</f>
        <v>0.43389830508474575</v>
      </c>
    </row>
    <row r="136" spans="1:20">
      <c r="A136" s="62" t="s">
        <v>283</v>
      </c>
      <c r="B136" s="62">
        <v>2019</v>
      </c>
      <c r="C136" s="63">
        <v>1379.9880000000001</v>
      </c>
      <c r="D136" s="63">
        <v>812.34</v>
      </c>
      <c r="E136" s="64">
        <f t="shared" si="24"/>
        <v>0.5886572926721102</v>
      </c>
      <c r="F136" s="63">
        <v>560.08000000000004</v>
      </c>
      <c r="G136" s="64">
        <f t="shared" si="26"/>
        <v>0.40585860166900001</v>
      </c>
      <c r="H136" s="63">
        <v>967.94500000000005</v>
      </c>
      <c r="I136" s="63">
        <v>-456.423</v>
      </c>
      <c r="J136" s="63">
        <f t="shared" si="27"/>
        <v>511.52200000000005</v>
      </c>
      <c r="K136" s="64">
        <f t="shared" si="25"/>
        <v>0.37067133917106526</v>
      </c>
      <c r="L136" s="64">
        <f>J136/J132</f>
        <v>3.0915706195567432</v>
      </c>
      <c r="M136" s="63">
        <v>707.20600000000002</v>
      </c>
      <c r="N136" s="63">
        <v>47.686</v>
      </c>
      <c r="O136" s="63">
        <v>416.94499999999999</v>
      </c>
      <c r="P136" s="65">
        <f>(M136-N136)/O136</f>
        <v>1.5817913633692693</v>
      </c>
      <c r="Q136" s="63">
        <v>1496.9259999999999</v>
      </c>
      <c r="R136" s="63">
        <v>0</v>
      </c>
      <c r="S136" s="63">
        <v>740.86300000000006</v>
      </c>
      <c r="T136" s="65">
        <f>(O136+S136)/(M136+Q136-N136-R136)</f>
        <v>0.53690563083888954</v>
      </c>
    </row>
    <row r="137" spans="1:20">
      <c r="A137" s="62" t="s">
        <v>288</v>
      </c>
      <c r="B137" s="62">
        <v>2015</v>
      </c>
      <c r="C137" s="63">
        <v>7729</v>
      </c>
      <c r="D137" s="63">
        <v>2796</v>
      </c>
      <c r="E137" s="64">
        <f t="shared" si="24"/>
        <v>0.36175443136240132</v>
      </c>
      <c r="F137" s="63">
        <v>220</v>
      </c>
      <c r="G137" s="64">
        <f t="shared" si="26"/>
        <v>2.8464225643679647E-2</v>
      </c>
      <c r="H137" s="63">
        <v>2145</v>
      </c>
      <c r="I137" s="63">
        <v>1401</v>
      </c>
      <c r="J137" s="63">
        <f t="shared" ref="J137:J200" si="28">H137-I137</f>
        <v>744</v>
      </c>
      <c r="K137" s="64">
        <f t="shared" si="25"/>
        <v>9.6260835813171172E-2</v>
      </c>
      <c r="L137" s="64">
        <f>J137/J137</f>
        <v>1</v>
      </c>
      <c r="M137" s="63">
        <v>4983</v>
      </c>
      <c r="N137" s="63">
        <v>1606</v>
      </c>
      <c r="O137" s="63">
        <v>1416</v>
      </c>
      <c r="P137" s="65">
        <f t="shared" ref="P137:P181" si="29">(M137-N137)/O137</f>
        <v>2.3848870056497176</v>
      </c>
      <c r="Q137" s="63">
        <v>20199</v>
      </c>
      <c r="R137" s="63">
        <v>152</v>
      </c>
      <c r="S137" s="63">
        <v>9474</v>
      </c>
      <c r="T137" s="65">
        <f t="shared" ref="T137:T181" si="30">(O137+S137)/(M137+Q137-N137-R137)</f>
        <v>0.46490778688524592</v>
      </c>
    </row>
    <row r="138" spans="1:20">
      <c r="A138" s="62" t="s">
        <v>288</v>
      </c>
      <c r="B138" s="62">
        <v>2016</v>
      </c>
      <c r="C138" s="63">
        <v>6711</v>
      </c>
      <c r="D138" s="63">
        <v>1442</v>
      </c>
      <c r="E138" s="64">
        <f t="shared" si="24"/>
        <v>0.21487110713753538</v>
      </c>
      <c r="F138" s="63">
        <v>-627</v>
      </c>
      <c r="G138" s="64">
        <f t="shared" si="26"/>
        <v>-9.3428699150648192E-2</v>
      </c>
      <c r="H138" s="63">
        <v>2786</v>
      </c>
      <c r="I138" s="63">
        <v>1133</v>
      </c>
      <c r="J138" s="63">
        <f t="shared" si="28"/>
        <v>1653</v>
      </c>
      <c r="K138" s="64">
        <f t="shared" si="25"/>
        <v>0.24631202503352703</v>
      </c>
      <c r="L138" s="64">
        <f>J138/J137</f>
        <v>2.221774193548387</v>
      </c>
      <c r="M138" s="63">
        <v>4677</v>
      </c>
      <c r="N138" s="63">
        <v>1380</v>
      </c>
      <c r="O138" s="63">
        <v>1750</v>
      </c>
      <c r="P138" s="65">
        <f t="shared" si="29"/>
        <v>1.8839999999999999</v>
      </c>
      <c r="Q138" s="63">
        <v>16354</v>
      </c>
      <c r="R138" s="63">
        <v>0</v>
      </c>
      <c r="S138" s="63">
        <v>7407</v>
      </c>
      <c r="T138" s="65">
        <f t="shared" si="30"/>
        <v>0.46598137499363901</v>
      </c>
    </row>
    <row r="139" spans="1:20">
      <c r="A139" s="62" t="s">
        <v>288</v>
      </c>
      <c r="B139" s="62">
        <v>2017</v>
      </c>
      <c r="C139" s="63">
        <v>7348</v>
      </c>
      <c r="D139" s="63">
        <v>2735</v>
      </c>
      <c r="E139" s="64">
        <f t="shared" si="24"/>
        <v>0.37221012520413715</v>
      </c>
      <c r="F139" s="63">
        <v>-98</v>
      </c>
      <c r="G139" s="64">
        <f t="shared" si="26"/>
        <v>-1.3336962438758846E-2</v>
      </c>
      <c r="H139" s="63">
        <v>2335</v>
      </c>
      <c r="I139" s="63">
        <v>866</v>
      </c>
      <c r="J139" s="63">
        <f t="shared" si="28"/>
        <v>1469</v>
      </c>
      <c r="K139" s="64">
        <f t="shared" si="25"/>
        <v>0.19991834512792597</v>
      </c>
      <c r="L139" s="64">
        <f>J139/J137</f>
        <v>1.9744623655913978</v>
      </c>
      <c r="M139" s="63">
        <v>5066</v>
      </c>
      <c r="N139" s="63">
        <v>1355</v>
      </c>
      <c r="O139" s="63">
        <v>1395</v>
      </c>
      <c r="P139" s="65">
        <f t="shared" si="29"/>
        <v>2.6602150537634408</v>
      </c>
      <c r="Q139" s="63">
        <v>15497</v>
      </c>
      <c r="R139" s="63">
        <v>0</v>
      </c>
      <c r="S139" s="63">
        <v>7538</v>
      </c>
      <c r="T139" s="65">
        <f t="shared" si="30"/>
        <v>0.46506663890045813</v>
      </c>
    </row>
    <row r="140" spans="1:20">
      <c r="A140" s="62" t="s">
        <v>288</v>
      </c>
      <c r="B140" s="62">
        <v>2018</v>
      </c>
      <c r="C140" s="63">
        <v>7253</v>
      </c>
      <c r="D140" s="63">
        <v>2226</v>
      </c>
      <c r="E140" s="64">
        <f t="shared" si="24"/>
        <v>0.30690748655728661</v>
      </c>
      <c r="F140" s="62">
        <v>341</v>
      </c>
      <c r="G140" s="64">
        <f t="shared" si="26"/>
        <v>4.701502826416655E-2</v>
      </c>
      <c r="H140" s="63">
        <v>1827</v>
      </c>
      <c r="I140" s="63">
        <v>1032</v>
      </c>
      <c r="J140" s="63">
        <f t="shared" si="28"/>
        <v>795</v>
      </c>
      <c r="K140" s="64">
        <f t="shared" si="25"/>
        <v>0.10960981662760237</v>
      </c>
      <c r="L140" s="64">
        <f>J140/J137</f>
        <v>1.0685483870967742</v>
      </c>
      <c r="M140" s="63">
        <v>5277</v>
      </c>
      <c r="N140" s="63">
        <v>1327</v>
      </c>
      <c r="O140" s="63">
        <v>1787</v>
      </c>
      <c r="P140" s="65">
        <f t="shared" si="29"/>
        <v>2.2104085058757694</v>
      </c>
      <c r="Q140" s="63">
        <v>15438</v>
      </c>
      <c r="R140" s="63">
        <v>0</v>
      </c>
      <c r="S140" s="63">
        <v>7416</v>
      </c>
      <c r="T140" s="65">
        <f t="shared" si="30"/>
        <v>0.47467505673612542</v>
      </c>
    </row>
    <row r="141" spans="1:20">
      <c r="A141" s="62" t="s">
        <v>288</v>
      </c>
      <c r="B141" s="62">
        <v>2019</v>
      </c>
      <c r="C141" s="63">
        <v>9740</v>
      </c>
      <c r="D141" s="63">
        <v>3781</v>
      </c>
      <c r="E141" s="64">
        <f t="shared" si="24"/>
        <v>0.38819301848049281</v>
      </c>
      <c r="F141" s="63">
        <v>2805</v>
      </c>
      <c r="G141" s="64">
        <f t="shared" si="26"/>
        <v>0.28798767967145789</v>
      </c>
      <c r="H141" s="63">
        <v>2866</v>
      </c>
      <c r="I141" s="63">
        <v>1463</v>
      </c>
      <c r="J141" s="63">
        <f t="shared" si="28"/>
        <v>1403</v>
      </c>
      <c r="K141" s="64">
        <f t="shared" si="25"/>
        <v>0.14404517453798768</v>
      </c>
      <c r="L141" s="64">
        <f>J141/J137</f>
        <v>1.885752688172043</v>
      </c>
      <c r="M141" s="63">
        <v>6272</v>
      </c>
      <c r="N141" s="63">
        <v>1826</v>
      </c>
      <c r="O141" s="63">
        <v>2385</v>
      </c>
      <c r="P141" s="65">
        <f t="shared" si="29"/>
        <v>1.8641509433962264</v>
      </c>
      <c r="Q141" s="63">
        <v>33702</v>
      </c>
      <c r="R141" s="63">
        <v>2674</v>
      </c>
      <c r="S141" s="63">
        <v>15172</v>
      </c>
      <c r="T141" s="65">
        <f t="shared" si="30"/>
        <v>0.49492586119411403</v>
      </c>
    </row>
    <row r="142" spans="1:20">
      <c r="A142" s="62" t="s">
        <v>285</v>
      </c>
      <c r="B142" s="62">
        <v>2015</v>
      </c>
      <c r="C142" s="63">
        <v>10248</v>
      </c>
      <c r="D142" s="63">
        <v>1700</v>
      </c>
      <c r="E142" s="64">
        <f t="shared" si="24"/>
        <v>0.16588602654176424</v>
      </c>
      <c r="F142" s="63">
        <v>-2907</v>
      </c>
      <c r="G142" s="64">
        <f t="shared" si="26"/>
        <v>-0.28366510538641687</v>
      </c>
      <c r="H142" s="63">
        <v>2296</v>
      </c>
      <c r="I142" s="63">
        <v>2432</v>
      </c>
      <c r="J142" s="63">
        <f t="shared" si="28"/>
        <v>-136</v>
      </c>
      <c r="K142" s="64">
        <f t="shared" si="25"/>
        <v>-1.3270882123341141E-2</v>
      </c>
      <c r="L142" s="64">
        <f>J142/ABS(J142)</f>
        <v>-1</v>
      </c>
      <c r="M142" s="63">
        <v>6150</v>
      </c>
      <c r="N142" s="63">
        <v>2722</v>
      </c>
      <c r="O142" s="63">
        <v>2560</v>
      </c>
      <c r="P142" s="65">
        <f t="shared" si="29"/>
        <v>1.3390625</v>
      </c>
      <c r="Q142" s="63">
        <v>27729</v>
      </c>
      <c r="R142" s="63">
        <v>4734</v>
      </c>
      <c r="S142" s="63">
        <v>21017</v>
      </c>
      <c r="T142" s="65">
        <f t="shared" si="30"/>
        <v>0.89229080725125842</v>
      </c>
    </row>
    <row r="143" spans="1:20">
      <c r="A143" s="62" t="s">
        <v>285</v>
      </c>
      <c r="B143" s="62">
        <v>2016</v>
      </c>
      <c r="C143" s="63">
        <v>9035</v>
      </c>
      <c r="D143" s="63">
        <v>2635</v>
      </c>
      <c r="E143" s="64">
        <f t="shared" si="24"/>
        <v>0.29164360819037077</v>
      </c>
      <c r="F143" s="63">
        <v>-2838</v>
      </c>
      <c r="G143" s="64">
        <f t="shared" si="26"/>
        <v>-0.31411178749308244</v>
      </c>
      <c r="H143" s="63">
        <v>2794</v>
      </c>
      <c r="I143" s="63">
        <v>1713</v>
      </c>
      <c r="J143" s="63">
        <f t="shared" si="28"/>
        <v>1081</v>
      </c>
      <c r="K143" s="64">
        <f t="shared" si="25"/>
        <v>0.11964582180409518</v>
      </c>
      <c r="L143" s="64">
        <f>J143/ABS(J139)</f>
        <v>0.73587474472430225</v>
      </c>
      <c r="M143" s="63">
        <v>5468</v>
      </c>
      <c r="N143" s="63">
        <v>1717</v>
      </c>
      <c r="O143" s="63">
        <v>1847</v>
      </c>
      <c r="P143" s="65">
        <f t="shared" si="29"/>
        <v>2.0308608554412562</v>
      </c>
      <c r="Q143" s="63">
        <v>20840</v>
      </c>
      <c r="R143" s="63">
        <v>1399</v>
      </c>
      <c r="S143" s="63">
        <v>16853</v>
      </c>
      <c r="T143" s="65">
        <f t="shared" si="30"/>
        <v>0.80631252155915834</v>
      </c>
    </row>
    <row r="144" spans="1:20">
      <c r="A144" s="62" t="s">
        <v>285</v>
      </c>
      <c r="B144" s="62">
        <v>2017</v>
      </c>
      <c r="C144" s="63">
        <v>8558</v>
      </c>
      <c r="D144" s="63">
        <v>4510</v>
      </c>
      <c r="E144" s="64">
        <f t="shared" si="24"/>
        <v>0.52699228791773778</v>
      </c>
      <c r="F144" s="63">
        <v>655</v>
      </c>
      <c r="G144" s="64">
        <f t="shared" si="26"/>
        <v>7.6536573965879873E-2</v>
      </c>
      <c r="H144" s="63">
        <v>2640</v>
      </c>
      <c r="I144" s="63">
        <v>1126</v>
      </c>
      <c r="J144" s="63">
        <f t="shared" si="28"/>
        <v>1514</v>
      </c>
      <c r="K144" s="64">
        <f t="shared" si="25"/>
        <v>0.17691049310586585</v>
      </c>
      <c r="L144" s="64">
        <f>J144/ABS(J140)</f>
        <v>1.9044025157232705</v>
      </c>
      <c r="M144" s="63">
        <v>4874</v>
      </c>
      <c r="N144" s="63">
        <v>1930</v>
      </c>
      <c r="O144" s="63">
        <v>1819</v>
      </c>
      <c r="P144" s="65">
        <f t="shared" si="29"/>
        <v>1.6184716877405168</v>
      </c>
      <c r="Q144" s="63">
        <v>20390</v>
      </c>
      <c r="R144" s="63">
        <v>1396</v>
      </c>
      <c r="S144" s="63">
        <v>14951</v>
      </c>
      <c r="T144" s="65">
        <f t="shared" si="30"/>
        <v>0.76442702160634513</v>
      </c>
    </row>
    <row r="145" spans="1:20">
      <c r="A145" s="62" t="s">
        <v>285</v>
      </c>
      <c r="B145" s="62">
        <v>2018</v>
      </c>
      <c r="C145" s="63">
        <v>8374</v>
      </c>
      <c r="D145" s="63">
        <v>4310</v>
      </c>
      <c r="E145" s="64">
        <f t="shared" si="24"/>
        <v>0.51468832099355144</v>
      </c>
      <c r="F145" s="63">
        <v>1438</v>
      </c>
      <c r="G145" s="64">
        <f t="shared" si="26"/>
        <v>0.17172199665631718</v>
      </c>
      <c r="H145" s="63">
        <v>2065</v>
      </c>
      <c r="I145" s="63">
        <v>1396</v>
      </c>
      <c r="J145" s="63">
        <f t="shared" si="28"/>
        <v>669</v>
      </c>
      <c r="K145" s="64">
        <f t="shared" si="25"/>
        <v>7.9890136135657985E-2</v>
      </c>
      <c r="L145" s="64">
        <f>J145/ABS(J139)</f>
        <v>0.45541184479237579</v>
      </c>
      <c r="M145" s="63">
        <v>4684</v>
      </c>
      <c r="N145" s="63">
        <v>1890</v>
      </c>
      <c r="O145" s="63">
        <v>1747</v>
      </c>
      <c r="P145" s="65">
        <f t="shared" si="29"/>
        <v>1.5993131081854608</v>
      </c>
      <c r="Q145" s="63">
        <v>20624</v>
      </c>
      <c r="R145" s="63">
        <v>1350</v>
      </c>
      <c r="S145" s="63">
        <v>14241</v>
      </c>
      <c r="T145" s="65">
        <f t="shared" si="30"/>
        <v>0.72448794634765268</v>
      </c>
    </row>
    <row r="146" spans="1:20">
      <c r="A146" s="62" t="s">
        <v>285</v>
      </c>
      <c r="B146" s="62">
        <v>2019</v>
      </c>
      <c r="C146" s="63">
        <v>7243</v>
      </c>
      <c r="D146" s="63">
        <v>2199</v>
      </c>
      <c r="E146" s="64">
        <f t="shared" si="24"/>
        <v>0.30360347922131714</v>
      </c>
      <c r="F146" s="63">
        <v>-1545</v>
      </c>
      <c r="G146" s="64">
        <f t="shared" si="26"/>
        <v>-0.21330940218141653</v>
      </c>
      <c r="H146" s="63">
        <v>1765</v>
      </c>
      <c r="I146" s="63">
        <v>1400</v>
      </c>
      <c r="J146" s="63">
        <f t="shared" si="28"/>
        <v>365</v>
      </c>
      <c r="K146" s="64">
        <f t="shared" si="25"/>
        <v>5.0393483363247275E-2</v>
      </c>
      <c r="L146" s="64">
        <f>J146/ABS(J139)</f>
        <v>0.24846834581347857</v>
      </c>
      <c r="M146" s="63">
        <v>3978</v>
      </c>
      <c r="N146" s="63">
        <v>1852</v>
      </c>
      <c r="O146" s="63">
        <v>1668</v>
      </c>
      <c r="P146" s="65">
        <f t="shared" si="29"/>
        <v>1.2745803357314149</v>
      </c>
      <c r="Q146" s="63">
        <v>18653</v>
      </c>
      <c r="R146" s="63">
        <v>1192</v>
      </c>
      <c r="S146" s="63">
        <v>13246</v>
      </c>
      <c r="T146" s="65">
        <f t="shared" si="30"/>
        <v>0.76142339306683005</v>
      </c>
    </row>
    <row r="147" spans="1:20">
      <c r="A147" s="62" t="s">
        <v>129</v>
      </c>
      <c r="B147" s="62">
        <v>2015</v>
      </c>
      <c r="C147" s="63">
        <v>35475</v>
      </c>
      <c r="D147" s="63">
        <v>9373</v>
      </c>
      <c r="E147" s="64">
        <f t="shared" si="24"/>
        <v>0.2642142353770261</v>
      </c>
      <c r="F147" s="63">
        <v>2072</v>
      </c>
      <c r="G147" s="64">
        <f t="shared" si="26"/>
        <v>5.8407329105003521E-2</v>
      </c>
      <c r="H147" s="63">
        <v>8572</v>
      </c>
      <c r="I147" s="63">
        <v>2896</v>
      </c>
      <c r="J147" s="63">
        <f t="shared" si="28"/>
        <v>5676</v>
      </c>
      <c r="K147" s="64">
        <f t="shared" si="25"/>
        <v>0.16</v>
      </c>
      <c r="L147" s="64">
        <f>J147/J147</f>
        <v>1</v>
      </c>
      <c r="M147" s="63">
        <v>26912</v>
      </c>
      <c r="N147" s="63">
        <v>3756</v>
      </c>
      <c r="O147" s="63">
        <v>14121</v>
      </c>
      <c r="P147" s="62">
        <f t="shared" si="29"/>
        <v>1.6398272077048368</v>
      </c>
      <c r="Q147" s="63">
        <v>41093</v>
      </c>
      <c r="R147" s="63">
        <v>20174</v>
      </c>
      <c r="S147" s="63">
        <v>17979</v>
      </c>
      <c r="T147" s="65">
        <f t="shared" si="30"/>
        <v>0.72830402722631882</v>
      </c>
    </row>
    <row r="148" spans="1:20">
      <c r="A148" s="62" t="s">
        <v>129</v>
      </c>
      <c r="B148" s="62">
        <v>2016</v>
      </c>
      <c r="C148" s="63">
        <v>27810</v>
      </c>
      <c r="D148" s="63">
        <v>5937</v>
      </c>
      <c r="E148" s="64">
        <f t="shared" si="24"/>
        <v>0.21348435814455233</v>
      </c>
      <c r="F148" s="63">
        <v>-1687</v>
      </c>
      <c r="G148" s="64">
        <f t="shared" si="26"/>
        <v>-6.0661632506292702E-2</v>
      </c>
      <c r="H148" s="63">
        <v>6261</v>
      </c>
      <c r="I148" s="63">
        <v>2685</v>
      </c>
      <c r="J148" s="63">
        <f t="shared" si="28"/>
        <v>3576</v>
      </c>
      <c r="K148" s="64">
        <f t="shared" si="25"/>
        <v>0.12858683926645093</v>
      </c>
      <c r="L148" s="64">
        <f>J148/J147</f>
        <v>0.63002114164904865</v>
      </c>
      <c r="M148" s="63">
        <v>23927</v>
      </c>
      <c r="N148" s="63">
        <v>4225</v>
      </c>
      <c r="O148" s="63">
        <v>15059</v>
      </c>
      <c r="P148" s="62">
        <f t="shared" si="29"/>
        <v>1.3083206056179029</v>
      </c>
      <c r="Q148" s="63">
        <v>54029</v>
      </c>
      <c r="R148" s="63">
        <v>34845</v>
      </c>
      <c r="S148" s="63">
        <v>21368</v>
      </c>
      <c r="T148" s="65">
        <f t="shared" si="30"/>
        <v>0.93676387388777449</v>
      </c>
    </row>
    <row r="149" spans="1:20">
      <c r="A149" s="62" t="s">
        <v>129</v>
      </c>
      <c r="B149" s="62">
        <v>2017</v>
      </c>
      <c r="C149" s="63">
        <v>30440</v>
      </c>
      <c r="D149" s="63">
        <v>6263</v>
      </c>
      <c r="E149" s="64">
        <f t="shared" si="24"/>
        <v>0.20574901445466492</v>
      </c>
      <c r="F149" s="63">
        <v>-1505</v>
      </c>
      <c r="G149" s="64">
        <f t="shared" si="26"/>
        <v>-4.9441524310118265E-2</v>
      </c>
      <c r="H149" s="63">
        <v>5663</v>
      </c>
      <c r="I149" s="63">
        <v>2383</v>
      </c>
      <c r="J149" s="63">
        <f t="shared" si="28"/>
        <v>3280</v>
      </c>
      <c r="K149" s="64">
        <f t="shared" si="25"/>
        <v>0.10775295663600526</v>
      </c>
      <c r="L149" s="64">
        <f>J149/J147</f>
        <v>0.57787174066243829</v>
      </c>
      <c r="M149" s="63">
        <v>18497</v>
      </c>
      <c r="N149" s="63">
        <v>4046</v>
      </c>
      <c r="O149" s="63">
        <v>15282</v>
      </c>
      <c r="P149" s="62">
        <f t="shared" si="29"/>
        <v>0.94562230074597564</v>
      </c>
      <c r="Q149" s="63">
        <v>53490</v>
      </c>
      <c r="R149" s="63">
        <v>34472</v>
      </c>
      <c r="S149" s="63">
        <v>19444</v>
      </c>
      <c r="T149" s="65">
        <f t="shared" si="30"/>
        <v>1.0375571424303087</v>
      </c>
    </row>
    <row r="150" spans="1:20">
      <c r="A150" s="62" t="s">
        <v>129</v>
      </c>
      <c r="B150" s="62">
        <v>2018</v>
      </c>
      <c r="C150" s="63">
        <v>32815</v>
      </c>
      <c r="D150" s="63">
        <v>6190</v>
      </c>
      <c r="E150" s="64">
        <f t="shared" si="24"/>
        <v>0.18863324699070547</v>
      </c>
      <c r="F150" s="63">
        <v>2138</v>
      </c>
      <c r="G150" s="64">
        <f t="shared" si="26"/>
        <v>6.5153131190004571E-2</v>
      </c>
      <c r="H150" s="63">
        <v>5713</v>
      </c>
      <c r="I150" s="63">
        <v>2260</v>
      </c>
      <c r="J150" s="63">
        <f t="shared" si="28"/>
        <v>3453</v>
      </c>
      <c r="K150" s="64">
        <f t="shared" si="25"/>
        <v>0.10522626847478288</v>
      </c>
      <c r="L150" s="64">
        <f>J150/J147</f>
        <v>0.60835095137420714</v>
      </c>
      <c r="M150" s="63">
        <v>15731</v>
      </c>
      <c r="N150" s="63">
        <v>4010</v>
      </c>
      <c r="O150" s="63">
        <v>13486</v>
      </c>
      <c r="P150" s="62">
        <f t="shared" si="29"/>
        <v>0.86912353551831534</v>
      </c>
      <c r="Q150" s="63">
        <v>54776</v>
      </c>
      <c r="R150" s="63">
        <v>33658</v>
      </c>
      <c r="S150" s="63">
        <v>20435</v>
      </c>
      <c r="T150" s="65">
        <f t="shared" si="30"/>
        <v>1.0329486281555467</v>
      </c>
    </row>
    <row r="151" spans="1:20">
      <c r="A151" s="62" t="s">
        <v>129</v>
      </c>
      <c r="B151" s="62">
        <v>2019</v>
      </c>
      <c r="C151" s="63">
        <v>32917</v>
      </c>
      <c r="D151" s="63">
        <v>5888</v>
      </c>
      <c r="E151" s="64">
        <f t="shared" si="24"/>
        <v>0.17887413798341284</v>
      </c>
      <c r="F151" s="63">
        <v>-10137</v>
      </c>
      <c r="G151" s="64">
        <f t="shared" si="26"/>
        <v>-0.30795637512531521</v>
      </c>
      <c r="H151" s="63">
        <v>5431</v>
      </c>
      <c r="I151" s="63">
        <v>1955</v>
      </c>
      <c r="J151" s="63">
        <f t="shared" si="28"/>
        <v>3476</v>
      </c>
      <c r="K151" s="64">
        <f t="shared" si="25"/>
        <v>0.10559893064374032</v>
      </c>
      <c r="L151" s="64">
        <f>J151/J147</f>
        <v>0.61240310077519378</v>
      </c>
      <c r="M151" s="63">
        <v>15530</v>
      </c>
      <c r="N151" s="63">
        <v>4130</v>
      </c>
      <c r="O151" s="63">
        <v>13098</v>
      </c>
      <c r="P151" s="62">
        <f t="shared" si="29"/>
        <v>0.87036188731103981</v>
      </c>
      <c r="Q151" s="63">
        <v>40782</v>
      </c>
      <c r="R151" s="63">
        <v>23131</v>
      </c>
      <c r="S151" s="63">
        <v>19038</v>
      </c>
      <c r="T151" s="65">
        <f t="shared" si="30"/>
        <v>1.1061925579153902</v>
      </c>
    </row>
    <row r="152" spans="1:20">
      <c r="A152" s="62" t="s">
        <v>126</v>
      </c>
      <c r="B152" s="62">
        <v>2015</v>
      </c>
      <c r="C152" s="63">
        <v>236810</v>
      </c>
      <c r="D152" s="63">
        <v>30931</v>
      </c>
      <c r="E152" s="64">
        <f t="shared" si="24"/>
        <v>0.13061526117984881</v>
      </c>
      <c r="F152" s="63">
        <v>16150</v>
      </c>
      <c r="G152" s="64">
        <f t="shared" si="26"/>
        <v>6.8198133524766696E-2</v>
      </c>
      <c r="H152" s="63">
        <v>30344</v>
      </c>
      <c r="I152" s="63">
        <v>26490</v>
      </c>
      <c r="J152" s="63">
        <f t="shared" si="28"/>
        <v>3854</v>
      </c>
      <c r="K152" s="64">
        <f t="shared" si="25"/>
        <v>1.6274650563743085E-2</v>
      </c>
      <c r="L152" s="64">
        <f>J152/J152</f>
        <v>1</v>
      </c>
      <c r="M152" s="63">
        <v>42623</v>
      </c>
      <c r="N152" s="63">
        <v>16245</v>
      </c>
      <c r="O152" s="63">
        <v>53976</v>
      </c>
      <c r="P152" s="62">
        <f t="shared" si="29"/>
        <v>0.48869868089521268</v>
      </c>
      <c r="Q152" s="63">
        <v>294135</v>
      </c>
      <c r="R152" s="63">
        <v>0</v>
      </c>
      <c r="S152" s="63">
        <v>159948</v>
      </c>
      <c r="T152" s="65">
        <f t="shared" si="30"/>
        <v>0.66744250623219648</v>
      </c>
    </row>
    <row r="153" spans="1:20">
      <c r="A153" s="62" t="s">
        <v>126</v>
      </c>
      <c r="B153" s="62">
        <v>2016</v>
      </c>
      <c r="C153" s="63">
        <v>197518</v>
      </c>
      <c r="D153" s="63">
        <v>23244</v>
      </c>
      <c r="E153" s="64">
        <f t="shared" si="24"/>
        <v>0.11768041393695765</v>
      </c>
      <c r="F153" s="63">
        <v>7840</v>
      </c>
      <c r="G153" s="64">
        <f t="shared" si="26"/>
        <v>3.9692584979596796E-2</v>
      </c>
      <c r="H153" s="63">
        <v>22082</v>
      </c>
      <c r="I153" s="63">
        <v>16163</v>
      </c>
      <c r="J153" s="63">
        <f t="shared" si="28"/>
        <v>5919</v>
      </c>
      <c r="K153" s="64">
        <f t="shared" si="25"/>
        <v>2.9966889093652225E-2</v>
      </c>
      <c r="L153" s="64">
        <f>J153/J152</f>
        <v>1.5358069538142189</v>
      </c>
      <c r="M153" s="63">
        <v>41416</v>
      </c>
      <c r="N153" s="63">
        <v>15080</v>
      </c>
      <c r="O153" s="63">
        <v>47638</v>
      </c>
      <c r="P153" s="62">
        <f t="shared" si="29"/>
        <v>0.55283597128342921</v>
      </c>
      <c r="Q153" s="63">
        <v>288898</v>
      </c>
      <c r="R153" s="63">
        <v>0</v>
      </c>
      <c r="S153" s="63">
        <v>156484</v>
      </c>
      <c r="T153" s="65">
        <f t="shared" si="30"/>
        <v>0.64752533038948845</v>
      </c>
    </row>
    <row r="154" spans="1:20">
      <c r="A154" s="62" t="s">
        <v>126</v>
      </c>
      <c r="B154" s="62">
        <v>2017</v>
      </c>
      <c r="C154" s="63">
        <v>237162</v>
      </c>
      <c r="D154" s="63">
        <v>31967</v>
      </c>
      <c r="E154" s="64">
        <f t="shared" si="24"/>
        <v>0.13478972179354196</v>
      </c>
      <c r="F154" s="63">
        <v>19710</v>
      </c>
      <c r="G154" s="64">
        <f t="shared" si="26"/>
        <v>8.3107749133503675E-2</v>
      </c>
      <c r="H154" s="63">
        <v>30066</v>
      </c>
      <c r="I154" s="63">
        <v>15402</v>
      </c>
      <c r="J154" s="63">
        <f t="shared" si="28"/>
        <v>14664</v>
      </c>
      <c r="K154" s="64">
        <f t="shared" si="25"/>
        <v>6.1831153388822828E-2</v>
      </c>
      <c r="L154" s="64">
        <f>J154/J152</f>
        <v>3.8048780487804876</v>
      </c>
      <c r="M154" s="63">
        <v>47134</v>
      </c>
      <c r="N154" s="63">
        <v>16992</v>
      </c>
      <c r="O154" s="63">
        <v>57771</v>
      </c>
      <c r="P154" s="62">
        <f t="shared" si="29"/>
        <v>0.52174966678783474</v>
      </c>
      <c r="Q154" s="63">
        <v>301557</v>
      </c>
      <c r="R154" s="63">
        <v>0</v>
      </c>
      <c r="S154" s="63">
        <v>154191</v>
      </c>
      <c r="T154" s="65">
        <f t="shared" si="30"/>
        <v>0.63901911069976092</v>
      </c>
    </row>
    <row r="155" spans="1:20">
      <c r="A155" s="62" t="s">
        <v>126</v>
      </c>
      <c r="B155" s="62">
        <v>2018</v>
      </c>
      <c r="C155" s="63">
        <v>279332</v>
      </c>
      <c r="D155" s="63">
        <v>40869</v>
      </c>
      <c r="E155" s="64">
        <f t="shared" si="24"/>
        <v>0.14630976758838946</v>
      </c>
      <c r="F155" s="63">
        <v>20840</v>
      </c>
      <c r="G155" s="64">
        <f t="shared" si="26"/>
        <v>7.4606561367834695E-2</v>
      </c>
      <c r="H155" s="63">
        <v>36014</v>
      </c>
      <c r="I155" s="63">
        <v>19574</v>
      </c>
      <c r="J155" s="63">
        <f t="shared" si="28"/>
        <v>16440</v>
      </c>
      <c r="K155" s="64">
        <f t="shared" si="25"/>
        <v>5.8854696203800495E-2</v>
      </c>
      <c r="L155" s="64">
        <f>J155/J152</f>
        <v>4.2656979761286973</v>
      </c>
      <c r="M155" s="63">
        <v>47973</v>
      </c>
      <c r="N155" s="63">
        <v>18958</v>
      </c>
      <c r="O155" s="63">
        <v>57138</v>
      </c>
      <c r="P155" s="62">
        <f t="shared" si="29"/>
        <v>0.50780566348139589</v>
      </c>
      <c r="Q155" s="63">
        <v>298223</v>
      </c>
      <c r="R155" s="63">
        <v>0</v>
      </c>
      <c r="S155" s="63">
        <v>147668</v>
      </c>
      <c r="T155" s="65">
        <f t="shared" si="30"/>
        <v>0.62586252207873172</v>
      </c>
    </row>
    <row r="156" spans="1:20">
      <c r="A156" s="62" t="s">
        <v>126</v>
      </c>
      <c r="B156" s="62">
        <v>2019</v>
      </c>
      <c r="C156" s="63">
        <v>255583</v>
      </c>
      <c r="D156" s="63">
        <v>31764</v>
      </c>
      <c r="E156" s="64">
        <f t="shared" si="24"/>
        <v>0.12428056639134841</v>
      </c>
      <c r="F156" s="63">
        <v>14340</v>
      </c>
      <c r="G156" s="64">
        <f t="shared" si="26"/>
        <v>5.6107018072407006E-2</v>
      </c>
      <c r="H156" s="63">
        <v>29716</v>
      </c>
      <c r="I156" s="63">
        <v>24361</v>
      </c>
      <c r="J156" s="63">
        <f t="shared" si="28"/>
        <v>5355</v>
      </c>
      <c r="K156" s="64">
        <f t="shared" si="25"/>
        <v>2.0952097752980441E-2</v>
      </c>
      <c r="L156" s="64">
        <f>J156/J152</f>
        <v>1.3894654903995849</v>
      </c>
      <c r="M156" s="63">
        <v>50052</v>
      </c>
      <c r="N156" s="63">
        <v>18528</v>
      </c>
      <c r="O156" s="63">
        <v>63989</v>
      </c>
      <c r="P156" s="62">
        <f t="shared" si="29"/>
        <v>0.49264717373298533</v>
      </c>
      <c r="Q156" s="63">
        <v>312545</v>
      </c>
      <c r="R156" s="63">
        <v>0</v>
      </c>
      <c r="S156" s="63">
        <v>163659</v>
      </c>
      <c r="T156" s="65">
        <f t="shared" si="30"/>
        <v>0.66163473024306174</v>
      </c>
    </row>
    <row r="157" spans="1:20">
      <c r="A157" s="62" t="s">
        <v>369</v>
      </c>
      <c r="B157" s="62">
        <v>2015</v>
      </c>
      <c r="C157" s="63">
        <v>12480</v>
      </c>
      <c r="D157" s="63">
        <v>-4171</v>
      </c>
      <c r="E157" s="64">
        <f t="shared" si="24"/>
        <v>-0.33421474358974357</v>
      </c>
      <c r="F157" s="63">
        <v>-7829</v>
      </c>
      <c r="G157" s="64">
        <f t="shared" si="26"/>
        <v>-0.627323717948718</v>
      </c>
      <c r="H157" s="63">
        <v>3351</v>
      </c>
      <c r="I157" s="63">
        <v>5272</v>
      </c>
      <c r="J157" s="63">
        <f t="shared" si="28"/>
        <v>-1921</v>
      </c>
      <c r="K157" s="64">
        <f t="shared" si="25"/>
        <v>-0.15392628205128206</v>
      </c>
      <c r="L157" s="64">
        <f>J157/ABS(J157)</f>
        <v>-1</v>
      </c>
      <c r="M157" s="63">
        <v>9402</v>
      </c>
      <c r="N157" s="63">
        <v>986</v>
      </c>
      <c r="O157" s="63">
        <v>6842</v>
      </c>
      <c r="P157" s="62">
        <f t="shared" si="29"/>
        <v>1.2300496930722011</v>
      </c>
      <c r="Q157" s="63">
        <v>34035</v>
      </c>
      <c r="R157" s="63">
        <v>0</v>
      </c>
      <c r="S157" s="63">
        <v>19087</v>
      </c>
      <c r="T157" s="65">
        <f t="shared" si="30"/>
        <v>0.61079833219476576</v>
      </c>
    </row>
    <row r="158" spans="1:20">
      <c r="A158" s="62" t="s">
        <v>369</v>
      </c>
      <c r="B158" s="62">
        <v>2016</v>
      </c>
      <c r="C158" s="63">
        <v>10090</v>
      </c>
      <c r="D158" s="63">
        <v>2757</v>
      </c>
      <c r="E158" s="64">
        <f t="shared" si="24"/>
        <v>0.27324083250743308</v>
      </c>
      <c r="F158" s="63">
        <v>-574</v>
      </c>
      <c r="G158" s="64">
        <f t="shared" si="26"/>
        <v>-5.6888007928642223E-2</v>
      </c>
      <c r="H158" s="63">
        <v>3383</v>
      </c>
      <c r="I158" s="63">
        <v>2717</v>
      </c>
      <c r="J158" s="63">
        <f t="shared" si="28"/>
        <v>666</v>
      </c>
      <c r="K158" s="64">
        <f t="shared" si="25"/>
        <v>6.6005946481665009E-2</v>
      </c>
      <c r="L158" s="64">
        <f>J158/ABS(J157)</f>
        <v>0.34669442998438316</v>
      </c>
      <c r="M158" s="63">
        <v>8428</v>
      </c>
      <c r="N158" s="63">
        <v>866</v>
      </c>
      <c r="O158" s="63">
        <v>6362</v>
      </c>
      <c r="P158" s="62">
        <f t="shared" si="29"/>
        <v>1.1886199308393588</v>
      </c>
      <c r="Q158" s="63">
        <v>34681</v>
      </c>
      <c r="R158" s="63">
        <v>0</v>
      </c>
      <c r="S158" s="63">
        <v>21612</v>
      </c>
      <c r="T158" s="65">
        <f t="shared" si="30"/>
        <v>0.66221622517340151</v>
      </c>
    </row>
    <row r="159" spans="1:20">
      <c r="A159" s="62" t="s">
        <v>369</v>
      </c>
      <c r="B159" s="62">
        <v>2017</v>
      </c>
      <c r="C159" s="63">
        <v>12508</v>
      </c>
      <c r="D159" s="63">
        <v>4700</v>
      </c>
      <c r="E159" s="64">
        <f t="shared" si="24"/>
        <v>0.37575951391109691</v>
      </c>
      <c r="F159" s="63">
        <v>1305</v>
      </c>
      <c r="G159" s="64">
        <f t="shared" si="26"/>
        <v>0.10433322673488966</v>
      </c>
      <c r="H159" s="63">
        <v>4996</v>
      </c>
      <c r="I159" s="63">
        <v>3599</v>
      </c>
      <c r="J159" s="63">
        <f t="shared" si="28"/>
        <v>1397</v>
      </c>
      <c r="K159" s="64">
        <f t="shared" si="25"/>
        <v>0.11168851934761752</v>
      </c>
      <c r="L159" s="64">
        <f>J159/ABS(J157)</f>
        <v>0.72722540343571052</v>
      </c>
      <c r="M159" s="63">
        <v>8270</v>
      </c>
      <c r="N159" s="63">
        <v>1246</v>
      </c>
      <c r="O159" s="63">
        <v>7400</v>
      </c>
      <c r="P159" s="62">
        <f t="shared" si="29"/>
        <v>0.94918918918918915</v>
      </c>
      <c r="Q159" s="63">
        <v>33756</v>
      </c>
      <c r="R159" s="63">
        <v>0</v>
      </c>
      <c r="S159" s="63">
        <v>21454</v>
      </c>
      <c r="T159" s="65">
        <f t="shared" si="30"/>
        <v>0.70755272192251106</v>
      </c>
    </row>
    <row r="160" spans="1:20">
      <c r="A160" s="62" t="s">
        <v>369</v>
      </c>
      <c r="B160" s="62">
        <v>2018</v>
      </c>
      <c r="C160" s="63">
        <v>17824</v>
      </c>
      <c r="D160" s="63">
        <v>8636</v>
      </c>
      <c r="E160" s="64">
        <f t="shared" si="24"/>
        <v>0.48451526032315978</v>
      </c>
      <c r="F160" s="63">
        <v>4114</v>
      </c>
      <c r="G160" s="64">
        <f t="shared" si="26"/>
        <v>0.23081238779174149</v>
      </c>
      <c r="H160" s="63">
        <v>7669</v>
      </c>
      <c r="I160" s="63">
        <v>4975</v>
      </c>
      <c r="J160" s="63">
        <f t="shared" si="28"/>
        <v>2694</v>
      </c>
      <c r="K160" s="64">
        <f t="shared" si="25"/>
        <v>0.15114452423698385</v>
      </c>
      <c r="L160" s="64">
        <f>J160/ABS(J157)</f>
        <v>1.4023945861530454</v>
      </c>
      <c r="M160" s="63">
        <v>9932</v>
      </c>
      <c r="N160" s="63">
        <v>1260</v>
      </c>
      <c r="O160" s="63">
        <v>7412</v>
      </c>
      <c r="P160" s="62">
        <f t="shared" si="29"/>
        <v>1.1699946033459254</v>
      </c>
      <c r="Q160" s="63">
        <v>33922</v>
      </c>
      <c r="R160" s="63">
        <v>0</v>
      </c>
      <c r="S160" s="63">
        <v>22524</v>
      </c>
      <c r="T160" s="65">
        <f t="shared" si="30"/>
        <v>0.702821993708034</v>
      </c>
    </row>
    <row r="161" spans="1:20">
      <c r="A161" s="62" t="s">
        <v>369</v>
      </c>
      <c r="B161" s="62">
        <v>2019</v>
      </c>
      <c r="C161" s="63">
        <v>20393</v>
      </c>
      <c r="D161" s="63">
        <v>9894</v>
      </c>
      <c r="E161" s="64">
        <f t="shared" si="24"/>
        <v>0.48516647869366941</v>
      </c>
      <c r="F161" s="63">
        <v>-985</v>
      </c>
      <c r="G161" s="64">
        <f t="shared" si="26"/>
        <v>-4.8300887559456676E-2</v>
      </c>
      <c r="H161" s="63">
        <v>7375</v>
      </c>
      <c r="I161" s="63">
        <v>6355</v>
      </c>
      <c r="J161" s="63">
        <f t="shared" si="28"/>
        <v>1020</v>
      </c>
      <c r="K161" s="64">
        <f t="shared" si="25"/>
        <v>5.0017162751924679E-2</v>
      </c>
      <c r="L161" s="64">
        <f>J161/ABS(J157)</f>
        <v>0.53097345132743368</v>
      </c>
      <c r="M161" s="63">
        <v>18681</v>
      </c>
      <c r="N161" s="63">
        <v>1447</v>
      </c>
      <c r="O161" s="63">
        <v>14949</v>
      </c>
      <c r="P161" s="62">
        <f t="shared" si="29"/>
        <v>1.1528530336477356</v>
      </c>
      <c r="Q161" s="63">
        <v>90649</v>
      </c>
      <c r="R161" s="63">
        <v>0</v>
      </c>
      <c r="S161" s="63">
        <v>75098</v>
      </c>
      <c r="T161" s="65">
        <f t="shared" si="30"/>
        <v>0.83467274732812402</v>
      </c>
    </row>
    <row r="162" spans="1:20">
      <c r="A162" s="62" t="s">
        <v>128</v>
      </c>
      <c r="B162" s="62">
        <v>2015</v>
      </c>
      <c r="C162" s="63">
        <v>85195</v>
      </c>
      <c r="D162" s="63">
        <v>5535</v>
      </c>
      <c r="E162" s="64">
        <f t="shared" si="24"/>
        <v>6.4968601443746693E-2</v>
      </c>
      <c r="F162" s="63">
        <v>4221</v>
      </c>
      <c r="G162" s="64">
        <f t="shared" si="26"/>
        <v>4.9545161101003578E-2</v>
      </c>
      <c r="H162" s="63">
        <v>5713</v>
      </c>
      <c r="I162" s="63">
        <v>5764</v>
      </c>
      <c r="J162" s="63">
        <f t="shared" si="28"/>
        <v>-51</v>
      </c>
      <c r="K162" s="64">
        <f t="shared" si="25"/>
        <v>-5.9862667996948176E-4</v>
      </c>
      <c r="L162" s="64">
        <f>J162/ABS(J162)</f>
        <v>-1</v>
      </c>
      <c r="M162" s="63">
        <v>12256</v>
      </c>
      <c r="N162" s="63">
        <v>3477</v>
      </c>
      <c r="O162" s="63">
        <v>4181</v>
      </c>
      <c r="P162" s="62">
        <f t="shared" si="29"/>
        <v>2.0997369050466395</v>
      </c>
      <c r="Q162" s="63">
        <v>36324</v>
      </c>
      <c r="R162" s="63">
        <v>4181</v>
      </c>
      <c r="S162" s="63">
        <v>17111</v>
      </c>
      <c r="T162" s="65">
        <f t="shared" si="30"/>
        <v>0.5203069253702165</v>
      </c>
    </row>
    <row r="163" spans="1:20">
      <c r="A163" s="62" t="s">
        <v>128</v>
      </c>
      <c r="B163" s="62">
        <v>2016</v>
      </c>
      <c r="C163" s="63">
        <v>70898</v>
      </c>
      <c r="D163" s="63">
        <v>2210</v>
      </c>
      <c r="E163" s="64">
        <f t="shared" si="24"/>
        <v>3.1171542215577309E-2</v>
      </c>
      <c r="F163" s="63">
        <v>1549</v>
      </c>
      <c r="G163" s="64">
        <f t="shared" si="26"/>
        <v>2.1848289091370703E-2</v>
      </c>
      <c r="H163" s="63">
        <v>2963</v>
      </c>
      <c r="I163" s="63">
        <v>2844</v>
      </c>
      <c r="J163" s="63">
        <f t="shared" si="28"/>
        <v>119</v>
      </c>
      <c r="K163" s="64">
        <f t="shared" si="25"/>
        <v>1.6784676577618551E-3</v>
      </c>
      <c r="L163" s="64">
        <f>J163/ABS(J162)</f>
        <v>2.3333333333333335</v>
      </c>
      <c r="M163" s="63">
        <v>12680</v>
      </c>
      <c r="N163" s="63">
        <v>3150</v>
      </c>
      <c r="O163" s="63">
        <v>4158</v>
      </c>
      <c r="P163" s="62">
        <f t="shared" si="29"/>
        <v>2.2919672919672918</v>
      </c>
      <c r="Q163" s="63">
        <v>38973</v>
      </c>
      <c r="R163" s="63">
        <v>4158</v>
      </c>
      <c r="S163" s="63">
        <v>18465</v>
      </c>
      <c r="T163" s="65">
        <f t="shared" si="30"/>
        <v>0.51015898071935961</v>
      </c>
    </row>
    <row r="164" spans="1:20">
      <c r="A164" s="62" t="s">
        <v>128</v>
      </c>
      <c r="B164" s="62">
        <v>2017</v>
      </c>
      <c r="C164" s="63">
        <v>89300</v>
      </c>
      <c r="D164" s="63">
        <v>3382</v>
      </c>
      <c r="E164" s="64">
        <f t="shared" si="24"/>
        <v>3.7872340425531913E-2</v>
      </c>
      <c r="F164" s="63">
        <v>5100</v>
      </c>
      <c r="G164" s="64">
        <f t="shared" si="26"/>
        <v>5.7110862262038077E-2</v>
      </c>
      <c r="H164" s="63">
        <v>3648</v>
      </c>
      <c r="I164" s="63">
        <v>1832</v>
      </c>
      <c r="J164" s="63">
        <f t="shared" si="28"/>
        <v>1816</v>
      </c>
      <c r="K164" s="64">
        <f t="shared" si="25"/>
        <v>2.0335946248600224E-2</v>
      </c>
      <c r="L164" s="64">
        <f>J164/ABS(J162)</f>
        <v>35.607843137254903</v>
      </c>
      <c r="M164" s="63">
        <v>14390</v>
      </c>
      <c r="N164" s="63">
        <v>3395</v>
      </c>
      <c r="O164" s="63">
        <v>4146</v>
      </c>
      <c r="P164" s="62">
        <f t="shared" si="29"/>
        <v>2.6519536903039076</v>
      </c>
      <c r="Q164" s="63">
        <v>39981</v>
      </c>
      <c r="R164" s="63">
        <v>4146</v>
      </c>
      <c r="S164" s="63">
        <v>16836</v>
      </c>
      <c r="T164" s="65">
        <f t="shared" si="30"/>
        <v>0.44804612427930812</v>
      </c>
    </row>
    <row r="165" spans="1:20">
      <c r="A165" s="62" t="s">
        <v>128</v>
      </c>
      <c r="B165" s="62">
        <v>2018</v>
      </c>
      <c r="C165" s="63">
        <v>111461</v>
      </c>
      <c r="D165" s="63">
        <v>6549</v>
      </c>
      <c r="E165" s="64">
        <f t="shared" si="24"/>
        <v>5.8755977427082121E-2</v>
      </c>
      <c r="F165" s="63">
        <v>5589</v>
      </c>
      <c r="G165" s="64">
        <f t="shared" si="26"/>
        <v>5.0143099380052215E-2</v>
      </c>
      <c r="H165" s="63">
        <v>7573</v>
      </c>
      <c r="I165" s="63">
        <v>2639</v>
      </c>
      <c r="J165" s="63">
        <f t="shared" si="28"/>
        <v>4934</v>
      </c>
      <c r="K165" s="64">
        <f t="shared" si="25"/>
        <v>4.4266604462547439E-2</v>
      </c>
      <c r="L165" s="64">
        <f>J165/ABS(J162)</f>
        <v>96.745098039215691</v>
      </c>
      <c r="M165" s="63">
        <v>13209</v>
      </c>
      <c r="N165" s="63">
        <v>3543</v>
      </c>
      <c r="O165" s="63">
        <v>4139</v>
      </c>
      <c r="P165" s="62">
        <f t="shared" si="29"/>
        <v>2.3353467021019569</v>
      </c>
      <c r="Q165" s="63">
        <v>41093</v>
      </c>
      <c r="R165" s="63">
        <v>4139</v>
      </c>
      <c r="S165" s="63">
        <v>18214</v>
      </c>
      <c r="T165" s="65">
        <f t="shared" si="30"/>
        <v>0.47947232947232948</v>
      </c>
    </row>
    <row r="166" spans="1:20">
      <c r="A166" s="62" t="s">
        <v>128</v>
      </c>
      <c r="B166" s="62">
        <v>2019</v>
      </c>
      <c r="C166" s="63">
        <v>107293</v>
      </c>
      <c r="D166" s="63">
        <v>4600</v>
      </c>
      <c r="E166" s="64">
        <f t="shared" si="24"/>
        <v>4.2873253613935673E-2</v>
      </c>
      <c r="F166" s="63">
        <v>3070</v>
      </c>
      <c r="G166" s="64">
        <f t="shared" si="26"/>
        <v>2.8613236651039677E-2</v>
      </c>
      <c r="H166" s="63">
        <v>4808</v>
      </c>
      <c r="I166" s="63">
        <v>3873</v>
      </c>
      <c r="J166" s="63">
        <f t="shared" si="28"/>
        <v>935</v>
      </c>
      <c r="K166" s="64">
        <f t="shared" si="25"/>
        <v>8.7144548106586634E-3</v>
      </c>
      <c r="L166" s="64">
        <f>J166/ABS(J162)</f>
        <v>18.333333333333332</v>
      </c>
      <c r="M166" s="63">
        <v>14395</v>
      </c>
      <c r="N166" s="63">
        <v>3776</v>
      </c>
      <c r="O166" s="63">
        <v>4139</v>
      </c>
      <c r="P166" s="62">
        <f t="shared" si="29"/>
        <v>2.5655955544817588</v>
      </c>
      <c r="Q166" s="63">
        <v>44325</v>
      </c>
      <c r="R166" s="63">
        <v>4139</v>
      </c>
      <c r="S166" s="63">
        <v>19905</v>
      </c>
      <c r="T166" s="65">
        <f t="shared" si="30"/>
        <v>0.47326050585572288</v>
      </c>
    </row>
    <row r="167" spans="1:20">
      <c r="A167" s="62" t="s">
        <v>370</v>
      </c>
      <c r="B167" s="62">
        <v>2015</v>
      </c>
      <c r="C167" s="63">
        <v>10233</v>
      </c>
      <c r="D167" s="62">
        <v>866</v>
      </c>
      <c r="E167" s="64">
        <f t="shared" si="24"/>
        <v>8.4628163783836613E-2</v>
      </c>
      <c r="F167" s="63">
        <v>618</v>
      </c>
      <c r="G167" s="64">
        <f t="shared" si="26"/>
        <v>6.0392846672530053E-2</v>
      </c>
      <c r="H167" s="63">
        <v>1155</v>
      </c>
      <c r="I167" s="63">
        <v>1343</v>
      </c>
      <c r="J167" s="63">
        <f t="shared" si="28"/>
        <v>-188</v>
      </c>
      <c r="K167" s="64">
        <f t="shared" si="25"/>
        <v>-1.837193393921626E-2</v>
      </c>
      <c r="L167" s="64">
        <f>J167/ABS(J167)</f>
        <v>-1</v>
      </c>
      <c r="M167" s="63">
        <v>4659</v>
      </c>
      <c r="N167" s="63">
        <v>583</v>
      </c>
      <c r="O167" s="63">
        <v>1337</v>
      </c>
      <c r="P167" s="62">
        <f t="shared" si="29"/>
        <v>3.0486163051608077</v>
      </c>
      <c r="Q167" s="63">
        <v>13906</v>
      </c>
      <c r="R167" s="63">
        <v>174</v>
      </c>
      <c r="S167" s="63">
        <v>8308</v>
      </c>
      <c r="T167" s="65">
        <f t="shared" si="30"/>
        <v>0.54161051212938005</v>
      </c>
    </row>
    <row r="168" spans="1:20">
      <c r="A168" s="62" t="s">
        <v>370</v>
      </c>
      <c r="B168" s="62">
        <v>2016</v>
      </c>
      <c r="C168" s="63">
        <v>9163</v>
      </c>
      <c r="D168" s="62">
        <v>869</v>
      </c>
      <c r="E168" s="64">
        <f t="shared" si="24"/>
        <v>9.4837935174069632E-2</v>
      </c>
      <c r="F168" s="63">
        <v>-545</v>
      </c>
      <c r="G168" s="64">
        <f t="shared" si="26"/>
        <v>-5.9478336789261156E-2</v>
      </c>
      <c r="H168" s="62">
        <v>650</v>
      </c>
      <c r="I168" s="62">
        <v>781</v>
      </c>
      <c r="J168" s="63">
        <f t="shared" si="28"/>
        <v>-131</v>
      </c>
      <c r="K168" s="64">
        <f t="shared" si="25"/>
        <v>-1.4296627742005893E-2</v>
      </c>
      <c r="L168" s="64">
        <f>J168/ABS(J167)</f>
        <v>-0.69680851063829785</v>
      </c>
      <c r="M168" s="63">
        <v>5087</v>
      </c>
      <c r="N168" s="63">
        <v>922</v>
      </c>
      <c r="O168" s="63">
        <v>1992</v>
      </c>
      <c r="P168" s="62">
        <f t="shared" si="29"/>
        <v>2.0908634538152611</v>
      </c>
      <c r="Q168" s="63">
        <v>13746</v>
      </c>
      <c r="R168" s="63">
        <v>180</v>
      </c>
      <c r="S168" s="63">
        <v>8200</v>
      </c>
      <c r="T168" s="65">
        <f t="shared" si="30"/>
        <v>0.57481247532570079</v>
      </c>
    </row>
    <row r="169" spans="1:20">
      <c r="A169" s="62" t="s">
        <v>370</v>
      </c>
      <c r="B169" s="62">
        <v>2017</v>
      </c>
      <c r="C169" s="63">
        <v>13135</v>
      </c>
      <c r="D169" s="63">
        <v>1560</v>
      </c>
      <c r="E169" s="64">
        <f t="shared" si="24"/>
        <v>0.11876665397792158</v>
      </c>
      <c r="F169" s="63">
        <v>3366</v>
      </c>
      <c r="G169" s="64">
        <f t="shared" si="26"/>
        <v>0.25626189569851543</v>
      </c>
      <c r="H169" s="63">
        <v>2358</v>
      </c>
      <c r="I169" s="63">
        <v>1287</v>
      </c>
      <c r="J169" s="63">
        <f t="shared" si="28"/>
        <v>1071</v>
      </c>
      <c r="K169" s="64">
        <f t="shared" si="25"/>
        <v>8.153787590407309E-2</v>
      </c>
      <c r="L169" s="64">
        <f>J169/ABS(J167)</f>
        <v>5.6968085106382977</v>
      </c>
      <c r="M169" s="63">
        <v>3997</v>
      </c>
      <c r="N169" s="63">
        <v>1109</v>
      </c>
      <c r="O169" s="63">
        <v>3540</v>
      </c>
      <c r="P169" s="62">
        <f t="shared" si="29"/>
        <v>0.81581920903954808</v>
      </c>
      <c r="Q169" s="63">
        <v>28671</v>
      </c>
      <c r="R169" s="63">
        <v>1813</v>
      </c>
      <c r="S169" s="63">
        <v>13181</v>
      </c>
      <c r="T169" s="65">
        <f t="shared" si="30"/>
        <v>0.56212600013447189</v>
      </c>
    </row>
    <row r="170" spans="1:20">
      <c r="A170" s="62" t="s">
        <v>370</v>
      </c>
      <c r="B170" s="62">
        <v>2018</v>
      </c>
      <c r="C170" s="63">
        <v>16078</v>
      </c>
      <c r="D170" s="63">
        <v>1029</v>
      </c>
      <c r="E170" s="64">
        <f t="shared" si="24"/>
        <v>6.400049757432516E-2</v>
      </c>
      <c r="F170" s="63">
        <v>-2669</v>
      </c>
      <c r="G170" s="64">
        <f t="shared" si="26"/>
        <v>-0.16600323423311358</v>
      </c>
      <c r="H170" s="63">
        <v>1662</v>
      </c>
      <c r="I170" s="63">
        <v>1062</v>
      </c>
      <c r="J170" s="63">
        <f t="shared" si="28"/>
        <v>600</v>
      </c>
      <c r="K170" s="64">
        <f t="shared" si="25"/>
        <v>3.7318074387361615E-2</v>
      </c>
      <c r="L170" s="64">
        <f>J170/ABS(J167)</f>
        <v>3.1914893617021276</v>
      </c>
      <c r="M170" s="63">
        <v>2341</v>
      </c>
      <c r="N170" s="62">
        <v>742</v>
      </c>
      <c r="O170" s="63">
        <v>1905</v>
      </c>
      <c r="P170" s="62">
        <f t="shared" si="29"/>
        <v>0.83937007874015745</v>
      </c>
      <c r="Q170" s="63">
        <v>23436</v>
      </c>
      <c r="R170" s="63">
        <v>1665</v>
      </c>
      <c r="S170" s="63">
        <v>11070</v>
      </c>
      <c r="T170" s="65">
        <f t="shared" si="30"/>
        <v>0.55519897304236199</v>
      </c>
    </row>
    <row r="171" spans="1:20">
      <c r="A171" s="62" t="s">
        <v>370</v>
      </c>
      <c r="B171" s="62">
        <v>2019</v>
      </c>
      <c r="C171" s="63">
        <v>15211</v>
      </c>
      <c r="D171" s="63">
        <v>3032</v>
      </c>
      <c r="E171" s="64">
        <f t="shared" si="24"/>
        <v>0.1993294326474262</v>
      </c>
      <c r="F171" s="63">
        <v>2194</v>
      </c>
      <c r="G171" s="64">
        <f t="shared" si="26"/>
        <v>0.14423772270067714</v>
      </c>
      <c r="H171" s="63">
        <v>2476</v>
      </c>
      <c r="I171" s="62">
        <v>892</v>
      </c>
      <c r="J171" s="63">
        <f t="shared" si="28"/>
        <v>1584</v>
      </c>
      <c r="K171" s="64">
        <f t="shared" si="25"/>
        <v>0.10413516534087174</v>
      </c>
      <c r="L171" s="64">
        <f>J171/ABS(J167)</f>
        <v>8.4255319148936163</v>
      </c>
      <c r="M171" s="63">
        <v>2532</v>
      </c>
      <c r="N171" s="63">
        <v>1181</v>
      </c>
      <c r="O171" s="63">
        <v>1944</v>
      </c>
      <c r="P171" s="62">
        <f t="shared" si="29"/>
        <v>0.69495884773662553</v>
      </c>
      <c r="Q171" s="63">
        <v>25002</v>
      </c>
      <c r="R171" s="63">
        <v>1830</v>
      </c>
      <c r="S171" s="63">
        <v>10787</v>
      </c>
      <c r="T171" s="65">
        <f t="shared" si="30"/>
        <v>0.51914529217469318</v>
      </c>
    </row>
    <row r="172" spans="1:20">
      <c r="A172" s="62" t="s">
        <v>139</v>
      </c>
      <c r="B172" s="62">
        <v>2015</v>
      </c>
      <c r="C172" s="63">
        <v>122566</v>
      </c>
      <c r="D172" s="63">
        <v>17680</v>
      </c>
      <c r="E172" s="64">
        <f t="shared" si="24"/>
        <v>0.14424881288448674</v>
      </c>
      <c r="F172" s="63">
        <v>4587</v>
      </c>
      <c r="G172" s="64">
        <f t="shared" si="26"/>
        <v>3.7424734428797547E-2</v>
      </c>
      <c r="H172" s="63">
        <v>19456</v>
      </c>
      <c r="I172" s="63">
        <v>29504</v>
      </c>
      <c r="J172" s="63">
        <f t="shared" si="28"/>
        <v>-10048</v>
      </c>
      <c r="K172" s="64">
        <f t="shared" si="25"/>
        <v>-8.198032080674901E-2</v>
      </c>
      <c r="L172" s="64">
        <f>J172/ABS(J172)</f>
        <v>-1</v>
      </c>
      <c r="M172" s="63">
        <v>35347</v>
      </c>
      <c r="N172" s="63">
        <v>6334</v>
      </c>
      <c r="O172" s="63">
        <v>26464</v>
      </c>
      <c r="P172" s="62">
        <f t="shared" si="29"/>
        <v>1.0963195284159613</v>
      </c>
      <c r="Q172" s="63">
        <v>230756</v>
      </c>
      <c r="R172" s="63">
        <v>4588</v>
      </c>
      <c r="S172" s="63">
        <v>85753</v>
      </c>
      <c r="T172" s="65">
        <f t="shared" si="30"/>
        <v>0.43975452717874763</v>
      </c>
    </row>
    <row r="173" spans="1:20">
      <c r="A173" s="62" t="s">
        <v>139</v>
      </c>
      <c r="B173" s="62">
        <v>2016</v>
      </c>
      <c r="C173" s="63">
        <v>103310</v>
      </c>
      <c r="D173" s="63">
        <v>13324</v>
      </c>
      <c r="E173" s="64">
        <f t="shared" si="24"/>
        <v>0.12897105798083439</v>
      </c>
      <c r="F173" s="62">
        <v>-497</v>
      </c>
      <c r="G173" s="64">
        <f t="shared" si="26"/>
        <v>-4.8107637208401896E-3</v>
      </c>
      <c r="H173" s="63">
        <v>12846</v>
      </c>
      <c r="I173" s="63">
        <v>18109</v>
      </c>
      <c r="J173" s="63">
        <f t="shared" si="28"/>
        <v>-5263</v>
      </c>
      <c r="K173" s="64">
        <f t="shared" si="25"/>
        <v>-5.0943761494531024E-2</v>
      </c>
      <c r="L173" s="64">
        <f>J173/ABS(J172)</f>
        <v>-0.52378582802547768</v>
      </c>
      <c r="M173" s="63">
        <v>29619</v>
      </c>
      <c r="N173" s="63">
        <v>5419</v>
      </c>
      <c r="O173" s="63">
        <v>31785</v>
      </c>
      <c r="P173" s="62">
        <f t="shared" si="29"/>
        <v>0.76136542394211104</v>
      </c>
      <c r="Q173" s="63">
        <v>230459</v>
      </c>
      <c r="R173" s="63">
        <v>4581</v>
      </c>
      <c r="S173" s="63">
        <v>81571</v>
      </c>
      <c r="T173" s="65">
        <f t="shared" si="30"/>
        <v>0.45328257583633907</v>
      </c>
    </row>
    <row r="174" spans="1:20">
      <c r="A174" s="62" t="s">
        <v>139</v>
      </c>
      <c r="B174" s="62">
        <v>2017</v>
      </c>
      <c r="C174" s="63">
        <v>127485</v>
      </c>
      <c r="D174" s="63">
        <v>21829</v>
      </c>
      <c r="E174" s="64">
        <f t="shared" si="24"/>
        <v>0.17122798760638505</v>
      </c>
      <c r="F174" s="63">
        <v>9195</v>
      </c>
      <c r="G174" s="64">
        <f t="shared" si="26"/>
        <v>7.2126132486174846E-2</v>
      </c>
      <c r="H174" s="63">
        <v>20515</v>
      </c>
      <c r="I174" s="63">
        <v>13404</v>
      </c>
      <c r="J174" s="63">
        <f t="shared" si="28"/>
        <v>7111</v>
      </c>
      <c r="K174" s="64">
        <f t="shared" si="25"/>
        <v>5.5779111267992315E-2</v>
      </c>
      <c r="L174" s="64">
        <f>J174/ABS(J172)</f>
        <v>0.70770302547770703</v>
      </c>
      <c r="M174" s="63">
        <v>28560</v>
      </c>
      <c r="N174" s="63">
        <v>5585</v>
      </c>
      <c r="O174" s="63">
        <v>27737</v>
      </c>
      <c r="P174" s="62">
        <f t="shared" si="29"/>
        <v>0.82831596784079031</v>
      </c>
      <c r="Q174" s="63">
        <v>225246</v>
      </c>
      <c r="R174" s="63">
        <v>4531</v>
      </c>
      <c r="S174" s="63">
        <v>76750</v>
      </c>
      <c r="T174" s="65">
        <f t="shared" si="30"/>
        <v>0.42877015880832203</v>
      </c>
    </row>
    <row r="175" spans="1:20">
      <c r="A175" s="62" t="s">
        <v>139</v>
      </c>
      <c r="B175" s="62">
        <v>2018</v>
      </c>
      <c r="C175" s="63">
        <v>158902</v>
      </c>
      <c r="D175" s="63">
        <v>33865</v>
      </c>
      <c r="E175" s="64">
        <f t="shared" si="24"/>
        <v>0.21311877761135795</v>
      </c>
      <c r="F175" s="63">
        <v>14824</v>
      </c>
      <c r="G175" s="64">
        <f t="shared" si="26"/>
        <v>9.3290204025122406E-2</v>
      </c>
      <c r="H175" s="63">
        <v>30618</v>
      </c>
      <c r="I175" s="63">
        <v>13792</v>
      </c>
      <c r="J175" s="63">
        <f t="shared" si="28"/>
        <v>16826</v>
      </c>
      <c r="K175" s="64">
        <f t="shared" si="25"/>
        <v>0.1058891643906307</v>
      </c>
      <c r="L175" s="64">
        <f>J175/ABS(J172)</f>
        <v>1.6745621019108281</v>
      </c>
      <c r="M175" s="63">
        <v>34021</v>
      </c>
      <c r="N175" s="63">
        <v>5704</v>
      </c>
      <c r="O175" s="63">
        <v>27171</v>
      </c>
      <c r="P175" s="62">
        <f t="shared" si="29"/>
        <v>1.042177321408855</v>
      </c>
      <c r="Q175" s="63">
        <v>219842</v>
      </c>
      <c r="R175" s="63">
        <v>4518</v>
      </c>
      <c r="S175" s="63">
        <v>71050</v>
      </c>
      <c r="T175" s="65">
        <f t="shared" si="30"/>
        <v>0.40313822386215786</v>
      </c>
    </row>
    <row r="176" spans="1:20">
      <c r="A176" s="62" t="s">
        <v>139</v>
      </c>
      <c r="B176" s="62">
        <v>2019</v>
      </c>
      <c r="C176" s="63">
        <v>139865</v>
      </c>
      <c r="D176" s="63">
        <v>29318</v>
      </c>
      <c r="E176" s="64">
        <f t="shared" si="24"/>
        <v>0.20961641582954993</v>
      </c>
      <c r="F176" s="63">
        <v>2924</v>
      </c>
      <c r="G176" s="64">
        <f t="shared" si="26"/>
        <v>2.0905873520895148E-2</v>
      </c>
      <c r="H176" s="63">
        <v>27314</v>
      </c>
      <c r="I176" s="63">
        <v>14116</v>
      </c>
      <c r="J176" s="63">
        <f t="shared" si="28"/>
        <v>13198</v>
      </c>
      <c r="K176" s="64">
        <f t="shared" si="25"/>
        <v>9.4362420905873517E-2</v>
      </c>
      <c r="L176" s="64">
        <f>J176/ABS(J172)</f>
        <v>1.3134952229299364</v>
      </c>
      <c r="M176" s="63">
        <v>28329</v>
      </c>
      <c r="N176" s="63">
        <v>5848</v>
      </c>
      <c r="O176" s="63">
        <v>26530</v>
      </c>
      <c r="P176" s="62">
        <f t="shared" si="29"/>
        <v>0.8473803241613268</v>
      </c>
      <c r="Q176" s="63">
        <v>209099</v>
      </c>
      <c r="R176" s="63">
        <v>4463</v>
      </c>
      <c r="S176" s="63">
        <v>65690</v>
      </c>
      <c r="T176" s="65">
        <f t="shared" si="30"/>
        <v>0.40604622287191183</v>
      </c>
    </row>
    <row r="177" spans="1:20">
      <c r="A177" s="62" t="s">
        <v>371</v>
      </c>
      <c r="B177" s="62">
        <v>2015</v>
      </c>
      <c r="C177" s="63">
        <v>264960</v>
      </c>
      <c r="D177" s="63">
        <v>23453</v>
      </c>
      <c r="E177" s="64">
        <f t="shared" si="24"/>
        <v>8.851524758454106E-2</v>
      </c>
      <c r="F177" s="63">
        <v>1939</v>
      </c>
      <c r="G177" s="64">
        <f t="shared" si="26"/>
        <v>7.3180857487922706E-3</v>
      </c>
      <c r="H177" s="63">
        <v>29810</v>
      </c>
      <c r="I177" s="63">
        <v>26131</v>
      </c>
      <c r="J177" s="63">
        <f t="shared" si="28"/>
        <v>3679</v>
      </c>
      <c r="K177" s="64">
        <f t="shared" si="25"/>
        <v>1.3885114734299518E-2</v>
      </c>
      <c r="L177" s="64">
        <f>J177/ABS(J177)</f>
        <v>1</v>
      </c>
      <c r="M177" s="63">
        <v>93358</v>
      </c>
      <c r="N177" s="63">
        <v>15822</v>
      </c>
      <c r="O177" s="63">
        <v>70948</v>
      </c>
      <c r="P177" s="62">
        <f t="shared" si="29"/>
        <v>1.0928567401477138</v>
      </c>
      <c r="Q177" s="63">
        <v>246799</v>
      </c>
      <c r="R177" s="63">
        <v>6283</v>
      </c>
      <c r="S177" s="63">
        <v>105088</v>
      </c>
      <c r="T177" s="65">
        <f t="shared" si="30"/>
        <v>0.55348182058279782</v>
      </c>
    </row>
    <row r="178" spans="1:20">
      <c r="A178" s="62" t="s">
        <v>371</v>
      </c>
      <c r="B178" s="62">
        <v>2016</v>
      </c>
      <c r="C178" s="63">
        <v>233591</v>
      </c>
      <c r="D178" s="63">
        <v>27360</v>
      </c>
      <c r="E178" s="64">
        <f t="shared" si="24"/>
        <v>0.11712780030052528</v>
      </c>
      <c r="F178" s="63">
        <v>4575</v>
      </c>
      <c r="G178" s="64">
        <f t="shared" si="26"/>
        <v>1.9585514852883887E-2</v>
      </c>
      <c r="H178" s="63">
        <v>20615</v>
      </c>
      <c r="I178" s="63">
        <v>22116</v>
      </c>
      <c r="J178" s="63">
        <f t="shared" si="28"/>
        <v>-1501</v>
      </c>
      <c r="K178" s="64">
        <f t="shared" si="25"/>
        <v>-6.4257612664871504E-3</v>
      </c>
      <c r="L178" s="64">
        <f>J178/ABS(J177)</f>
        <v>-0.40799130198423483</v>
      </c>
      <c r="M178" s="63">
        <v>86569</v>
      </c>
      <c r="N178" s="63">
        <v>21775</v>
      </c>
      <c r="O178" s="63">
        <v>73825</v>
      </c>
      <c r="P178" s="62">
        <f t="shared" si="29"/>
        <v>0.87767016593294955</v>
      </c>
      <c r="Q178" s="63">
        <v>324706</v>
      </c>
      <c r="R178" s="63">
        <v>23967</v>
      </c>
      <c r="S178" s="63">
        <v>148939</v>
      </c>
      <c r="T178" s="65">
        <f t="shared" si="30"/>
        <v>0.60942240509064849</v>
      </c>
    </row>
    <row r="179" spans="1:20">
      <c r="A179" s="62" t="s">
        <v>371</v>
      </c>
      <c r="B179" s="62">
        <v>2017</v>
      </c>
      <c r="C179" s="63">
        <v>305179</v>
      </c>
      <c r="D179" s="63">
        <v>41704</v>
      </c>
      <c r="E179" s="64">
        <f t="shared" si="24"/>
        <v>0.13665422588054879</v>
      </c>
      <c r="F179" s="63">
        <v>12977</v>
      </c>
      <c r="G179" s="64">
        <f t="shared" si="26"/>
        <v>4.2522585105790371E-2</v>
      </c>
      <c r="H179" s="63">
        <v>35650</v>
      </c>
      <c r="I179" s="63">
        <v>20845</v>
      </c>
      <c r="J179" s="63">
        <f t="shared" si="28"/>
        <v>14805</v>
      </c>
      <c r="K179" s="64">
        <f t="shared" si="25"/>
        <v>4.8512512328829964E-2</v>
      </c>
      <c r="L179" s="64">
        <f>J179/ABS(J177)</f>
        <v>4.024191356346833</v>
      </c>
      <c r="M179" s="63">
        <v>95404</v>
      </c>
      <c r="N179" s="63">
        <v>25223</v>
      </c>
      <c r="O179" s="63">
        <v>79767</v>
      </c>
      <c r="P179" s="62">
        <f t="shared" si="29"/>
        <v>0.87982499028420269</v>
      </c>
      <c r="Q179" s="63">
        <v>311693</v>
      </c>
      <c r="R179" s="63">
        <v>24180</v>
      </c>
      <c r="S179" s="63">
        <v>129518</v>
      </c>
      <c r="T179" s="65">
        <f t="shared" si="30"/>
        <v>0.58509508127058318</v>
      </c>
    </row>
    <row r="180" spans="1:20">
      <c r="A180" s="62" t="s">
        <v>371</v>
      </c>
      <c r="B180" s="62">
        <v>2018</v>
      </c>
      <c r="C180" s="63">
        <v>388379</v>
      </c>
      <c r="D180" s="63">
        <v>53324</v>
      </c>
      <c r="E180" s="64">
        <f t="shared" si="24"/>
        <v>0.13729887558287138</v>
      </c>
      <c r="F180" s="63">
        <v>23352</v>
      </c>
      <c r="G180" s="64">
        <f t="shared" si="26"/>
        <v>6.0126834870062491E-2</v>
      </c>
      <c r="H180" s="63">
        <v>53085</v>
      </c>
      <c r="I180" s="63">
        <v>23011</v>
      </c>
      <c r="J180" s="63">
        <f t="shared" si="28"/>
        <v>30074</v>
      </c>
      <c r="K180" s="64">
        <f t="shared" si="25"/>
        <v>7.7434670772621589E-2</v>
      </c>
      <c r="L180" s="64">
        <f>J180/ABS(J177)</f>
        <v>8.1745039412883944</v>
      </c>
      <c r="M180" s="63">
        <v>97482</v>
      </c>
      <c r="N180" s="63">
        <v>21117</v>
      </c>
      <c r="O180" s="63">
        <v>77813</v>
      </c>
      <c r="P180" s="62">
        <f t="shared" si="29"/>
        <v>0.98139128423271171</v>
      </c>
      <c r="Q180" s="63">
        <v>301712</v>
      </c>
      <c r="R180" s="63">
        <v>23586</v>
      </c>
      <c r="S180" s="63">
        <v>118847</v>
      </c>
      <c r="T180" s="65">
        <f t="shared" si="30"/>
        <v>0.55476725784293535</v>
      </c>
    </row>
    <row r="181" spans="1:20">
      <c r="A181" s="62" t="s">
        <v>371</v>
      </c>
      <c r="B181" s="62">
        <v>2019</v>
      </c>
      <c r="C181" s="63">
        <v>344877</v>
      </c>
      <c r="D181" s="63">
        <v>51647</v>
      </c>
      <c r="E181" s="64">
        <f t="shared" si="24"/>
        <v>0.14975484013140916</v>
      </c>
      <c r="F181" s="63">
        <v>15843</v>
      </c>
      <c r="G181" s="64">
        <f t="shared" si="26"/>
        <v>4.5938117067824177E-2</v>
      </c>
      <c r="H181" s="63">
        <v>42179</v>
      </c>
      <c r="I181" s="63">
        <v>22971</v>
      </c>
      <c r="J181" s="63">
        <f t="shared" si="28"/>
        <v>19208</v>
      </c>
      <c r="K181" s="64">
        <f t="shared" si="25"/>
        <v>5.5695218875135191E-2</v>
      </c>
      <c r="L181" s="64">
        <f>J181/ABS(J177)</f>
        <v>5.2209839630334329</v>
      </c>
      <c r="M181" s="63">
        <v>92689</v>
      </c>
      <c r="N181" s="63">
        <v>24071</v>
      </c>
      <c r="O181" s="63">
        <v>79624</v>
      </c>
      <c r="P181" s="62">
        <f t="shared" si="29"/>
        <v>0.86177534411735157</v>
      </c>
      <c r="Q181" s="63">
        <v>311647</v>
      </c>
      <c r="R181" s="63">
        <v>23486</v>
      </c>
      <c r="S181" s="63">
        <v>134249</v>
      </c>
      <c r="T181" s="65">
        <f t="shared" si="30"/>
        <v>0.59945512488122898</v>
      </c>
    </row>
    <row r="182" spans="1:20">
      <c r="A182" s="62" t="s">
        <v>86</v>
      </c>
      <c r="B182" s="62">
        <v>2014</v>
      </c>
      <c r="C182" s="63">
        <v>108465</v>
      </c>
      <c r="D182" s="63">
        <v>5085</v>
      </c>
      <c r="E182" s="64">
        <f t="shared" si="24"/>
        <v>4.6881482505877474E-2</v>
      </c>
      <c r="F182" s="63">
        <v>1711</v>
      </c>
      <c r="G182" s="64">
        <f>F182/C182</f>
        <v>1.5774673857926521E-2</v>
      </c>
      <c r="H182" s="63">
        <v>4163</v>
      </c>
      <c r="I182" s="63">
        <v>2831</v>
      </c>
      <c r="J182" s="63">
        <f t="shared" si="28"/>
        <v>1332</v>
      </c>
      <c r="K182" s="64">
        <f t="shared" si="25"/>
        <v>1.2280459134282948E-2</v>
      </c>
      <c r="L182" s="64">
        <f>J182/J182</f>
        <v>1</v>
      </c>
      <c r="M182" s="63">
        <v>8911</v>
      </c>
      <c r="N182" s="63">
        <v>5688</v>
      </c>
      <c r="O182" s="63">
        <v>11403</v>
      </c>
      <c r="P182" s="65">
        <f>(M182-N182)/O182</f>
        <v>0.28264491800403402</v>
      </c>
      <c r="Q182" s="63">
        <v>21645</v>
      </c>
      <c r="R182" s="63">
        <v>3061</v>
      </c>
      <c r="S182" s="63">
        <v>13711</v>
      </c>
      <c r="T182" s="65">
        <f>(O182+S182)/(M182+Q182-N182-R182)</f>
        <v>1.151648553216857</v>
      </c>
    </row>
    <row r="183" spans="1:20">
      <c r="A183" s="62" t="s">
        <v>86</v>
      </c>
      <c r="B183" s="62">
        <v>2015</v>
      </c>
      <c r="C183" s="63">
        <v>109830</v>
      </c>
      <c r="D183" s="63">
        <v>5665</v>
      </c>
      <c r="E183" s="64">
        <f t="shared" si="24"/>
        <v>5.1579714103614678E-2</v>
      </c>
      <c r="F183" s="63">
        <v>2021</v>
      </c>
      <c r="G183" s="64">
        <f t="shared" ref="G183:G226" si="31">F183/C183</f>
        <v>1.8401165437494309E-2</v>
      </c>
      <c r="H183" s="63">
        <v>4833</v>
      </c>
      <c r="I183" s="63">
        <v>3349</v>
      </c>
      <c r="J183" s="63">
        <f t="shared" si="28"/>
        <v>1484</v>
      </c>
      <c r="K183" s="64">
        <f t="shared" si="25"/>
        <v>1.3511790949649459E-2</v>
      </c>
      <c r="L183" s="64">
        <f>J183/J182</f>
        <v>1.1141141141141142</v>
      </c>
      <c r="M183" s="63">
        <v>9892</v>
      </c>
      <c r="N183" s="63">
        <v>6168</v>
      </c>
      <c r="O183" s="63">
        <v>12971</v>
      </c>
      <c r="P183" s="65">
        <f t="shared" ref="P183:P231" si="32">(M183-N183)/O183</f>
        <v>0.28710199676200754</v>
      </c>
      <c r="Q183" s="63">
        <v>24005</v>
      </c>
      <c r="R183" s="63">
        <v>3777</v>
      </c>
      <c r="S183" s="63">
        <v>14128</v>
      </c>
      <c r="T183" s="65">
        <f t="shared" ref="T183:T226" si="33">(O183+S183)/(M183+Q183-N183-R183)</f>
        <v>1.1313877755511021</v>
      </c>
    </row>
    <row r="184" spans="1:20">
      <c r="A184" s="62" t="s">
        <v>86</v>
      </c>
      <c r="B184" s="62">
        <v>2016</v>
      </c>
      <c r="C184" s="63">
        <v>115337</v>
      </c>
      <c r="D184" s="63">
        <v>5776</v>
      </c>
      <c r="E184" s="64">
        <f t="shared" si="24"/>
        <v>5.0079332737976538E-2</v>
      </c>
      <c r="F184" s="63">
        <v>1959</v>
      </c>
      <c r="G184" s="64">
        <f t="shared" si="31"/>
        <v>1.698500914710804E-2</v>
      </c>
      <c r="H184" s="63">
        <v>4272</v>
      </c>
      <c r="I184" s="63">
        <v>3699</v>
      </c>
      <c r="J184" s="63">
        <f t="shared" si="28"/>
        <v>573</v>
      </c>
      <c r="K184" s="64">
        <f t="shared" si="25"/>
        <v>4.9680501486946945E-3</v>
      </c>
      <c r="L184" s="64">
        <f>J184/J182</f>
        <v>0.43018018018018017</v>
      </c>
      <c r="M184" s="63">
        <v>10340</v>
      </c>
      <c r="N184" s="63">
        <v>6561</v>
      </c>
      <c r="O184" s="63">
        <v>12860</v>
      </c>
      <c r="P184" s="65">
        <f t="shared" si="32"/>
        <v>0.29385692068429237</v>
      </c>
      <c r="Q184" s="63">
        <v>26165</v>
      </c>
      <c r="R184" s="63">
        <v>4184</v>
      </c>
      <c r="S184" s="63">
        <v>16935</v>
      </c>
      <c r="T184" s="65">
        <f t="shared" si="33"/>
        <v>1.1566381987577641</v>
      </c>
    </row>
    <row r="185" spans="1:20">
      <c r="A185" s="62" t="s">
        <v>86</v>
      </c>
      <c r="B185" s="62">
        <v>2017</v>
      </c>
      <c r="C185" s="63">
        <v>122662</v>
      </c>
      <c r="D185" s="63">
        <v>5317</v>
      </c>
      <c r="E185" s="64">
        <f t="shared" si="24"/>
        <v>4.3346757757088586E-2</v>
      </c>
      <c r="F185" s="63">
        <v>1890</v>
      </c>
      <c r="G185" s="64">
        <f t="shared" si="31"/>
        <v>1.5408194876979016E-2</v>
      </c>
      <c r="H185" s="63">
        <v>3413</v>
      </c>
      <c r="I185" s="63">
        <v>2809</v>
      </c>
      <c r="J185" s="63">
        <f t="shared" si="28"/>
        <v>604</v>
      </c>
      <c r="K185" s="64">
        <f t="shared" si="25"/>
        <v>4.9241003733837699E-3</v>
      </c>
      <c r="L185" s="64">
        <f>J185/J182</f>
        <v>0.45345345345345345</v>
      </c>
      <c r="M185" s="63">
        <v>11117</v>
      </c>
      <c r="N185" s="63">
        <v>6533</v>
      </c>
      <c r="O185" s="63">
        <v>14197</v>
      </c>
      <c r="P185" s="65">
        <f t="shared" si="32"/>
        <v>0.32288511657392405</v>
      </c>
      <c r="Q185" s="63">
        <v>26080</v>
      </c>
      <c r="R185" s="63">
        <v>4025</v>
      </c>
      <c r="S185" s="63">
        <v>16095</v>
      </c>
      <c r="T185" s="65">
        <f t="shared" si="33"/>
        <v>1.1371297721385938</v>
      </c>
    </row>
    <row r="186" spans="1:20">
      <c r="A186" s="62" t="s">
        <v>86</v>
      </c>
      <c r="B186" s="62">
        <v>2018</v>
      </c>
      <c r="C186" s="63">
        <v>121162</v>
      </c>
      <c r="D186" s="63">
        <v>5112</v>
      </c>
      <c r="E186" s="64">
        <f t="shared" si="24"/>
        <v>4.2191446162988394E-2</v>
      </c>
      <c r="F186" s="63">
        <v>3076</v>
      </c>
      <c r="G186" s="64">
        <f t="shared" si="31"/>
        <v>2.5387497730311483E-2</v>
      </c>
      <c r="H186" s="63">
        <v>4164</v>
      </c>
      <c r="I186" s="63">
        <v>2967</v>
      </c>
      <c r="J186" s="63">
        <f t="shared" si="28"/>
        <v>1197</v>
      </c>
      <c r="K186" s="64">
        <f t="shared" si="25"/>
        <v>9.879335105065945E-3</v>
      </c>
      <c r="L186" s="64">
        <f>J186/J182</f>
        <v>0.89864864864864868</v>
      </c>
      <c r="M186" s="63">
        <v>10803</v>
      </c>
      <c r="N186" s="63">
        <v>6846</v>
      </c>
      <c r="O186" s="63">
        <v>14274</v>
      </c>
      <c r="P186" s="65">
        <f t="shared" si="32"/>
        <v>0.27721731820092477</v>
      </c>
      <c r="Q186" s="63">
        <v>27315</v>
      </c>
      <c r="R186" s="63">
        <v>4345</v>
      </c>
      <c r="S186" s="63">
        <v>16009</v>
      </c>
      <c r="T186" s="65">
        <f t="shared" si="33"/>
        <v>1.124633267723846</v>
      </c>
    </row>
    <row r="187" spans="1:20">
      <c r="A187" s="62" t="s">
        <v>372</v>
      </c>
      <c r="B187" s="62">
        <v>2016</v>
      </c>
      <c r="C187" s="63">
        <v>27079</v>
      </c>
      <c r="D187" s="63">
        <v>3100</v>
      </c>
      <c r="E187" s="64">
        <f t="shared" si="24"/>
        <v>0.1144798552383766</v>
      </c>
      <c r="F187" s="63">
        <v>1072</v>
      </c>
      <c r="G187" s="64">
        <f t="shared" si="31"/>
        <v>3.9587872521141841E-2</v>
      </c>
      <c r="H187" s="63">
        <v>1984</v>
      </c>
      <c r="I187" s="62">
        <v>777</v>
      </c>
      <c r="J187" s="63">
        <f t="shared" si="28"/>
        <v>1207</v>
      </c>
      <c r="K187" s="64">
        <f t="shared" si="25"/>
        <v>4.4573285571845339E-2</v>
      </c>
      <c r="L187" s="64">
        <f>J187/J187</f>
        <v>1</v>
      </c>
      <c r="M187" s="63">
        <v>7652</v>
      </c>
      <c r="N187" s="63">
        <v>5506</v>
      </c>
      <c r="O187" s="63">
        <v>5728</v>
      </c>
      <c r="P187" s="65">
        <f t="shared" si="32"/>
        <v>0.37465083798882681</v>
      </c>
      <c r="Q187" s="63">
        <v>12924</v>
      </c>
      <c r="R187" s="63">
        <v>4411</v>
      </c>
      <c r="S187" s="63">
        <v>9045</v>
      </c>
      <c r="T187" s="65">
        <f t="shared" si="33"/>
        <v>1.3859649122807018</v>
      </c>
    </row>
    <row r="188" spans="1:20">
      <c r="A188" s="62" t="s">
        <v>372</v>
      </c>
      <c r="B188" s="62">
        <v>2017</v>
      </c>
      <c r="C188" s="63">
        <v>25778</v>
      </c>
      <c r="D188" s="63">
        <v>2373</v>
      </c>
      <c r="E188" s="64">
        <f t="shared" si="24"/>
        <v>9.2055240903095664E-2</v>
      </c>
      <c r="F188" s="62">
        <v>619</v>
      </c>
      <c r="G188" s="64">
        <f t="shared" si="31"/>
        <v>2.4012724028241134E-2</v>
      </c>
      <c r="H188" s="63">
        <v>1801</v>
      </c>
      <c r="I188" s="62">
        <v>596</v>
      </c>
      <c r="J188" s="63">
        <f t="shared" si="28"/>
        <v>1205</v>
      </c>
      <c r="K188" s="64">
        <f t="shared" si="25"/>
        <v>4.6745286678563112E-2</v>
      </c>
      <c r="L188" s="64">
        <f>J188/J187</f>
        <v>0.9983429991714996</v>
      </c>
      <c r="M188" s="63">
        <v>7626</v>
      </c>
      <c r="N188" s="63">
        <v>5399</v>
      </c>
      <c r="O188" s="63">
        <v>5647</v>
      </c>
      <c r="P188" s="65">
        <f t="shared" si="32"/>
        <v>0.39436869134053482</v>
      </c>
      <c r="Q188" s="63">
        <v>12225</v>
      </c>
      <c r="R188" s="63">
        <v>4395</v>
      </c>
      <c r="S188" s="63">
        <v>7526</v>
      </c>
      <c r="T188" s="65">
        <f t="shared" si="33"/>
        <v>1.309833946504922</v>
      </c>
    </row>
    <row r="189" spans="1:20">
      <c r="A189" s="62" t="s">
        <v>372</v>
      </c>
      <c r="B189" s="62">
        <v>2018</v>
      </c>
      <c r="C189" s="63">
        <v>24837</v>
      </c>
      <c r="D189" s="63">
        <v>2374</v>
      </c>
      <c r="E189" s="64">
        <f t="shared" si="24"/>
        <v>9.5583202480170715E-2</v>
      </c>
      <c r="F189" s="63">
        <v>1547</v>
      </c>
      <c r="G189" s="64">
        <f t="shared" si="31"/>
        <v>6.2286105407255307E-2</v>
      </c>
      <c r="H189" s="63">
        <v>1944</v>
      </c>
      <c r="I189" s="62">
        <v>487</v>
      </c>
      <c r="J189" s="63">
        <f t="shared" si="28"/>
        <v>1457</v>
      </c>
      <c r="K189" s="64">
        <f t="shared" si="25"/>
        <v>5.8662479365462816E-2</v>
      </c>
      <c r="L189" s="64">
        <f>J189/J187</f>
        <v>1.2071251035625519</v>
      </c>
      <c r="M189" s="63">
        <v>7444</v>
      </c>
      <c r="N189" s="63">
        <v>5178</v>
      </c>
      <c r="O189" s="63">
        <v>5075</v>
      </c>
      <c r="P189" s="65">
        <f t="shared" si="32"/>
        <v>0.44650246305418717</v>
      </c>
      <c r="Q189" s="63">
        <v>11937</v>
      </c>
      <c r="R189" s="63">
        <v>5086</v>
      </c>
      <c r="S189" s="63">
        <v>8645</v>
      </c>
      <c r="T189" s="65">
        <f t="shared" si="33"/>
        <v>1.5048809915542394</v>
      </c>
    </row>
    <row r="190" spans="1:20">
      <c r="A190" s="62" t="s">
        <v>372</v>
      </c>
      <c r="B190" s="62">
        <v>2019</v>
      </c>
      <c r="C190" s="63">
        <v>25739</v>
      </c>
      <c r="D190" s="63">
        <v>2447</v>
      </c>
      <c r="E190" s="64">
        <f t="shared" si="24"/>
        <v>9.5069738529080378E-2</v>
      </c>
      <c r="F190" s="63">
        <v>1108</v>
      </c>
      <c r="G190" s="64">
        <f t="shared" si="31"/>
        <v>4.3047515443490426E-2</v>
      </c>
      <c r="H190" s="63">
        <v>1735</v>
      </c>
      <c r="I190" s="62">
        <v>657</v>
      </c>
      <c r="J190" s="63">
        <f t="shared" si="28"/>
        <v>1078</v>
      </c>
      <c r="K190" s="64">
        <f t="shared" si="25"/>
        <v>4.1881968996464507E-2</v>
      </c>
      <c r="L190" s="64">
        <f>J190/J187</f>
        <v>0.89312344656172327</v>
      </c>
      <c r="M190" s="63">
        <v>7445</v>
      </c>
      <c r="N190" s="63">
        <v>5263</v>
      </c>
      <c r="O190" s="63">
        <v>5232</v>
      </c>
      <c r="P190" s="65">
        <f t="shared" si="32"/>
        <v>0.41704892966360857</v>
      </c>
      <c r="Q190" s="63">
        <v>11749</v>
      </c>
      <c r="R190" s="63">
        <v>5056</v>
      </c>
      <c r="S190" s="63">
        <v>9882</v>
      </c>
      <c r="T190" s="65">
        <f t="shared" si="33"/>
        <v>1.7029859154929576</v>
      </c>
    </row>
    <row r="191" spans="1:20">
      <c r="A191" s="62" t="s">
        <v>372</v>
      </c>
      <c r="B191" s="62">
        <v>2020</v>
      </c>
      <c r="C191" s="63">
        <v>25331</v>
      </c>
      <c r="D191" s="63">
        <v>1946</v>
      </c>
      <c r="E191" s="64">
        <f t="shared" si="24"/>
        <v>7.6822865263905887E-2</v>
      </c>
      <c r="F191" s="62">
        <v>564</v>
      </c>
      <c r="G191" s="64">
        <f t="shared" si="31"/>
        <v>2.2265208637637677E-2</v>
      </c>
      <c r="H191" s="63">
        <v>1608</v>
      </c>
      <c r="I191" s="62">
        <v>902</v>
      </c>
      <c r="J191" s="63">
        <f t="shared" si="28"/>
        <v>706</v>
      </c>
      <c r="K191" s="64">
        <f t="shared" si="25"/>
        <v>2.7870988117326596E-2</v>
      </c>
      <c r="L191" s="64">
        <f>J191/J187</f>
        <v>0.58492129246064628</v>
      </c>
      <c r="M191" s="63">
        <v>6810</v>
      </c>
      <c r="N191" s="63">
        <v>5188</v>
      </c>
      <c r="O191" s="63">
        <v>5750</v>
      </c>
      <c r="P191" s="65">
        <f t="shared" si="32"/>
        <v>0.28208695652173915</v>
      </c>
      <c r="Q191" s="63">
        <v>14362</v>
      </c>
      <c r="R191" s="63">
        <v>3908</v>
      </c>
      <c r="S191" s="63">
        <v>10595</v>
      </c>
      <c r="T191" s="65">
        <f t="shared" si="33"/>
        <v>1.3535110963895329</v>
      </c>
    </row>
    <row r="192" spans="1:20">
      <c r="A192" s="62" t="s">
        <v>268</v>
      </c>
      <c r="B192" s="62">
        <v>2015</v>
      </c>
      <c r="C192" s="63">
        <v>19163</v>
      </c>
      <c r="D192" s="63">
        <v>4257</v>
      </c>
      <c r="E192" s="64">
        <f t="shared" si="24"/>
        <v>0.22214684548348379</v>
      </c>
      <c r="F192" s="63">
        <v>2757</v>
      </c>
      <c r="G192" s="64">
        <f t="shared" si="31"/>
        <v>0.14387100140896519</v>
      </c>
      <c r="H192" s="63">
        <v>3749</v>
      </c>
      <c r="I192" s="63">
        <v>1304</v>
      </c>
      <c r="J192" s="63">
        <f t="shared" si="28"/>
        <v>2445</v>
      </c>
      <c r="K192" s="64">
        <f t="shared" si="25"/>
        <v>0.12758962584146533</v>
      </c>
      <c r="L192" s="64">
        <f>J192/J192</f>
        <v>1</v>
      </c>
      <c r="M192" s="63">
        <v>4353</v>
      </c>
      <c r="N192" s="63">
        <v>1306</v>
      </c>
      <c r="O192" s="63">
        <v>3654</v>
      </c>
      <c r="P192" s="65">
        <f t="shared" si="32"/>
        <v>0.83388067870826488</v>
      </c>
      <c r="Q192" s="63">
        <v>8093</v>
      </c>
      <c r="R192" s="63">
        <v>2096</v>
      </c>
      <c r="S192" s="63">
        <v>2973</v>
      </c>
      <c r="T192" s="65">
        <f t="shared" si="33"/>
        <v>0.73275099513489605</v>
      </c>
    </row>
    <row r="193" spans="1:20">
      <c r="A193" s="62" t="s">
        <v>268</v>
      </c>
      <c r="B193" s="62">
        <v>2016</v>
      </c>
      <c r="C193" s="63">
        <v>21316</v>
      </c>
      <c r="D193" s="63">
        <v>4835</v>
      </c>
      <c r="E193" s="64">
        <f t="shared" si="24"/>
        <v>0.22682492024770126</v>
      </c>
      <c r="F193" s="63">
        <v>2818</v>
      </c>
      <c r="G193" s="64">
        <f t="shared" si="31"/>
        <v>0.13220116344529931</v>
      </c>
      <c r="H193" s="63">
        <v>4575</v>
      </c>
      <c r="I193" s="63">
        <v>1440</v>
      </c>
      <c r="J193" s="63">
        <f t="shared" si="28"/>
        <v>3135</v>
      </c>
      <c r="K193" s="64">
        <f t="shared" si="25"/>
        <v>0.1470726215049728</v>
      </c>
      <c r="L193" s="64">
        <f>J193/J192</f>
        <v>1.2822085889570551</v>
      </c>
      <c r="M193" s="63">
        <v>4761</v>
      </c>
      <c r="N193" s="63">
        <v>1379</v>
      </c>
      <c r="O193" s="63">
        <v>4547</v>
      </c>
      <c r="P193" s="65">
        <f t="shared" si="32"/>
        <v>0.74378711238179018</v>
      </c>
      <c r="Q193" s="63">
        <v>9569</v>
      </c>
      <c r="R193" s="63">
        <v>2236</v>
      </c>
      <c r="S193" s="63">
        <v>3892</v>
      </c>
      <c r="T193" s="65">
        <f t="shared" si="33"/>
        <v>0.78758749416705554</v>
      </c>
    </row>
    <row r="194" spans="1:20">
      <c r="A194" s="62" t="s">
        <v>268</v>
      </c>
      <c r="B194" s="62">
        <v>2017</v>
      </c>
      <c r="C194" s="63">
        <v>22387</v>
      </c>
      <c r="D194" s="63">
        <v>4920</v>
      </c>
      <c r="E194" s="64">
        <f t="shared" si="24"/>
        <v>0.21977040246571672</v>
      </c>
      <c r="F194" s="63">
        <v>2885</v>
      </c>
      <c r="G194" s="64">
        <f t="shared" si="31"/>
        <v>0.12886943315316926</v>
      </c>
      <c r="H194" s="63">
        <v>4174</v>
      </c>
      <c r="I194" s="63">
        <v>1519</v>
      </c>
      <c r="J194" s="63">
        <f t="shared" si="28"/>
        <v>2655</v>
      </c>
      <c r="K194" s="64">
        <f t="shared" si="25"/>
        <v>0.11859561352570688</v>
      </c>
      <c r="L194" s="64">
        <f>J194/J192</f>
        <v>1.0858895705521472</v>
      </c>
      <c r="M194" s="63">
        <v>5283</v>
      </c>
      <c r="N194" s="63">
        <v>1364</v>
      </c>
      <c r="O194" s="63">
        <v>4221</v>
      </c>
      <c r="P194" s="65">
        <f t="shared" si="32"/>
        <v>0.92845297322909259</v>
      </c>
      <c r="Q194" s="63">
        <v>9082</v>
      </c>
      <c r="R194" s="63">
        <v>1981</v>
      </c>
      <c r="S194" s="63">
        <v>4688</v>
      </c>
      <c r="T194" s="65">
        <f t="shared" si="33"/>
        <v>0.80843920145190562</v>
      </c>
    </row>
    <row r="195" spans="1:20">
      <c r="A195" s="62" t="s">
        <v>268</v>
      </c>
      <c r="B195" s="62">
        <v>2018</v>
      </c>
      <c r="C195" s="63">
        <v>24720</v>
      </c>
      <c r="D195" s="63">
        <v>5121</v>
      </c>
      <c r="E195" s="64">
        <f t="shared" si="24"/>
        <v>0.20716019417475728</v>
      </c>
      <c r="F195" s="63">
        <v>4518</v>
      </c>
      <c r="G195" s="64">
        <f t="shared" si="31"/>
        <v>0.18276699029126214</v>
      </c>
      <c r="H195" s="63">
        <v>11938</v>
      </c>
      <c r="I195" s="63">
        <v>1976</v>
      </c>
      <c r="J195" s="63">
        <f t="shared" si="28"/>
        <v>9962</v>
      </c>
      <c r="K195" s="64">
        <f t="shared" si="25"/>
        <v>0.40299352750809059</v>
      </c>
      <c r="L195" s="64">
        <f>J195/J192</f>
        <v>4.0744376278118608</v>
      </c>
      <c r="M195" s="63">
        <v>12494</v>
      </c>
      <c r="N195" s="63">
        <v>1401</v>
      </c>
      <c r="O195" s="63">
        <v>5684</v>
      </c>
      <c r="P195" s="65">
        <f t="shared" si="32"/>
        <v>1.9516185784658691</v>
      </c>
      <c r="Q195" s="63">
        <v>11662</v>
      </c>
      <c r="R195" s="63">
        <v>4584</v>
      </c>
      <c r="S195" s="63">
        <v>17296</v>
      </c>
      <c r="T195" s="65">
        <f t="shared" si="33"/>
        <v>1.26465246821859</v>
      </c>
    </row>
    <row r="196" spans="1:20">
      <c r="A196" s="62" t="s">
        <v>268</v>
      </c>
      <c r="B196" s="62">
        <v>2019</v>
      </c>
      <c r="C196" s="63">
        <v>26509</v>
      </c>
      <c r="D196" s="63">
        <v>5306</v>
      </c>
      <c r="E196" s="64">
        <f t="shared" ref="E196:E259" si="34">D196/C196</f>
        <v>0.2001584367573277</v>
      </c>
      <c r="F196" s="63">
        <v>3599</v>
      </c>
      <c r="G196" s="64">
        <f t="shared" si="31"/>
        <v>0.13576521181485532</v>
      </c>
      <c r="H196" s="63">
        <v>5047</v>
      </c>
      <c r="I196" s="63">
        <v>1807</v>
      </c>
      <c r="J196" s="63">
        <f t="shared" si="28"/>
        <v>3240</v>
      </c>
      <c r="K196" s="64">
        <f>J196/C196</f>
        <v>0.12222264136708287</v>
      </c>
      <c r="L196" s="64">
        <f t="shared" ref="L196:L201" si="35">J196/J192</f>
        <v>1.3251533742331287</v>
      </c>
      <c r="M196" s="63">
        <v>5654</v>
      </c>
      <c r="N196" s="63">
        <v>1529</v>
      </c>
      <c r="O196" s="63">
        <v>6169</v>
      </c>
      <c r="P196" s="65">
        <f t="shared" si="32"/>
        <v>0.66866591019614197</v>
      </c>
      <c r="Q196" s="63">
        <v>13566</v>
      </c>
      <c r="R196" s="63">
        <v>4273</v>
      </c>
      <c r="S196" s="63">
        <v>19282</v>
      </c>
      <c r="T196" s="65">
        <f t="shared" si="33"/>
        <v>1.8967804441794605</v>
      </c>
    </row>
    <row r="197" spans="1:20">
      <c r="A197" s="62" t="s">
        <v>77</v>
      </c>
      <c r="B197" s="62">
        <v>2015</v>
      </c>
      <c r="C197" s="63">
        <v>116199</v>
      </c>
      <c r="D197" s="63">
        <v>4751</v>
      </c>
      <c r="E197" s="64">
        <f t="shared" si="34"/>
        <v>4.0886754619230803E-2</v>
      </c>
      <c r="F197" s="63">
        <v>2377</v>
      </c>
      <c r="G197" s="64">
        <f t="shared" si="31"/>
        <v>2.0456286198676409E-2</v>
      </c>
      <c r="H197" s="63">
        <v>4285</v>
      </c>
      <c r="I197" s="63">
        <v>2393</v>
      </c>
      <c r="J197" s="63">
        <f t="shared" si="28"/>
        <v>1892</v>
      </c>
      <c r="K197" s="64">
        <f t="shared" ref="K197:K260" si="36">J197/C197</f>
        <v>1.6282412068950678E-2</v>
      </c>
      <c r="L197" s="64">
        <f>J197/J197</f>
        <v>1</v>
      </c>
      <c r="M197" s="63">
        <v>17299</v>
      </c>
      <c r="N197" s="63">
        <v>8908</v>
      </c>
      <c r="O197" s="63">
        <v>16540</v>
      </c>
      <c r="P197" s="65">
        <f t="shared" si="32"/>
        <v>0.50731559854897224</v>
      </c>
      <c r="Q197" s="63">
        <v>16141</v>
      </c>
      <c r="R197" s="63">
        <v>0</v>
      </c>
      <c r="S197" s="63">
        <v>6057</v>
      </c>
      <c r="T197" s="65">
        <f t="shared" si="33"/>
        <v>0.92112343062122937</v>
      </c>
    </row>
    <row r="198" spans="1:20">
      <c r="A198" s="62" t="s">
        <v>77</v>
      </c>
      <c r="B198" s="62">
        <v>2016</v>
      </c>
      <c r="C198" s="63">
        <v>118719</v>
      </c>
      <c r="D198" s="63">
        <v>4927</v>
      </c>
      <c r="E198" s="64">
        <f t="shared" si="34"/>
        <v>4.1501360355124285E-2</v>
      </c>
      <c r="F198" s="63">
        <v>2350</v>
      </c>
      <c r="G198" s="64">
        <f t="shared" si="31"/>
        <v>1.9794641127367986E-2</v>
      </c>
      <c r="H198" s="63">
        <v>3292</v>
      </c>
      <c r="I198" s="63">
        <v>2649</v>
      </c>
      <c r="J198" s="63">
        <f t="shared" si="28"/>
        <v>643</v>
      </c>
      <c r="K198" s="64">
        <f t="shared" si="36"/>
        <v>5.4161507425096239E-3</v>
      </c>
      <c r="L198" s="64">
        <f>J198/J197</f>
        <v>0.33985200845665964</v>
      </c>
      <c r="M198" s="63">
        <v>15218</v>
      </c>
      <c r="N198" s="63">
        <v>8969</v>
      </c>
      <c r="O198" s="63">
        <v>15575</v>
      </c>
      <c r="P198" s="65">
        <f t="shared" si="32"/>
        <v>0.40121990369181382</v>
      </c>
      <c r="Q198" s="63">
        <v>17945</v>
      </c>
      <c r="R198" s="63">
        <v>0</v>
      </c>
      <c r="S198" s="63">
        <v>5256</v>
      </c>
      <c r="T198" s="65">
        <f t="shared" si="33"/>
        <v>0.86099859469289908</v>
      </c>
    </row>
    <row r="199" spans="1:20">
      <c r="A199" s="62" t="s">
        <v>77</v>
      </c>
      <c r="B199" s="62">
        <v>2017</v>
      </c>
      <c r="C199" s="63">
        <v>129025</v>
      </c>
      <c r="D199" s="63">
        <v>5430</v>
      </c>
      <c r="E199" s="64">
        <f t="shared" si="34"/>
        <v>4.2084867273784153E-2</v>
      </c>
      <c r="F199" s="63">
        <v>2679</v>
      </c>
      <c r="G199" s="64">
        <f t="shared" si="31"/>
        <v>2.0763417942259253E-2</v>
      </c>
      <c r="H199" s="63">
        <v>6726</v>
      </c>
      <c r="I199" s="63">
        <v>2502</v>
      </c>
      <c r="J199" s="63">
        <f t="shared" si="28"/>
        <v>4224</v>
      </c>
      <c r="K199" s="64">
        <f t="shared" si="36"/>
        <v>3.2737841503584574E-2</v>
      </c>
      <c r="L199" s="64">
        <f>J199/J197</f>
        <v>2.2325581395348837</v>
      </c>
      <c r="M199" s="63">
        <v>17317</v>
      </c>
      <c r="N199" s="63">
        <v>9834</v>
      </c>
      <c r="O199" s="63">
        <v>17495</v>
      </c>
      <c r="P199" s="65">
        <f t="shared" si="32"/>
        <v>0.4277222063446699</v>
      </c>
      <c r="Q199" s="63">
        <v>19030</v>
      </c>
      <c r="R199" s="67">
        <v>0</v>
      </c>
      <c r="S199" s="63">
        <v>7773</v>
      </c>
      <c r="T199" s="65">
        <f t="shared" si="33"/>
        <v>0.95304190397163657</v>
      </c>
    </row>
    <row r="200" spans="1:20">
      <c r="A200" s="62" t="s">
        <v>77</v>
      </c>
      <c r="B200" s="62">
        <v>2018</v>
      </c>
      <c r="C200" s="63">
        <v>141576</v>
      </c>
      <c r="D200" s="63">
        <v>5917</v>
      </c>
      <c r="E200" s="64">
        <f t="shared" si="34"/>
        <v>4.1793806859919763E-2</v>
      </c>
      <c r="F200" s="63">
        <v>3134</v>
      </c>
      <c r="G200" s="64">
        <f t="shared" si="31"/>
        <v>2.2136520314177545E-2</v>
      </c>
      <c r="H200" s="63">
        <v>5774</v>
      </c>
      <c r="I200" s="63">
        <v>2969</v>
      </c>
      <c r="J200" s="63">
        <f t="shared" si="28"/>
        <v>2805</v>
      </c>
      <c r="K200" s="64">
        <f t="shared" si="36"/>
        <v>1.9812680115273776E-2</v>
      </c>
      <c r="L200" s="64">
        <f>J200/J197</f>
        <v>1.4825581395348837</v>
      </c>
      <c r="M200" s="63">
        <v>20289</v>
      </c>
      <c r="N200" s="63">
        <v>11040</v>
      </c>
      <c r="O200" s="63">
        <v>19926</v>
      </c>
      <c r="P200" s="65">
        <f t="shared" si="32"/>
        <v>0.46416741945197232</v>
      </c>
      <c r="Q200" s="63">
        <v>20541</v>
      </c>
      <c r="R200" s="63">
        <v>0</v>
      </c>
      <c r="S200" s="63">
        <v>7801</v>
      </c>
      <c r="T200" s="65">
        <f t="shared" si="33"/>
        <v>0.93074857334676064</v>
      </c>
    </row>
    <row r="201" spans="1:20">
      <c r="A201" s="62" t="s">
        <v>77</v>
      </c>
      <c r="B201" s="62">
        <v>2019</v>
      </c>
      <c r="C201" s="63">
        <v>152703</v>
      </c>
      <c r="D201" s="63">
        <v>6352</v>
      </c>
      <c r="E201" s="64">
        <f t="shared" si="34"/>
        <v>4.1597087156113502E-2</v>
      </c>
      <c r="F201" s="63">
        <v>3659</v>
      </c>
      <c r="G201" s="64">
        <f t="shared" si="31"/>
        <v>2.3961546269555937E-2</v>
      </c>
      <c r="H201" s="63">
        <v>6356</v>
      </c>
      <c r="I201" s="63">
        <v>2998</v>
      </c>
      <c r="J201" s="63">
        <f t="shared" ref="J201:J264" si="37">H201-I201</f>
        <v>3358</v>
      </c>
      <c r="K201" s="64">
        <f t="shared" si="36"/>
        <v>2.1990399664708619E-2</v>
      </c>
      <c r="L201" s="64">
        <f t="shared" si="35"/>
        <v>1.7748414376321353</v>
      </c>
      <c r="M201" s="63">
        <v>23485</v>
      </c>
      <c r="N201" s="63">
        <v>11395</v>
      </c>
      <c r="O201" s="63">
        <v>23237</v>
      </c>
      <c r="P201" s="65">
        <f t="shared" si="32"/>
        <v>0.52029091535051852</v>
      </c>
      <c r="Q201" s="63">
        <v>21915</v>
      </c>
      <c r="R201" s="63">
        <v>0</v>
      </c>
      <c r="S201" s="63">
        <v>6579</v>
      </c>
      <c r="T201" s="65">
        <f t="shared" si="33"/>
        <v>0.8768122334950742</v>
      </c>
    </row>
    <row r="202" spans="1:20">
      <c r="A202" s="62" t="s">
        <v>89</v>
      </c>
      <c r="B202" s="62">
        <v>2015</v>
      </c>
      <c r="C202" s="63">
        <v>88519</v>
      </c>
      <c r="D202" s="63">
        <v>13592</v>
      </c>
      <c r="E202" s="64">
        <f t="shared" si="34"/>
        <v>0.15354895559145496</v>
      </c>
      <c r="F202" s="63">
        <v>7009</v>
      </c>
      <c r="G202" s="64">
        <f t="shared" si="31"/>
        <v>7.9180740857894921E-2</v>
      </c>
      <c r="H202" s="63">
        <v>9373</v>
      </c>
      <c r="I202" s="63">
        <v>1503</v>
      </c>
      <c r="J202" s="63">
        <f t="shared" si="37"/>
        <v>7870</v>
      </c>
      <c r="K202" s="64">
        <f t="shared" si="36"/>
        <v>8.8907466193698534E-2</v>
      </c>
      <c r="L202" s="64">
        <f>J202/J202</f>
        <v>1</v>
      </c>
      <c r="M202" s="63">
        <v>16993</v>
      </c>
      <c r="N202" s="63">
        <v>11809</v>
      </c>
      <c r="O202" s="63">
        <v>12526</v>
      </c>
      <c r="P202" s="65">
        <f t="shared" si="32"/>
        <v>0.4138591729203257</v>
      </c>
      <c r="Q202" s="63">
        <v>25556</v>
      </c>
      <c r="R202" s="63">
        <v>2102</v>
      </c>
      <c r="S202" s="63">
        <v>23707</v>
      </c>
      <c r="T202" s="65">
        <f t="shared" si="33"/>
        <v>1.265207067532649</v>
      </c>
    </row>
    <row r="203" spans="1:20">
      <c r="A203" s="62" t="s">
        <v>89</v>
      </c>
      <c r="B203" s="62">
        <v>2016</v>
      </c>
      <c r="C203" s="63">
        <v>94595</v>
      </c>
      <c r="D203" s="63">
        <v>15218</v>
      </c>
      <c r="E203" s="64">
        <f t="shared" si="34"/>
        <v>0.16087531053438342</v>
      </c>
      <c r="F203" s="63">
        <v>7957</v>
      </c>
      <c r="G203" s="64">
        <f t="shared" si="31"/>
        <v>8.4116496643585809E-2</v>
      </c>
      <c r="H203" s="63">
        <v>9783</v>
      </c>
      <c r="I203" s="63">
        <v>1621</v>
      </c>
      <c r="J203" s="63">
        <f t="shared" si="37"/>
        <v>8162</v>
      </c>
      <c r="K203" s="64">
        <f t="shared" si="36"/>
        <v>8.6283630213013371E-2</v>
      </c>
      <c r="L203" s="64">
        <f>J203/J202</f>
        <v>1.0371029224904702</v>
      </c>
      <c r="M203" s="63">
        <v>17724</v>
      </c>
      <c r="N203" s="63">
        <v>12549</v>
      </c>
      <c r="O203" s="63">
        <v>14133</v>
      </c>
      <c r="P203" s="65">
        <f t="shared" si="32"/>
        <v>0.36616429632774355</v>
      </c>
      <c r="Q203" s="63">
        <v>25242</v>
      </c>
      <c r="R203" s="63">
        <v>2093</v>
      </c>
      <c r="S203" s="63">
        <v>24500</v>
      </c>
      <c r="T203" s="65">
        <f t="shared" si="33"/>
        <v>1.3639669538200818</v>
      </c>
    </row>
    <row r="204" spans="1:20">
      <c r="A204" s="62" t="s">
        <v>89</v>
      </c>
      <c r="B204" s="62">
        <v>2017</v>
      </c>
      <c r="C204" s="63">
        <v>100904</v>
      </c>
      <c r="D204" s="63">
        <v>16662</v>
      </c>
      <c r="E204" s="64">
        <f t="shared" si="34"/>
        <v>0.16512724966304607</v>
      </c>
      <c r="F204" s="63">
        <v>8630</v>
      </c>
      <c r="G204" s="64">
        <f t="shared" si="31"/>
        <v>8.5526837389994448E-2</v>
      </c>
      <c r="H204" s="63">
        <v>12031</v>
      </c>
      <c r="I204" s="63">
        <v>1897</v>
      </c>
      <c r="J204" s="63">
        <f t="shared" si="37"/>
        <v>10134</v>
      </c>
      <c r="K204" s="64">
        <f t="shared" si="36"/>
        <v>0.10043209387140252</v>
      </c>
      <c r="L204" s="64">
        <f>J204/J202</f>
        <v>1.2876747141041931</v>
      </c>
      <c r="M204" s="63">
        <v>18933</v>
      </c>
      <c r="N204" s="63">
        <v>12748</v>
      </c>
      <c r="O204" s="63">
        <v>16194</v>
      </c>
      <c r="P204" s="65">
        <f t="shared" si="32"/>
        <v>0.38193157959738172</v>
      </c>
      <c r="Q204" s="63">
        <v>25596</v>
      </c>
      <c r="R204" s="63">
        <v>2275</v>
      </c>
      <c r="S204" s="63">
        <v>26881</v>
      </c>
      <c r="T204" s="65">
        <f t="shared" si="33"/>
        <v>1.459872568291195</v>
      </c>
    </row>
    <row r="205" spans="1:20">
      <c r="A205" s="62" t="s">
        <v>89</v>
      </c>
      <c r="B205" s="62">
        <v>2018</v>
      </c>
      <c r="C205" s="63">
        <v>108203</v>
      </c>
      <c r="D205" s="63">
        <v>17647</v>
      </c>
      <c r="E205" s="64">
        <f t="shared" si="34"/>
        <v>0.16309159635130263</v>
      </c>
      <c r="F205" s="63">
        <v>11121</v>
      </c>
      <c r="G205" s="64">
        <f t="shared" si="31"/>
        <v>0.10277903570141309</v>
      </c>
      <c r="H205" s="63">
        <v>13038</v>
      </c>
      <c r="I205" s="63">
        <v>2442</v>
      </c>
      <c r="J205" s="63">
        <f t="shared" si="37"/>
        <v>10596</v>
      </c>
      <c r="K205" s="64">
        <f t="shared" si="36"/>
        <v>9.7927044536657945E-2</v>
      </c>
      <c r="L205" s="64">
        <f>J205/J202</f>
        <v>1.3463786531130877</v>
      </c>
      <c r="M205" s="63">
        <v>18529</v>
      </c>
      <c r="N205" s="63">
        <v>13925</v>
      </c>
      <c r="O205" s="63">
        <v>16716</v>
      </c>
      <c r="P205" s="65">
        <f t="shared" si="32"/>
        <v>0.2754247427614262</v>
      </c>
      <c r="Q205" s="63">
        <v>25474</v>
      </c>
      <c r="R205" s="63">
        <v>2252</v>
      </c>
      <c r="S205" s="63">
        <v>29165</v>
      </c>
      <c r="T205" s="65">
        <f t="shared" si="33"/>
        <v>1.6488535901674692</v>
      </c>
    </row>
    <row r="206" spans="1:20">
      <c r="A206" s="62" t="s">
        <v>89</v>
      </c>
      <c r="B206" s="62">
        <v>2019</v>
      </c>
      <c r="C206" s="63">
        <v>110225</v>
      </c>
      <c r="D206" s="63">
        <v>17832</v>
      </c>
      <c r="E206" s="64">
        <f t="shared" si="34"/>
        <v>0.16177818099342253</v>
      </c>
      <c r="F206" s="63">
        <v>11242</v>
      </c>
      <c r="G206" s="64">
        <f t="shared" si="31"/>
        <v>0.10199138126559311</v>
      </c>
      <c r="H206" s="63">
        <v>13723</v>
      </c>
      <c r="I206" s="63">
        <v>2678</v>
      </c>
      <c r="J206" s="63">
        <f t="shared" si="37"/>
        <v>11045</v>
      </c>
      <c r="K206" s="64">
        <f t="shared" si="36"/>
        <v>0.1002041279201633</v>
      </c>
      <c r="L206" s="64">
        <f t="shared" ref="L206" si="38">J206/J202</f>
        <v>1.4034307496823379</v>
      </c>
      <c r="M206" s="63">
        <v>19810</v>
      </c>
      <c r="N206" s="63">
        <v>14531</v>
      </c>
      <c r="O206" s="63">
        <v>18375</v>
      </c>
      <c r="P206" s="65">
        <f t="shared" si="32"/>
        <v>0.28729251700680269</v>
      </c>
      <c r="Q206" s="63">
        <v>31426</v>
      </c>
      <c r="R206" s="63">
        <v>2254</v>
      </c>
      <c r="S206" s="63">
        <v>35977</v>
      </c>
      <c r="T206" s="65">
        <f t="shared" si="33"/>
        <v>1.5776610258047661</v>
      </c>
    </row>
    <row r="207" spans="1:20">
      <c r="A207" s="62" t="s">
        <v>373</v>
      </c>
      <c r="B207" s="62">
        <v>2015</v>
      </c>
      <c r="C207" s="63">
        <v>14437</v>
      </c>
      <c r="D207" s="63">
        <v>1658</v>
      </c>
      <c r="E207" s="64">
        <f t="shared" si="34"/>
        <v>0.11484380411442821</v>
      </c>
      <c r="F207" s="63">
        <v>600</v>
      </c>
      <c r="G207" s="64">
        <f t="shared" si="31"/>
        <v>4.1559880861674864E-2</v>
      </c>
      <c r="H207" s="63">
        <v>2451</v>
      </c>
      <c r="I207" s="63">
        <v>1082</v>
      </c>
      <c r="J207" s="63">
        <f t="shared" si="37"/>
        <v>1369</v>
      </c>
      <c r="K207" s="64">
        <f t="shared" si="36"/>
        <v>9.482579483272148E-2</v>
      </c>
      <c r="L207" s="64">
        <f>J207/J207</f>
        <v>1</v>
      </c>
      <c r="M207" s="63">
        <v>3014</v>
      </c>
      <c r="N207" s="63">
        <v>1945</v>
      </c>
      <c r="O207" s="63">
        <v>2911</v>
      </c>
      <c r="P207" s="65">
        <f t="shared" si="32"/>
        <v>0.36722775678461012</v>
      </c>
      <c r="Q207" s="63">
        <v>4684</v>
      </c>
      <c r="R207" s="62">
        <v>435</v>
      </c>
      <c r="S207" s="63">
        <v>3916</v>
      </c>
      <c r="T207" s="65">
        <f t="shared" si="33"/>
        <v>1.2837532907107936</v>
      </c>
    </row>
    <row r="208" spans="1:20">
      <c r="A208" s="62" t="s">
        <v>373</v>
      </c>
      <c r="B208" s="62">
        <v>2016</v>
      </c>
      <c r="C208" s="63">
        <v>14757</v>
      </c>
      <c r="D208" s="63">
        <v>1625</v>
      </c>
      <c r="E208" s="64">
        <f t="shared" si="34"/>
        <v>0.11011723249983059</v>
      </c>
      <c r="F208" s="63">
        <v>354</v>
      </c>
      <c r="G208" s="64">
        <f t="shared" si="31"/>
        <v>2.3988615572270788E-2</v>
      </c>
      <c r="H208" s="63">
        <v>1648</v>
      </c>
      <c r="I208" s="62">
        <v>846</v>
      </c>
      <c r="J208" s="63">
        <f t="shared" si="37"/>
        <v>802</v>
      </c>
      <c r="K208" s="64">
        <f t="shared" si="36"/>
        <v>5.4347089516839468E-2</v>
      </c>
      <c r="L208" s="64">
        <f>J208/J207</f>
        <v>0.58582907231555881</v>
      </c>
      <c r="M208" s="63">
        <v>3242</v>
      </c>
      <c r="N208" s="63">
        <v>1896</v>
      </c>
      <c r="O208" s="63">
        <v>3029</v>
      </c>
      <c r="P208" s="65">
        <f t="shared" si="32"/>
        <v>0.44437107956421262</v>
      </c>
      <c r="Q208" s="63">
        <v>4616</v>
      </c>
      <c r="R208" s="63">
        <v>238</v>
      </c>
      <c r="S208" s="63">
        <v>3959</v>
      </c>
      <c r="T208" s="65">
        <f t="shared" si="33"/>
        <v>1.2208245981830887</v>
      </c>
    </row>
    <row r="209" spans="1:20">
      <c r="A209" s="62" t="s">
        <v>373</v>
      </c>
      <c r="B209" s="62">
        <v>2017</v>
      </c>
      <c r="C209" s="63">
        <v>15478</v>
      </c>
      <c r="D209" s="63">
        <v>1608</v>
      </c>
      <c r="E209" s="64">
        <f t="shared" si="34"/>
        <v>0.10388939139423699</v>
      </c>
      <c r="F209" s="63">
        <v>437</v>
      </c>
      <c r="G209" s="64">
        <f t="shared" si="31"/>
        <v>2.8233621914976095E-2</v>
      </c>
      <c r="H209" s="63">
        <v>1400</v>
      </c>
      <c r="I209" s="62">
        <v>731</v>
      </c>
      <c r="J209" s="63">
        <f t="shared" si="37"/>
        <v>669</v>
      </c>
      <c r="K209" s="64">
        <f t="shared" si="36"/>
        <v>4.3222638583796359E-2</v>
      </c>
      <c r="L209" s="64">
        <f>J209/J207</f>
        <v>0.48867786705624544</v>
      </c>
      <c r="M209" s="63">
        <v>3503</v>
      </c>
      <c r="N209" s="63">
        <v>2027</v>
      </c>
      <c r="O209" s="63">
        <v>3289</v>
      </c>
      <c r="P209" s="65">
        <f t="shared" si="32"/>
        <v>0.44876862268166617</v>
      </c>
      <c r="Q209" s="63">
        <v>4612</v>
      </c>
      <c r="R209" s="63">
        <v>238</v>
      </c>
      <c r="S209" s="63">
        <v>3849</v>
      </c>
      <c r="T209" s="65">
        <f t="shared" si="33"/>
        <v>1.2201709401709402</v>
      </c>
    </row>
    <row r="210" spans="1:20">
      <c r="A210" s="62" t="s">
        <v>373</v>
      </c>
      <c r="B210" s="62">
        <v>2018</v>
      </c>
      <c r="C210" s="63">
        <v>15860</v>
      </c>
      <c r="D210" s="63">
        <v>1581</v>
      </c>
      <c r="E210" s="64">
        <f t="shared" si="34"/>
        <v>9.9684741488020173E-2</v>
      </c>
      <c r="F210" s="62">
        <v>564</v>
      </c>
      <c r="G210" s="64">
        <f t="shared" si="31"/>
        <v>3.5561160151324087E-2</v>
      </c>
      <c r="H210" s="63">
        <v>1296</v>
      </c>
      <c r="I210" s="62">
        <v>654</v>
      </c>
      <c r="J210" s="63">
        <f t="shared" si="37"/>
        <v>642</v>
      </c>
      <c r="K210" s="64">
        <f t="shared" si="36"/>
        <v>4.0479192938209334E-2</v>
      </c>
      <c r="L210" s="64">
        <f>J210/J207</f>
        <v>0.46895544192841493</v>
      </c>
      <c r="M210" s="63">
        <v>3374</v>
      </c>
      <c r="N210" s="63">
        <v>1978</v>
      </c>
      <c r="O210" s="63">
        <v>3381</v>
      </c>
      <c r="P210" s="65">
        <f t="shared" si="32"/>
        <v>0.4128955930198166</v>
      </c>
      <c r="Q210" s="63">
        <v>4512</v>
      </c>
      <c r="R210" s="63">
        <v>249</v>
      </c>
      <c r="S210" s="63">
        <v>3632</v>
      </c>
      <c r="T210" s="65">
        <f t="shared" si="33"/>
        <v>1.2392648877893622</v>
      </c>
    </row>
    <row r="211" spans="1:20">
      <c r="A211" s="62" t="s">
        <v>373</v>
      </c>
      <c r="B211" s="62">
        <v>2019</v>
      </c>
      <c r="C211" s="63">
        <v>15524</v>
      </c>
      <c r="D211" s="63">
        <v>1487</v>
      </c>
      <c r="E211" s="64">
        <f t="shared" si="34"/>
        <v>9.5787168255604224E-2</v>
      </c>
      <c r="F211" s="62">
        <v>496</v>
      </c>
      <c r="G211" s="64">
        <f t="shared" si="31"/>
        <v>3.1950528214377737E-2</v>
      </c>
      <c r="H211" s="63">
        <v>1236</v>
      </c>
      <c r="I211" s="62">
        <v>935</v>
      </c>
      <c r="J211" s="63">
        <f t="shared" si="37"/>
        <v>301</v>
      </c>
      <c r="K211" s="64">
        <f t="shared" si="36"/>
        <v>1.9389332646225201E-2</v>
      </c>
      <c r="L211" s="64">
        <f t="shared" ref="L211" si="39">J211/J207</f>
        <v>0.21986851716581446</v>
      </c>
      <c r="M211" s="63">
        <v>3230</v>
      </c>
      <c r="N211" s="63">
        <v>1920</v>
      </c>
      <c r="O211" s="63">
        <v>3520</v>
      </c>
      <c r="P211" s="65">
        <f t="shared" si="32"/>
        <v>0.37215909090909088</v>
      </c>
      <c r="Q211" s="63">
        <v>6507</v>
      </c>
      <c r="R211" s="63">
        <v>249</v>
      </c>
      <c r="S211" s="63">
        <v>5238</v>
      </c>
      <c r="T211" s="65">
        <f t="shared" si="33"/>
        <v>1.1572410147991543</v>
      </c>
    </row>
    <row r="212" spans="1:20">
      <c r="A212" s="62" t="s">
        <v>80</v>
      </c>
      <c r="B212" s="62">
        <v>2015</v>
      </c>
      <c r="C212" s="63">
        <v>479962</v>
      </c>
      <c r="D212" s="63">
        <v>31517</v>
      </c>
      <c r="E212" s="64">
        <f t="shared" si="34"/>
        <v>6.5665615194536231E-2</v>
      </c>
      <c r="F212" s="63">
        <v>14694</v>
      </c>
      <c r="G212" s="64">
        <f t="shared" si="31"/>
        <v>3.0614923681458114E-2</v>
      </c>
      <c r="H212" s="63">
        <v>27389</v>
      </c>
      <c r="I212" s="63">
        <v>11477</v>
      </c>
      <c r="J212" s="63">
        <f t="shared" si="37"/>
        <v>15912</v>
      </c>
      <c r="K212" s="64">
        <f t="shared" si="36"/>
        <v>3.3152624582779469E-2</v>
      </c>
      <c r="L212" s="64">
        <f>J212/J212</f>
        <v>1</v>
      </c>
      <c r="M212" s="63">
        <v>60239</v>
      </c>
      <c r="N212" s="63">
        <v>44469</v>
      </c>
      <c r="O212" s="63">
        <v>64619</v>
      </c>
      <c r="P212" s="65">
        <f t="shared" si="32"/>
        <v>0.24404586886209939</v>
      </c>
      <c r="Q212" s="63">
        <v>139342</v>
      </c>
      <c r="R212" s="63">
        <v>16695</v>
      </c>
      <c r="S212" s="63">
        <v>51351</v>
      </c>
      <c r="T212" s="65">
        <f>(O212+S212)/(M212+Q212-N212-R212)</f>
        <v>0.83783061329171993</v>
      </c>
    </row>
    <row r="213" spans="1:20">
      <c r="A213" s="62" t="s">
        <v>80</v>
      </c>
      <c r="B213" s="62">
        <v>2016</v>
      </c>
      <c r="C213" s="63">
        <v>482154</v>
      </c>
      <c r="D213" s="63">
        <v>29594</v>
      </c>
      <c r="E213" s="64">
        <f t="shared" si="34"/>
        <v>6.13787296175081E-2</v>
      </c>
      <c r="F213" s="63">
        <v>13643</v>
      </c>
      <c r="G213" s="64">
        <f t="shared" si="31"/>
        <v>2.8295938642010642E-2</v>
      </c>
      <c r="H213" s="63">
        <v>31530</v>
      </c>
      <c r="I213" s="63">
        <v>10619</v>
      </c>
      <c r="J213" s="63">
        <f t="shared" si="37"/>
        <v>20911</v>
      </c>
      <c r="K213" s="64">
        <f t="shared" si="36"/>
        <v>4.3369960634983842E-2</v>
      </c>
      <c r="L213" s="64">
        <f>J213/J212</f>
        <v>1.314165409753645</v>
      </c>
      <c r="M213" s="63">
        <v>57689</v>
      </c>
      <c r="N213" s="63">
        <v>43046</v>
      </c>
      <c r="O213" s="63">
        <v>66928</v>
      </c>
      <c r="P213" s="65">
        <f t="shared" si="32"/>
        <v>0.21878735357398996</v>
      </c>
      <c r="Q213" s="63">
        <v>141136</v>
      </c>
      <c r="R213" s="63">
        <v>17037</v>
      </c>
      <c r="S213" s="63">
        <v>51362</v>
      </c>
      <c r="T213" s="65">
        <f t="shared" si="33"/>
        <v>0.85258969886552016</v>
      </c>
    </row>
    <row r="214" spans="1:20">
      <c r="A214" s="62" t="s">
        <v>80</v>
      </c>
      <c r="B214" s="62">
        <v>2017</v>
      </c>
      <c r="C214" s="63">
        <v>496785</v>
      </c>
      <c r="D214" s="63">
        <v>29182</v>
      </c>
      <c r="E214" s="64">
        <f t="shared" si="34"/>
        <v>5.8741709190092292E-2</v>
      </c>
      <c r="F214" s="63">
        <v>9862</v>
      </c>
      <c r="G214" s="64">
        <f t="shared" si="31"/>
        <v>1.9851646084322192E-2</v>
      </c>
      <c r="H214" s="63">
        <v>28337</v>
      </c>
      <c r="I214" s="63">
        <v>10051</v>
      </c>
      <c r="J214" s="63">
        <f t="shared" si="37"/>
        <v>18286</v>
      </c>
      <c r="K214" s="64">
        <f t="shared" si="36"/>
        <v>3.6808679811185928E-2</v>
      </c>
      <c r="L214" s="64">
        <f>J214/J212</f>
        <v>1.1491955756661638</v>
      </c>
      <c r="M214" s="63">
        <v>59664</v>
      </c>
      <c r="N214" s="63">
        <v>43783</v>
      </c>
      <c r="O214" s="63">
        <v>78521</v>
      </c>
      <c r="P214" s="65">
        <f t="shared" si="32"/>
        <v>0.20225162695329912</v>
      </c>
      <c r="Q214" s="63">
        <v>144858</v>
      </c>
      <c r="R214" s="63">
        <v>18242</v>
      </c>
      <c r="S214" s="63">
        <v>45179</v>
      </c>
      <c r="T214" s="65">
        <f t="shared" si="33"/>
        <v>0.86808845098493304</v>
      </c>
    </row>
    <row r="215" spans="1:20">
      <c r="A215" s="62" t="s">
        <v>80</v>
      </c>
      <c r="B215" s="62">
        <v>2018</v>
      </c>
      <c r="C215" s="63">
        <v>511729</v>
      </c>
      <c r="D215" s="63">
        <v>30149</v>
      </c>
      <c r="E215" s="64">
        <f t="shared" si="34"/>
        <v>5.8915949653039014E-2</v>
      </c>
      <c r="F215" s="63">
        <v>6670</v>
      </c>
      <c r="G215" s="64">
        <f t="shared" si="31"/>
        <v>1.3034242733947069E-2</v>
      </c>
      <c r="H215" s="63">
        <v>27753</v>
      </c>
      <c r="I215" s="63">
        <v>10344</v>
      </c>
      <c r="J215" s="63">
        <f t="shared" si="37"/>
        <v>17409</v>
      </c>
      <c r="K215" s="64">
        <f t="shared" si="36"/>
        <v>3.4019959783400978E-2</v>
      </c>
      <c r="L215" s="64">
        <f>J215/J212</f>
        <v>1.0940799396681751</v>
      </c>
      <c r="M215" s="63">
        <v>61897</v>
      </c>
      <c r="N215" s="63">
        <v>44269</v>
      </c>
      <c r="O215" s="63">
        <v>77477</v>
      </c>
      <c r="P215" s="65">
        <f t="shared" si="32"/>
        <v>0.2275255882390903</v>
      </c>
      <c r="Q215" s="63">
        <v>157398</v>
      </c>
      <c r="R215" s="63">
        <v>31181</v>
      </c>
      <c r="S215" s="63">
        <v>62184</v>
      </c>
      <c r="T215" s="65">
        <f t="shared" si="33"/>
        <v>0.97091313566686366</v>
      </c>
    </row>
    <row r="216" spans="1:20">
      <c r="A216" s="62" t="s">
        <v>80</v>
      </c>
      <c r="B216" s="62">
        <v>2019</v>
      </c>
      <c r="C216" s="63">
        <v>523964</v>
      </c>
      <c r="D216" s="63">
        <v>31838</v>
      </c>
      <c r="E216" s="64">
        <f t="shared" si="34"/>
        <v>6.0763716591216189E-2</v>
      </c>
      <c r="F216" s="63">
        <v>14881</v>
      </c>
      <c r="G216" s="64">
        <f t="shared" si="31"/>
        <v>2.8400806162255422E-2</v>
      </c>
      <c r="H216" s="63">
        <v>25255</v>
      </c>
      <c r="I216" s="63">
        <v>10705</v>
      </c>
      <c r="J216" s="63">
        <f t="shared" si="37"/>
        <v>14550</v>
      </c>
      <c r="K216" s="64">
        <f t="shared" si="36"/>
        <v>2.7769083372140072E-2</v>
      </c>
      <c r="L216" s="64">
        <f t="shared" ref="L216" si="40">J216/J212</f>
        <v>0.91440422322775261</v>
      </c>
      <c r="M216" s="63">
        <v>61806</v>
      </c>
      <c r="N216" s="63">
        <v>44435</v>
      </c>
      <c r="O216" s="63">
        <v>77790</v>
      </c>
      <c r="P216" s="65">
        <f t="shared" si="32"/>
        <v>0.22330633757552384</v>
      </c>
      <c r="Q216" s="63">
        <v>174689</v>
      </c>
      <c r="R216" s="63">
        <v>31073</v>
      </c>
      <c r="S216" s="63">
        <v>77153</v>
      </c>
      <c r="T216" s="65">
        <f t="shared" si="33"/>
        <v>0.96245659587420107</v>
      </c>
    </row>
    <row r="217" spans="1:20">
      <c r="A217" s="62" t="s">
        <v>83</v>
      </c>
      <c r="B217" s="62">
        <v>2015</v>
      </c>
      <c r="C217" s="63">
        <v>73785</v>
      </c>
      <c r="D217" s="63">
        <v>7339</v>
      </c>
      <c r="E217" s="64">
        <f t="shared" si="34"/>
        <v>9.9464660838923899E-2</v>
      </c>
      <c r="F217" s="63">
        <v>3363</v>
      </c>
      <c r="G217" s="64">
        <f t="shared" si="31"/>
        <v>4.5578369587314496E-2</v>
      </c>
      <c r="H217" s="63">
        <v>5844</v>
      </c>
      <c r="I217" s="63">
        <v>1438</v>
      </c>
      <c r="J217" s="63">
        <f t="shared" si="37"/>
        <v>4406</v>
      </c>
      <c r="K217" s="64">
        <f t="shared" si="36"/>
        <v>5.9714034017754283E-2</v>
      </c>
      <c r="L217" s="64">
        <f>J217/J217</f>
        <v>1</v>
      </c>
      <c r="M217" s="63">
        <v>14130</v>
      </c>
      <c r="N217" s="63">
        <v>8601</v>
      </c>
      <c r="O217" s="63">
        <v>12622</v>
      </c>
      <c r="P217" s="65">
        <f t="shared" si="32"/>
        <v>0.43804468388527967</v>
      </c>
      <c r="Q217" s="63">
        <v>26132</v>
      </c>
      <c r="R217" s="62">
        <v>277</v>
      </c>
      <c r="S217" s="63">
        <v>14683</v>
      </c>
      <c r="T217" s="65">
        <f t="shared" si="33"/>
        <v>0.87002931430028041</v>
      </c>
    </row>
    <row r="218" spans="1:20">
      <c r="A218" s="62" t="s">
        <v>83</v>
      </c>
      <c r="B218" s="62">
        <v>2016</v>
      </c>
      <c r="C218" s="63">
        <v>69495</v>
      </c>
      <c r="D218" s="63">
        <v>7271</v>
      </c>
      <c r="E218" s="64">
        <f t="shared" si="34"/>
        <v>0.104626232103029</v>
      </c>
      <c r="F218" s="63">
        <v>2737</v>
      </c>
      <c r="G218" s="64">
        <f t="shared" si="31"/>
        <v>3.938412835455788E-2</v>
      </c>
      <c r="H218" s="63">
        <v>5436</v>
      </c>
      <c r="I218" s="63">
        <v>1547</v>
      </c>
      <c r="J218" s="63">
        <f t="shared" si="37"/>
        <v>3889</v>
      </c>
      <c r="K218" s="64">
        <f t="shared" si="36"/>
        <v>5.5960860493560687E-2</v>
      </c>
      <c r="L218" s="64">
        <f>J218/J217</f>
        <v>0.88266000907852926</v>
      </c>
      <c r="M218" s="63">
        <v>11990</v>
      </c>
      <c r="N218" s="63">
        <v>8309</v>
      </c>
      <c r="O218" s="63">
        <v>12708</v>
      </c>
      <c r="P218" s="65">
        <f t="shared" si="32"/>
        <v>0.28966005665722377</v>
      </c>
      <c r="Q218" s="63">
        <v>25441</v>
      </c>
      <c r="R218" s="62">
        <v>259</v>
      </c>
      <c r="S218" s="63">
        <v>13770</v>
      </c>
      <c r="T218" s="65">
        <f t="shared" si="33"/>
        <v>0.91736825693794821</v>
      </c>
    </row>
    <row r="219" spans="1:20">
      <c r="A219" s="62" t="s">
        <v>83</v>
      </c>
      <c r="B219" s="62">
        <v>2017</v>
      </c>
      <c r="C219" s="63">
        <v>71879</v>
      </c>
      <c r="D219" s="63">
        <v>6752</v>
      </c>
      <c r="E219" s="64">
        <f t="shared" si="34"/>
        <v>9.393564184254094E-2</v>
      </c>
      <c r="F219" s="63">
        <v>2934</v>
      </c>
      <c r="G219" s="64">
        <f t="shared" si="31"/>
        <v>4.081859792150698E-2</v>
      </c>
      <c r="H219" s="63">
        <v>6923</v>
      </c>
      <c r="I219" s="63">
        <v>2533</v>
      </c>
      <c r="J219" s="63">
        <f t="shared" si="37"/>
        <v>4390</v>
      </c>
      <c r="K219" s="64">
        <f t="shared" si="36"/>
        <v>6.1074861920727891E-2</v>
      </c>
      <c r="L219" s="64">
        <f>J219/J217</f>
        <v>0.99636858828869723</v>
      </c>
      <c r="M219" s="63">
        <v>12564</v>
      </c>
      <c r="N219" s="63">
        <v>8657</v>
      </c>
      <c r="O219" s="63">
        <v>13201</v>
      </c>
      <c r="P219" s="65">
        <f t="shared" si="32"/>
        <v>0.29596242708885689</v>
      </c>
      <c r="Q219" s="63">
        <v>26435</v>
      </c>
      <c r="R219" s="62">
        <v>782</v>
      </c>
      <c r="S219" s="63">
        <v>14089</v>
      </c>
      <c r="T219" s="65">
        <f t="shared" si="33"/>
        <v>0.92320703653585923</v>
      </c>
    </row>
    <row r="220" spans="1:20">
      <c r="A220" s="62" t="s">
        <v>83</v>
      </c>
      <c r="B220" s="62">
        <v>2018</v>
      </c>
      <c r="C220" s="63">
        <v>75356</v>
      </c>
      <c r="D220" s="63">
        <v>6584</v>
      </c>
      <c r="E220" s="64">
        <f t="shared" si="34"/>
        <v>8.7371941185837895E-2</v>
      </c>
      <c r="F220" s="63">
        <v>2937</v>
      </c>
      <c r="G220" s="64">
        <f t="shared" si="31"/>
        <v>3.8974998672965659E-2</v>
      </c>
      <c r="H220" s="63">
        <v>5973</v>
      </c>
      <c r="I220" s="63">
        <v>3516</v>
      </c>
      <c r="J220" s="63">
        <f t="shared" si="37"/>
        <v>2457</v>
      </c>
      <c r="K220" s="64">
        <f t="shared" si="36"/>
        <v>3.2605233823451353E-2</v>
      </c>
      <c r="L220" s="64">
        <f>J220/J217</f>
        <v>0.55764866091693144</v>
      </c>
      <c r="M220" s="63">
        <v>12519</v>
      </c>
      <c r="N220" s="63">
        <v>9497</v>
      </c>
      <c r="O220" s="63">
        <v>15014</v>
      </c>
      <c r="P220" s="65">
        <f t="shared" si="32"/>
        <v>0.20127880644731583</v>
      </c>
      <c r="Q220" s="63">
        <v>28771</v>
      </c>
      <c r="R220" s="62">
        <v>699</v>
      </c>
      <c r="S220" s="63">
        <v>14979</v>
      </c>
      <c r="T220" s="65">
        <f t="shared" si="33"/>
        <v>0.96459123946742131</v>
      </c>
    </row>
    <row r="221" spans="1:20">
      <c r="A221" s="62" t="s">
        <v>83</v>
      </c>
      <c r="B221" s="62">
        <v>2019</v>
      </c>
      <c r="C221" s="63">
        <v>78112</v>
      </c>
      <c r="D221" s="63">
        <v>7245</v>
      </c>
      <c r="E221" s="64">
        <f t="shared" si="34"/>
        <v>9.2751433838590747E-2</v>
      </c>
      <c r="F221" s="63">
        <v>3281</v>
      </c>
      <c r="G221" s="64">
        <f t="shared" si="31"/>
        <v>4.2003789430561246E-2</v>
      </c>
      <c r="H221" s="63">
        <v>7117</v>
      </c>
      <c r="I221" s="63">
        <v>3027</v>
      </c>
      <c r="J221" s="63">
        <f t="shared" si="37"/>
        <v>4090</v>
      </c>
      <c r="K221" s="64">
        <f t="shared" si="36"/>
        <v>5.2360712822613682E-2</v>
      </c>
      <c r="L221" s="64">
        <f t="shared" ref="L221" si="41">J221/J217</f>
        <v>0.92827961870177034</v>
      </c>
      <c r="M221" s="63">
        <v>12902</v>
      </c>
      <c r="N221" s="63">
        <v>8992</v>
      </c>
      <c r="O221" s="63">
        <v>14487</v>
      </c>
      <c r="P221" s="65">
        <f t="shared" si="32"/>
        <v>0.26989714916821977</v>
      </c>
      <c r="Q221" s="63">
        <v>29877</v>
      </c>
      <c r="R221" s="62">
        <v>686</v>
      </c>
      <c r="S221" s="63">
        <v>16459</v>
      </c>
      <c r="T221" s="65">
        <f t="shared" si="33"/>
        <v>0.93489622670009964</v>
      </c>
    </row>
    <row r="222" spans="1:20">
      <c r="A222" s="62" t="s">
        <v>270</v>
      </c>
      <c r="B222" s="62">
        <v>2015</v>
      </c>
      <c r="C222" s="63">
        <v>25413</v>
      </c>
      <c r="D222" s="63">
        <v>8793</v>
      </c>
      <c r="E222" s="64">
        <f t="shared" si="34"/>
        <v>0.34600401369377876</v>
      </c>
      <c r="F222" s="63">
        <v>4529</v>
      </c>
      <c r="G222" s="64">
        <f t="shared" si="31"/>
        <v>0.17821587376539566</v>
      </c>
      <c r="H222" s="63">
        <v>6539</v>
      </c>
      <c r="I222" s="63">
        <v>1814</v>
      </c>
      <c r="J222" s="63">
        <f t="shared" si="37"/>
        <v>4725</v>
      </c>
      <c r="K222" s="64">
        <f t="shared" si="36"/>
        <v>0.18592846181088418</v>
      </c>
      <c r="L222" s="64">
        <f>J222/J222</f>
        <v>1</v>
      </c>
      <c r="M222" s="63">
        <v>9643</v>
      </c>
      <c r="N222" s="62">
        <v>100</v>
      </c>
      <c r="O222" s="63">
        <v>2950</v>
      </c>
      <c r="P222" s="65">
        <f t="shared" si="32"/>
        <v>3.2349152542372881</v>
      </c>
      <c r="Q222" s="63">
        <v>28296</v>
      </c>
      <c r="R222" s="63">
        <v>2516</v>
      </c>
      <c r="S222" s="63">
        <v>27900</v>
      </c>
      <c r="T222" s="65">
        <f t="shared" si="33"/>
        <v>0.87336862667383852</v>
      </c>
    </row>
    <row r="223" spans="1:20">
      <c r="A223" s="62" t="s">
        <v>270</v>
      </c>
      <c r="B223" s="62">
        <v>2016</v>
      </c>
      <c r="C223" s="63">
        <v>24622</v>
      </c>
      <c r="D223" s="63">
        <v>9211</v>
      </c>
      <c r="E223" s="64">
        <f t="shared" si="34"/>
        <v>0.37409633660953617</v>
      </c>
      <c r="F223" s="63">
        <v>4687</v>
      </c>
      <c r="G223" s="64">
        <f t="shared" si="31"/>
        <v>0.19035821622938834</v>
      </c>
      <c r="H223" s="63">
        <v>5886</v>
      </c>
      <c r="I223" s="63">
        <v>1821</v>
      </c>
      <c r="J223" s="63">
        <f t="shared" si="37"/>
        <v>4065</v>
      </c>
      <c r="K223" s="64">
        <f t="shared" si="36"/>
        <v>0.16509625538136627</v>
      </c>
      <c r="L223" s="64">
        <f>J223/J222</f>
        <v>0.86031746031746037</v>
      </c>
      <c r="M223" s="63">
        <v>4849</v>
      </c>
      <c r="N223" s="63">
        <v>59</v>
      </c>
      <c r="O223" s="63">
        <v>3468</v>
      </c>
      <c r="P223" s="65">
        <f t="shared" si="32"/>
        <v>1.381199538638985</v>
      </c>
      <c r="Q223" s="63">
        <v>26175</v>
      </c>
      <c r="R223" s="63">
        <v>2337</v>
      </c>
      <c r="S223" s="63">
        <v>29760</v>
      </c>
      <c r="T223" s="65">
        <f t="shared" si="33"/>
        <v>1.1606818499371245</v>
      </c>
    </row>
    <row r="224" spans="1:20">
      <c r="A224" s="62" t="s">
        <v>270</v>
      </c>
      <c r="B224" s="62">
        <v>2017</v>
      </c>
      <c r="C224" s="63">
        <v>22820</v>
      </c>
      <c r="D224" s="63">
        <v>9617</v>
      </c>
      <c r="E224" s="64">
        <f t="shared" si="34"/>
        <v>0.42142857142857143</v>
      </c>
      <c r="F224" s="63">
        <v>5192</v>
      </c>
      <c r="G224" s="64">
        <f t="shared" si="31"/>
        <v>0.22751971954425942</v>
      </c>
      <c r="H224" s="63">
        <v>5725</v>
      </c>
      <c r="I224" s="63">
        <v>1854</v>
      </c>
      <c r="J224" s="63">
        <f t="shared" si="37"/>
        <v>3871</v>
      </c>
      <c r="K224" s="64">
        <f t="shared" si="36"/>
        <v>0.16963190184049079</v>
      </c>
      <c r="L224" s="64">
        <f>J224/J222</f>
        <v>0.81925925925925924</v>
      </c>
      <c r="M224" s="63">
        <v>5327</v>
      </c>
      <c r="N224" s="63">
        <v>59</v>
      </c>
      <c r="O224" s="63">
        <v>2891</v>
      </c>
      <c r="P224" s="65">
        <f t="shared" si="32"/>
        <v>1.8222068488412313</v>
      </c>
      <c r="Q224" s="63">
        <v>28477</v>
      </c>
      <c r="R224" s="63">
        <v>2380</v>
      </c>
      <c r="S224" s="63">
        <v>34181</v>
      </c>
      <c r="T224" s="65">
        <f t="shared" si="33"/>
        <v>1.181954407779372</v>
      </c>
    </row>
    <row r="225" spans="1:20">
      <c r="A225" s="62" t="s">
        <v>270</v>
      </c>
      <c r="B225" s="62">
        <v>2018</v>
      </c>
      <c r="C225" s="63">
        <v>21025</v>
      </c>
      <c r="D225" s="63">
        <v>9889</v>
      </c>
      <c r="E225" s="64">
        <f t="shared" si="34"/>
        <v>0.47034482758620688</v>
      </c>
      <c r="F225" s="63">
        <v>5924</v>
      </c>
      <c r="G225" s="64">
        <f t="shared" si="31"/>
        <v>0.28175980975029724</v>
      </c>
      <c r="H225" s="63">
        <v>6967</v>
      </c>
      <c r="I225" s="63">
        <v>2742</v>
      </c>
      <c r="J225" s="63">
        <f t="shared" si="37"/>
        <v>4225</v>
      </c>
      <c r="K225" s="64">
        <f t="shared" si="36"/>
        <v>0.20095124851367419</v>
      </c>
      <c r="L225" s="64">
        <f>J225/J222</f>
        <v>0.89417989417989419</v>
      </c>
      <c r="M225" s="63">
        <v>4053</v>
      </c>
      <c r="N225" s="63">
        <v>51</v>
      </c>
      <c r="O225" s="63">
        <v>2974</v>
      </c>
      <c r="P225" s="65">
        <f t="shared" si="32"/>
        <v>1.3456624075319434</v>
      </c>
      <c r="Q225" s="63">
        <v>28758</v>
      </c>
      <c r="R225" s="63">
        <v>2941</v>
      </c>
      <c r="S225" s="63">
        <v>36096</v>
      </c>
      <c r="T225" s="65">
        <f t="shared" si="33"/>
        <v>1.3102384385794292</v>
      </c>
    </row>
    <row r="226" spans="1:20">
      <c r="A226" s="62" t="s">
        <v>270</v>
      </c>
      <c r="B226" s="62">
        <v>2019</v>
      </c>
      <c r="C226" s="63">
        <v>21077</v>
      </c>
      <c r="D226" s="63">
        <v>10278</v>
      </c>
      <c r="E226" s="64">
        <f t="shared" si="34"/>
        <v>0.48764055605636475</v>
      </c>
      <c r="F226" s="63">
        <v>6025</v>
      </c>
      <c r="G226" s="64">
        <f t="shared" si="31"/>
        <v>0.28585662096123737</v>
      </c>
      <c r="H226" s="63">
        <v>8122</v>
      </c>
      <c r="I226" s="63">
        <v>2394</v>
      </c>
      <c r="J226" s="63">
        <f t="shared" si="37"/>
        <v>5728</v>
      </c>
      <c r="K226" s="64">
        <f t="shared" si="36"/>
        <v>0.27176543151302368</v>
      </c>
      <c r="L226" s="64">
        <f t="shared" ref="L226" si="42">J226/J222</f>
        <v>1.2122751322751322</v>
      </c>
      <c r="M226" s="63">
        <v>3558</v>
      </c>
      <c r="N226" s="63">
        <v>50</v>
      </c>
      <c r="O226" s="63">
        <v>3621</v>
      </c>
      <c r="P226" s="65">
        <f t="shared" si="32"/>
        <v>0.96879315106324215</v>
      </c>
      <c r="Q226" s="63">
        <v>43953</v>
      </c>
      <c r="R226" s="63">
        <v>3343</v>
      </c>
      <c r="S226" s="63">
        <v>52100</v>
      </c>
      <c r="T226" s="65">
        <f t="shared" si="33"/>
        <v>1.2629992293394987</v>
      </c>
    </row>
    <row r="227" spans="1:20">
      <c r="A227" s="62" t="s">
        <v>374</v>
      </c>
      <c r="B227" s="62">
        <v>2015</v>
      </c>
      <c r="C227" s="63">
        <v>52465</v>
      </c>
      <c r="D227" s="63">
        <v>15578</v>
      </c>
      <c r="E227" s="64">
        <f t="shared" si="34"/>
        <v>0.2969217573620509</v>
      </c>
      <c r="F227" s="63">
        <v>8382</v>
      </c>
      <c r="G227" s="64">
        <f>F227/C227</f>
        <v>0.15976365195844849</v>
      </c>
      <c r="H227" s="63">
        <v>10909</v>
      </c>
      <c r="I227" s="63">
        <v>4265</v>
      </c>
      <c r="J227" s="63">
        <f t="shared" si="37"/>
        <v>6644</v>
      </c>
      <c r="K227" s="64">
        <f t="shared" si="36"/>
        <v>0.12663680548937387</v>
      </c>
      <c r="L227" s="64">
        <f>J227/J227</f>
        <v>1</v>
      </c>
      <c r="M227" s="63">
        <v>16758</v>
      </c>
      <c r="N227" s="63">
        <v>2741</v>
      </c>
      <c r="O227" s="63">
        <v>16334</v>
      </c>
      <c r="P227" s="65">
        <f t="shared" si="32"/>
        <v>0.85814864699400029</v>
      </c>
      <c r="Q227" s="63">
        <v>71424</v>
      </c>
      <c r="R227" s="63">
        <v>34998</v>
      </c>
      <c r="S227" s="63">
        <v>23193</v>
      </c>
      <c r="T227" s="65">
        <f>(O227+S227)/(M227+Q227-N227-R227)</f>
        <v>0.78359732767678369</v>
      </c>
    </row>
    <row r="228" spans="1:20">
      <c r="A228" s="62" t="s">
        <v>374</v>
      </c>
      <c r="B228" s="62">
        <v>2016</v>
      </c>
      <c r="C228" s="63">
        <v>55632</v>
      </c>
      <c r="D228" s="63">
        <v>17014</v>
      </c>
      <c r="E228" s="64">
        <f t="shared" si="34"/>
        <v>0.30583117630140927</v>
      </c>
      <c r="F228" s="63">
        <v>9391</v>
      </c>
      <c r="G228" s="64">
        <f t="shared" ref="G228:G231" si="43">F228/C228</f>
        <v>0.1688057233247052</v>
      </c>
      <c r="H228" s="63">
        <v>13213</v>
      </c>
      <c r="I228" s="63">
        <v>4773</v>
      </c>
      <c r="J228" s="63">
        <f t="shared" si="37"/>
        <v>8440</v>
      </c>
      <c r="K228" s="64">
        <f t="shared" si="36"/>
        <v>0.15171124532643082</v>
      </c>
      <c r="L228" s="64">
        <f>J228/J227</f>
        <v>1.2703190848886212</v>
      </c>
      <c r="M228" s="63">
        <v>16966</v>
      </c>
      <c r="N228" s="63">
        <v>2598</v>
      </c>
      <c r="O228" s="63">
        <v>16842</v>
      </c>
      <c r="P228" s="65">
        <f t="shared" si="32"/>
        <v>0.85310533190832438</v>
      </c>
      <c r="Q228" s="63">
        <v>75067</v>
      </c>
      <c r="R228" s="63">
        <v>34759</v>
      </c>
      <c r="S228" s="63">
        <v>27868</v>
      </c>
      <c r="T228" s="65">
        <f>(O228+S228)/(M228+Q228-N228-R228)</f>
        <v>0.81772624186114562</v>
      </c>
    </row>
    <row r="229" spans="1:20">
      <c r="A229" s="62" t="s">
        <v>374</v>
      </c>
      <c r="B229" s="62">
        <v>2017</v>
      </c>
      <c r="C229" s="63">
        <v>55137</v>
      </c>
      <c r="D229" s="63">
        <v>16655</v>
      </c>
      <c r="E229" s="64">
        <f t="shared" si="34"/>
        <v>0.3020657634619221</v>
      </c>
      <c r="F229" s="63">
        <v>8980</v>
      </c>
      <c r="G229" s="64">
        <f t="shared" si="43"/>
        <v>0.16286704028148066</v>
      </c>
      <c r="H229" s="63">
        <v>12343</v>
      </c>
      <c r="I229" s="63">
        <v>3623</v>
      </c>
      <c r="J229" s="63">
        <f t="shared" si="37"/>
        <v>8720</v>
      </c>
      <c r="K229" s="64">
        <f t="shared" si="36"/>
        <v>0.15815151350272957</v>
      </c>
      <c r="L229" s="64">
        <f>J229/J227</f>
        <v>1.312462372065021</v>
      </c>
      <c r="M229" s="63">
        <v>15889</v>
      </c>
      <c r="N229" s="63">
        <v>2651</v>
      </c>
      <c r="O229" s="63">
        <v>19595</v>
      </c>
      <c r="P229" s="65">
        <f t="shared" si="32"/>
        <v>0.67558050523092628</v>
      </c>
      <c r="Q229" s="63">
        <v>79900</v>
      </c>
      <c r="R229" s="63">
        <v>38421</v>
      </c>
      <c r="S229" s="63">
        <v>30042</v>
      </c>
      <c r="T229" s="65">
        <f>(O229+S229)/(M229+Q229-N229-R229)</f>
        <v>0.90715865270391283</v>
      </c>
    </row>
    <row r="230" spans="1:20">
      <c r="A230" s="62" t="s">
        <v>374</v>
      </c>
      <c r="B230" s="62">
        <v>2018</v>
      </c>
      <c r="C230" s="63">
        <v>59434</v>
      </c>
      <c r="D230" s="63">
        <v>17848</v>
      </c>
      <c r="E230" s="64">
        <f t="shared" si="34"/>
        <v>0.30029949187333849</v>
      </c>
      <c r="F230" s="63">
        <v>12598</v>
      </c>
      <c r="G230" s="64">
        <f t="shared" si="43"/>
        <v>0.21196621462462564</v>
      </c>
      <c r="H230" s="63">
        <v>14295</v>
      </c>
      <c r="I230" s="63">
        <v>4465</v>
      </c>
      <c r="J230" s="63">
        <f t="shared" si="37"/>
        <v>9830</v>
      </c>
      <c r="K230" s="64">
        <f t="shared" si="36"/>
        <v>0.16539354578187571</v>
      </c>
      <c r="L230" s="64">
        <f>J230/J227</f>
        <v>1.4795304033714629</v>
      </c>
      <c r="M230" s="63">
        <v>16825</v>
      </c>
      <c r="N230" s="63">
        <v>2706</v>
      </c>
      <c r="O230" s="63">
        <v>17860</v>
      </c>
      <c r="P230" s="65">
        <f t="shared" si="32"/>
        <v>0.7905375139977604</v>
      </c>
      <c r="Q230" s="63">
        <v>81773</v>
      </c>
      <c r="R230" s="63">
        <v>38081</v>
      </c>
      <c r="S230" s="63">
        <v>26783</v>
      </c>
      <c r="T230" s="65">
        <f>(O230+S230)/(M230+Q230-N230-R230)</f>
        <v>0.77222327930670631</v>
      </c>
    </row>
    <row r="231" spans="1:20">
      <c r="A231" s="62" t="s">
        <v>374</v>
      </c>
      <c r="B231" s="62">
        <v>2019</v>
      </c>
      <c r="C231" s="63">
        <v>69570</v>
      </c>
      <c r="D231" s="63">
        <v>16169</v>
      </c>
      <c r="E231" s="64">
        <f t="shared" si="34"/>
        <v>0.23241339657898519</v>
      </c>
      <c r="F231" s="63">
        <v>11054</v>
      </c>
      <c r="G231" s="64">
        <f t="shared" si="43"/>
        <v>0.15889032629006755</v>
      </c>
      <c r="H231" s="63">
        <v>6606</v>
      </c>
      <c r="I231" s="63">
        <v>4876</v>
      </c>
      <c r="J231" s="63">
        <f t="shared" si="37"/>
        <v>1730</v>
      </c>
      <c r="K231" s="64">
        <f t="shared" si="36"/>
        <v>2.4867040390973122E-2</v>
      </c>
      <c r="L231" s="64">
        <f>J231/J227</f>
        <v>0.26038531005418425</v>
      </c>
      <c r="M231" s="63">
        <v>28124</v>
      </c>
      <c r="N231" s="63">
        <v>6246</v>
      </c>
      <c r="O231" s="63">
        <v>31341</v>
      </c>
      <c r="P231" s="65">
        <f t="shared" si="32"/>
        <v>0.69806323984556973</v>
      </c>
      <c r="Q231" s="63">
        <v>165860</v>
      </c>
      <c r="R231" s="63">
        <v>103508</v>
      </c>
      <c r="S231" s="63">
        <v>59791</v>
      </c>
      <c r="T231" s="65">
        <f>(O231+S231)/(M231+Q231-N231-R231)</f>
        <v>1.0819423008429301</v>
      </c>
    </row>
    <row r="232" spans="1:20">
      <c r="A232" s="62" t="s">
        <v>375</v>
      </c>
      <c r="B232" s="62">
        <v>2015</v>
      </c>
      <c r="C232" s="63">
        <v>6780</v>
      </c>
      <c r="D232" s="62">
        <v>368</v>
      </c>
      <c r="E232" s="64">
        <f t="shared" si="34"/>
        <v>5.4277286135693215E-2</v>
      </c>
      <c r="F232" s="62">
        <v>123</v>
      </c>
      <c r="G232" s="64">
        <f>F232/C232</f>
        <v>1.8141592920353982E-2</v>
      </c>
      <c r="H232" s="62">
        <v>-749</v>
      </c>
      <c r="I232" s="62">
        <v>91</v>
      </c>
      <c r="J232" s="63">
        <f t="shared" si="37"/>
        <v>-840</v>
      </c>
      <c r="K232" s="64">
        <f t="shared" si="36"/>
        <v>-0.12389380530973451</v>
      </c>
      <c r="L232" s="64">
        <f>J232/ABS(J232)</f>
        <v>-1</v>
      </c>
      <c r="M232" s="63">
        <v>5432</v>
      </c>
      <c r="N232" s="63">
        <v>2906</v>
      </c>
      <c r="O232" s="63">
        <v>3530</v>
      </c>
      <c r="P232" s="65">
        <f>(M232-N232)/O232</f>
        <v>0.7155807365439093</v>
      </c>
      <c r="Q232" s="63">
        <v>4771</v>
      </c>
      <c r="R232" s="63">
        <v>0</v>
      </c>
      <c r="S232" s="63">
        <v>4450</v>
      </c>
      <c r="T232" s="65">
        <f t="shared" ref="T232:T239" si="44">(O232+S232)/(M232+Q232-N232-R232)</f>
        <v>1.0936001096340962</v>
      </c>
    </row>
    <row r="233" spans="1:20">
      <c r="A233" s="62" t="s">
        <v>375</v>
      </c>
      <c r="B233" s="62">
        <v>2016</v>
      </c>
      <c r="C233" s="63">
        <v>8831</v>
      </c>
      <c r="D233" s="62">
        <v>437</v>
      </c>
      <c r="E233" s="64">
        <f t="shared" si="34"/>
        <v>4.9484769561771037E-2</v>
      </c>
      <c r="F233" s="62">
        <v>187</v>
      </c>
      <c r="G233" s="64">
        <f>F233/C233</f>
        <v>2.117540482391575E-2</v>
      </c>
      <c r="H233" s="63">
        <v>-1474</v>
      </c>
      <c r="I233" s="62">
        <v>108</v>
      </c>
      <c r="J233" s="63">
        <f t="shared" si="37"/>
        <v>-1582</v>
      </c>
      <c r="K233" s="64">
        <f t="shared" si="36"/>
        <v>-0.17914166006114823</v>
      </c>
      <c r="L233" s="64">
        <f>J233/ABS(J232)</f>
        <v>-1.8833333333333333</v>
      </c>
      <c r="M233" s="63">
        <v>5720</v>
      </c>
      <c r="N233" s="63">
        <v>3726</v>
      </c>
      <c r="O233" s="63">
        <v>4587</v>
      </c>
      <c r="P233" s="65">
        <f>(M233-N233)/O233</f>
        <v>0.43470678003052104</v>
      </c>
      <c r="Q233" s="63">
        <v>7866</v>
      </c>
      <c r="R233" s="63">
        <v>0</v>
      </c>
      <c r="S233" s="63">
        <v>6320</v>
      </c>
      <c r="T233" s="65">
        <f t="shared" si="44"/>
        <v>1.1061866125760649</v>
      </c>
    </row>
    <row r="234" spans="1:20">
      <c r="A234" s="62" t="s">
        <v>375</v>
      </c>
      <c r="B234" s="62">
        <v>2017</v>
      </c>
      <c r="C234" s="63">
        <v>11693</v>
      </c>
      <c r="D234" s="62">
        <v>911</v>
      </c>
      <c r="E234" s="64">
        <f t="shared" si="34"/>
        <v>7.790986060035919E-2</v>
      </c>
      <c r="F234" s="62">
        <v>559</v>
      </c>
      <c r="G234" s="64">
        <f>F234/C234</f>
        <v>4.7806379885401519E-2</v>
      </c>
      <c r="H234" s="63">
        <v>-1786</v>
      </c>
      <c r="I234" s="62">
        <v>173</v>
      </c>
      <c r="J234" s="63">
        <f t="shared" si="37"/>
        <v>-1959</v>
      </c>
      <c r="K234" s="64">
        <f t="shared" si="36"/>
        <v>-0.16753613272898316</v>
      </c>
      <c r="L234" s="64">
        <f>J234/ABS(J232)</f>
        <v>-2.3321428571428573</v>
      </c>
      <c r="M234" s="63">
        <v>7670</v>
      </c>
      <c r="N234" s="63">
        <v>4311</v>
      </c>
      <c r="O234" s="63">
        <v>5466</v>
      </c>
      <c r="P234" s="65">
        <f>(M234-N234)/O234</f>
        <v>0.61452616172703989</v>
      </c>
      <c r="Q234" s="63">
        <v>11343</v>
      </c>
      <c r="R234" s="63">
        <v>0</v>
      </c>
      <c r="S234" s="63">
        <v>9964</v>
      </c>
      <c r="T234" s="65">
        <f t="shared" si="44"/>
        <v>1.0495170725071419</v>
      </c>
    </row>
    <row r="235" spans="1:20">
      <c r="A235" s="62" t="s">
        <v>375</v>
      </c>
      <c r="B235" s="62">
        <v>2018</v>
      </c>
      <c r="C235" s="63">
        <v>15794</v>
      </c>
      <c r="D235" s="63">
        <v>1688</v>
      </c>
      <c r="E235" s="64">
        <f t="shared" si="34"/>
        <v>0.10687602887172344</v>
      </c>
      <c r="F235" s="63">
        <v>1211</v>
      </c>
      <c r="G235" s="64">
        <f>F235/C235</f>
        <v>7.6674686589844249E-2</v>
      </c>
      <c r="H235" s="63">
        <v>-2680</v>
      </c>
      <c r="I235" s="62">
        <v>174</v>
      </c>
      <c r="J235" s="63">
        <f t="shared" si="37"/>
        <v>-2854</v>
      </c>
      <c r="K235" s="64">
        <f t="shared" si="36"/>
        <v>-0.18070153222742813</v>
      </c>
      <c r="L235" s="64">
        <f>J235/ABS(J232)</f>
        <v>-3.3976190476190475</v>
      </c>
      <c r="M235" s="63">
        <v>9694</v>
      </c>
      <c r="N235" s="63">
        <v>5151</v>
      </c>
      <c r="O235" s="63">
        <v>6487</v>
      </c>
      <c r="P235" s="65">
        <f>(M235-N235)/O235</f>
        <v>0.70032372437182056</v>
      </c>
      <c r="Q235" s="63">
        <v>16280</v>
      </c>
      <c r="R235" s="63">
        <v>0</v>
      </c>
      <c r="S235" s="63">
        <v>14248</v>
      </c>
      <c r="T235" s="65">
        <f t="shared" si="44"/>
        <v>0.9957739038563127</v>
      </c>
    </row>
    <row r="236" spans="1:20">
      <c r="A236" s="62" t="s">
        <v>375</v>
      </c>
      <c r="B236" s="62">
        <v>2019</v>
      </c>
      <c r="C236" s="63">
        <v>20156</v>
      </c>
      <c r="D236" s="63">
        <v>2708</v>
      </c>
      <c r="E236" s="64">
        <f t="shared" si="34"/>
        <v>0.13435205397896408</v>
      </c>
      <c r="F236" s="63">
        <v>1867</v>
      </c>
      <c r="G236" s="64">
        <f>F236/C236</f>
        <v>9.2627505457432036E-2</v>
      </c>
      <c r="H236" s="63">
        <v>-2887</v>
      </c>
      <c r="I236" s="62">
        <v>253</v>
      </c>
      <c r="J236" s="63">
        <f t="shared" si="37"/>
        <v>-3140</v>
      </c>
      <c r="K236" s="64">
        <f t="shared" si="36"/>
        <v>-0.1557848779519746</v>
      </c>
      <c r="L236" s="64">
        <f>J236/ABS(J232)</f>
        <v>-3.7380952380952381</v>
      </c>
      <c r="M236" s="63">
        <v>6179</v>
      </c>
      <c r="N236" s="62">
        <v>0</v>
      </c>
      <c r="O236" s="63">
        <v>6856</v>
      </c>
      <c r="P236" s="65">
        <f>(M236-N236)/O236</f>
        <v>0.90125437572928824</v>
      </c>
      <c r="Q236" s="63">
        <v>27797</v>
      </c>
      <c r="R236" s="63">
        <v>0</v>
      </c>
      <c r="S236" s="63">
        <v>19538</v>
      </c>
      <c r="T236" s="65">
        <f t="shared" si="44"/>
        <v>0.77684247704261833</v>
      </c>
    </row>
    <row r="237" spans="1:20">
      <c r="A237" s="62" t="s">
        <v>123</v>
      </c>
      <c r="B237" s="62">
        <v>2015</v>
      </c>
      <c r="C237" s="63">
        <v>4192</v>
      </c>
      <c r="D237" s="63">
        <v>1088</v>
      </c>
      <c r="E237" s="64">
        <f t="shared" si="34"/>
        <v>0.25954198473282442</v>
      </c>
      <c r="F237" s="62">
        <v>365</v>
      </c>
      <c r="G237" s="64">
        <f t="shared" ref="G237:G300" si="45">F237/C237</f>
        <v>8.7070610687022904E-2</v>
      </c>
      <c r="H237" s="63">
        <v>1504</v>
      </c>
      <c r="I237" s="62">
        <v>261</v>
      </c>
      <c r="J237" s="63">
        <f t="shared" si="37"/>
        <v>1243</v>
      </c>
      <c r="K237" s="64">
        <f t="shared" si="36"/>
        <v>0.29651717557251911</v>
      </c>
      <c r="L237" s="64">
        <f>J237/J237</f>
        <v>1</v>
      </c>
      <c r="M237" s="63">
        <v>2560</v>
      </c>
      <c r="N237" s="62">
        <v>0</v>
      </c>
      <c r="O237" s="63">
        <v>1744</v>
      </c>
      <c r="P237" s="65">
        <f t="shared" ref="P237:P241" si="46">(M237-N237)/O237</f>
        <v>1.4678899082568808</v>
      </c>
      <c r="Q237" s="63">
        <v>2408</v>
      </c>
      <c r="R237" s="63">
        <v>1353</v>
      </c>
      <c r="S237" s="62">
        <v>892</v>
      </c>
      <c r="T237" s="65">
        <f t="shared" si="44"/>
        <v>0.7291839557399723</v>
      </c>
    </row>
    <row r="238" spans="1:20">
      <c r="A238" s="62" t="s">
        <v>123</v>
      </c>
      <c r="B238" s="62">
        <v>2016</v>
      </c>
      <c r="C238" s="63">
        <v>4694</v>
      </c>
      <c r="D238" s="63">
        <v>1480</v>
      </c>
      <c r="E238" s="64">
        <f t="shared" si="34"/>
        <v>0.31529612270984236</v>
      </c>
      <c r="F238" s="62">
        <v>979</v>
      </c>
      <c r="G238" s="64">
        <f t="shared" si="45"/>
        <v>0.20856412441414571</v>
      </c>
      <c r="H238" s="63">
        <v>1401</v>
      </c>
      <c r="I238" s="62">
        <v>522</v>
      </c>
      <c r="J238" s="63">
        <f t="shared" si="37"/>
        <v>879</v>
      </c>
      <c r="K238" s="64">
        <f t="shared" si="36"/>
        <v>0.18726033233915637</v>
      </c>
      <c r="L238" s="64">
        <f>J238/J237</f>
        <v>0.7071600965406275</v>
      </c>
      <c r="M238" s="63">
        <v>1614</v>
      </c>
      <c r="N238" s="62">
        <v>0</v>
      </c>
      <c r="O238" s="63">
        <v>2251</v>
      </c>
      <c r="P238" s="65">
        <f t="shared" si="46"/>
        <v>0.71701466015104398</v>
      </c>
      <c r="Q238" s="63">
        <v>2636</v>
      </c>
      <c r="R238" s="63">
        <v>1326</v>
      </c>
      <c r="S238" s="62">
        <v>838</v>
      </c>
      <c r="T238" s="65">
        <f t="shared" si="44"/>
        <v>1.0564295485636115</v>
      </c>
    </row>
    <row r="239" spans="1:20">
      <c r="A239" s="63" t="s">
        <v>123</v>
      </c>
      <c r="B239" s="62">
        <v>2017</v>
      </c>
      <c r="C239" s="63">
        <v>5177</v>
      </c>
      <c r="D239" s="63">
        <v>1631</v>
      </c>
      <c r="E239" s="64">
        <f t="shared" si="34"/>
        <v>0.31504732470542784</v>
      </c>
      <c r="F239" s="62">
        <v>971</v>
      </c>
      <c r="G239" s="64">
        <f t="shared" si="45"/>
        <v>0.18756036314467839</v>
      </c>
      <c r="H239" s="63">
        <v>1599</v>
      </c>
      <c r="I239" s="63">
        <v>230</v>
      </c>
      <c r="J239" s="63">
        <f t="shared" si="37"/>
        <v>1369</v>
      </c>
      <c r="K239" s="64">
        <f t="shared" si="36"/>
        <v>0.26443886420706975</v>
      </c>
      <c r="L239" s="64">
        <f>J239/J237</f>
        <v>1.1013676588897827</v>
      </c>
      <c r="M239" s="63">
        <v>1415</v>
      </c>
      <c r="N239" s="62">
        <v>0</v>
      </c>
      <c r="O239" s="63">
        <v>1944</v>
      </c>
      <c r="P239" s="65">
        <f t="shared" si="46"/>
        <v>0.72788065843621397</v>
      </c>
      <c r="Q239" s="63">
        <v>2653</v>
      </c>
      <c r="R239" s="63">
        <v>1317</v>
      </c>
      <c r="S239" s="62">
        <v>770</v>
      </c>
      <c r="T239" s="65">
        <f t="shared" si="44"/>
        <v>0.98655034532897123</v>
      </c>
    </row>
    <row r="240" spans="1:20">
      <c r="A240" s="62" t="s">
        <v>123</v>
      </c>
      <c r="B240" s="62">
        <v>2018</v>
      </c>
      <c r="C240" s="63">
        <v>5964</v>
      </c>
      <c r="D240" s="63">
        <v>1831</v>
      </c>
      <c r="E240" s="64">
        <f t="shared" si="34"/>
        <v>0.30700871898054999</v>
      </c>
      <c r="F240" s="63">
        <v>1211</v>
      </c>
      <c r="G240" s="64">
        <f t="shared" si="45"/>
        <v>0.20305164319248825</v>
      </c>
      <c r="H240" s="63">
        <v>2112</v>
      </c>
      <c r="I240" s="63">
        <v>124</v>
      </c>
      <c r="J240" s="63">
        <f t="shared" si="37"/>
        <v>1988</v>
      </c>
      <c r="K240" s="64">
        <f t="shared" si="36"/>
        <v>0.33333333333333331</v>
      </c>
      <c r="L240" s="64">
        <f>J240/J237</f>
        <v>1.5993563958165729</v>
      </c>
      <c r="M240" s="63">
        <v>2404</v>
      </c>
      <c r="N240" s="62">
        <v>0</v>
      </c>
      <c r="O240" s="63">
        <v>2116</v>
      </c>
      <c r="P240" s="65">
        <f t="shared" si="46"/>
        <v>1.1361058601134215</v>
      </c>
      <c r="Q240" s="63">
        <v>2774</v>
      </c>
      <c r="R240" s="63">
        <v>1672</v>
      </c>
      <c r="S240" s="62">
        <v>708</v>
      </c>
      <c r="T240" s="65">
        <f t="shared" ref="T240:T301" si="47">(O240+S240)/(M240+Q240-N240-R240)</f>
        <v>0.80547632629777521</v>
      </c>
    </row>
    <row r="241" spans="1:20">
      <c r="A241" s="62" t="s">
        <v>123</v>
      </c>
      <c r="B241" s="62">
        <v>2019</v>
      </c>
      <c r="C241" s="63">
        <v>6784</v>
      </c>
      <c r="D241" s="63">
        <v>2080</v>
      </c>
      <c r="E241" s="64">
        <f t="shared" si="34"/>
        <v>0.30660377358490565</v>
      </c>
      <c r="F241" s="63">
        <v>1557</v>
      </c>
      <c r="G241" s="64">
        <f t="shared" si="45"/>
        <v>0.22951061320754718</v>
      </c>
      <c r="H241" s="63">
        <v>2324</v>
      </c>
      <c r="I241" s="63">
        <v>155</v>
      </c>
      <c r="J241" s="63">
        <f t="shared" si="37"/>
        <v>2169</v>
      </c>
      <c r="K241" s="64">
        <f t="shared" si="36"/>
        <v>0.31972287735849059</v>
      </c>
      <c r="L241" s="64">
        <f>J241/J237</f>
        <v>1.7449718423169751</v>
      </c>
      <c r="M241" s="63">
        <v>3594</v>
      </c>
      <c r="N241" s="62">
        <v>0</v>
      </c>
      <c r="O241" s="63">
        <v>1966</v>
      </c>
      <c r="P241" s="65">
        <f t="shared" si="46"/>
        <v>1.8280773143438453</v>
      </c>
      <c r="Q241" s="63">
        <v>2689</v>
      </c>
      <c r="R241" s="63">
        <v>1709</v>
      </c>
      <c r="S241" s="62">
        <v>568</v>
      </c>
      <c r="T241" s="65">
        <f t="shared" si="47"/>
        <v>0.55400087450808921</v>
      </c>
    </row>
    <row r="242" spans="1:20">
      <c r="A242" s="62" t="s">
        <v>244</v>
      </c>
      <c r="B242" s="62">
        <v>2015</v>
      </c>
      <c r="C242" s="63">
        <v>146801</v>
      </c>
      <c r="D242" s="63">
        <v>47845</v>
      </c>
      <c r="E242" s="64">
        <f t="shared" si="34"/>
        <v>0.32591739838284478</v>
      </c>
      <c r="F242" s="63">
        <v>13345</v>
      </c>
      <c r="G242" s="64">
        <f t="shared" si="45"/>
        <v>9.0905375303982947E-2</v>
      </c>
      <c r="H242" s="63">
        <v>35880</v>
      </c>
      <c r="I242" s="63">
        <v>20015</v>
      </c>
      <c r="J242" s="63">
        <f t="shared" si="37"/>
        <v>15865</v>
      </c>
      <c r="K242" s="64">
        <f t="shared" si="36"/>
        <v>0.10807147090278676</v>
      </c>
      <c r="L242" s="64">
        <f>J242/J242</f>
        <v>1</v>
      </c>
      <c r="M242" s="63">
        <v>35992</v>
      </c>
      <c r="N242" s="63">
        <v>4033</v>
      </c>
      <c r="O242" s="63">
        <v>47816</v>
      </c>
      <c r="P242" s="65">
        <f t="shared" ref="P242:P261" si="48">M242/O242</f>
        <v>0.75271875522837539</v>
      </c>
      <c r="Q242" s="63">
        <v>366680</v>
      </c>
      <c r="R242" s="63">
        <v>225278</v>
      </c>
      <c r="S242" s="63">
        <v>231216</v>
      </c>
      <c r="T242" s="65">
        <f t="shared" si="47"/>
        <v>1.6095430921602898</v>
      </c>
    </row>
    <row r="243" spans="1:20">
      <c r="A243" s="62" t="s">
        <v>244</v>
      </c>
      <c r="B243" s="62">
        <v>2016</v>
      </c>
      <c r="C243" s="63">
        <v>163763</v>
      </c>
      <c r="D243" s="63">
        <v>50162</v>
      </c>
      <c r="E243" s="64">
        <f t="shared" si="34"/>
        <v>0.30630850680556659</v>
      </c>
      <c r="F243" s="63">
        <v>12976</v>
      </c>
      <c r="G243" s="64">
        <f t="shared" si="45"/>
        <v>7.923645756367434E-2</v>
      </c>
      <c r="H243" s="63">
        <v>39344</v>
      </c>
      <c r="I243" s="63">
        <v>22408</v>
      </c>
      <c r="J243" s="63">
        <f t="shared" si="37"/>
        <v>16936</v>
      </c>
      <c r="K243" s="64">
        <f t="shared" si="36"/>
        <v>0.10341774393483265</v>
      </c>
      <c r="L243" s="64">
        <f>J243/J242</f>
        <v>1.0675070910809958</v>
      </c>
      <c r="M243" s="63">
        <v>38369</v>
      </c>
      <c r="N243" s="63">
        <v>2039</v>
      </c>
      <c r="O243" s="63">
        <v>50576</v>
      </c>
      <c r="P243" s="65">
        <f t="shared" si="48"/>
        <v>0.75864046187915213</v>
      </c>
      <c r="Q243" s="63">
        <v>365452</v>
      </c>
      <c r="R243" s="63">
        <v>222067</v>
      </c>
      <c r="S243" s="63">
        <v>229135</v>
      </c>
      <c r="T243" s="65">
        <f t="shared" si="47"/>
        <v>1.5564143226775728</v>
      </c>
    </row>
    <row r="244" spans="1:20">
      <c r="A244" s="62" t="s">
        <v>244</v>
      </c>
      <c r="B244" s="62">
        <v>2017</v>
      </c>
      <c r="C244" s="63">
        <v>160789</v>
      </c>
      <c r="D244" s="63">
        <v>49361</v>
      </c>
      <c r="E244" s="64">
        <f t="shared" si="34"/>
        <v>0.30699239375827947</v>
      </c>
      <c r="F244" s="63">
        <v>29450</v>
      </c>
      <c r="G244" s="64">
        <f t="shared" si="45"/>
        <v>0.18315929572296613</v>
      </c>
      <c r="H244" s="63">
        <v>39151</v>
      </c>
      <c r="I244" s="63">
        <v>21550</v>
      </c>
      <c r="J244" s="63">
        <f t="shared" si="37"/>
        <v>17601</v>
      </c>
      <c r="K244" s="64">
        <f t="shared" si="36"/>
        <v>0.10946644359999751</v>
      </c>
      <c r="L244" s="64">
        <f>J244/J242</f>
        <v>1.1094232587456665</v>
      </c>
      <c r="M244" s="63">
        <v>79146</v>
      </c>
      <c r="N244" s="63">
        <v>2225</v>
      </c>
      <c r="O244" s="63">
        <v>81389</v>
      </c>
      <c r="P244" s="65">
        <f t="shared" si="48"/>
        <v>0.97244099325461675</v>
      </c>
      <c r="Q244" s="63">
        <v>364951</v>
      </c>
      <c r="R244" s="63">
        <v>219725</v>
      </c>
      <c r="S244" s="63">
        <v>220701</v>
      </c>
      <c r="T244" s="65">
        <f t="shared" si="47"/>
        <v>1.3598653144089274</v>
      </c>
    </row>
    <row r="245" spans="1:20">
      <c r="A245" s="62" t="s">
        <v>244</v>
      </c>
      <c r="B245" s="62">
        <v>2018</v>
      </c>
      <c r="C245" s="63">
        <v>170805</v>
      </c>
      <c r="D245" s="63">
        <v>56574</v>
      </c>
      <c r="E245" s="64">
        <f t="shared" si="34"/>
        <v>0.33121981206639151</v>
      </c>
      <c r="F245" s="63">
        <v>19370</v>
      </c>
      <c r="G245" s="64">
        <f t="shared" si="45"/>
        <v>0.11340417435086794</v>
      </c>
      <c r="H245" s="63">
        <v>43602</v>
      </c>
      <c r="I245" s="63">
        <v>21251</v>
      </c>
      <c r="J245" s="63">
        <f t="shared" si="37"/>
        <v>22351</v>
      </c>
      <c r="K245" s="64">
        <f t="shared" si="36"/>
        <v>0.13085682503439594</v>
      </c>
      <c r="L245" s="64">
        <f>J245/J242</f>
        <v>1.4088244563504571</v>
      </c>
      <c r="M245" s="63">
        <v>51427</v>
      </c>
      <c r="N245" s="63">
        <v>4015</v>
      </c>
      <c r="O245" s="63">
        <v>64420</v>
      </c>
      <c r="P245" s="65">
        <f t="shared" si="48"/>
        <v>0.79830797888854388</v>
      </c>
      <c r="Q245" s="63">
        <v>480437</v>
      </c>
      <c r="R245" s="63">
        <v>310197</v>
      </c>
      <c r="S245" s="63">
        <v>273560</v>
      </c>
      <c r="T245" s="65">
        <f t="shared" si="47"/>
        <v>1.5528458272839212</v>
      </c>
    </row>
    <row r="246" spans="1:20">
      <c r="A246" s="62" t="s">
        <v>244</v>
      </c>
      <c r="B246" s="62">
        <v>2019</v>
      </c>
      <c r="C246" s="63">
        <v>181265</v>
      </c>
      <c r="D246" s="63">
        <v>59286</v>
      </c>
      <c r="E246" s="64">
        <f t="shared" si="34"/>
        <v>0.32706810470857584</v>
      </c>
      <c r="F246" s="63">
        <v>13900</v>
      </c>
      <c r="G246" s="64">
        <f t="shared" si="45"/>
        <v>7.6683308967533725E-2</v>
      </c>
      <c r="H246" s="63">
        <v>48668</v>
      </c>
      <c r="I246" s="63">
        <v>19635</v>
      </c>
      <c r="J246" s="63">
        <f t="shared" si="37"/>
        <v>29033</v>
      </c>
      <c r="K246" s="64">
        <f t="shared" si="36"/>
        <v>0.16016881361542493</v>
      </c>
      <c r="L246" s="64">
        <f t="shared" ref="L246" si="49">J246/J242</f>
        <v>1.8300031515915538</v>
      </c>
      <c r="M246" s="63">
        <v>54761</v>
      </c>
      <c r="N246" s="63">
        <v>4475</v>
      </c>
      <c r="O246" s="63">
        <v>68911</v>
      </c>
      <c r="P246" s="65">
        <f t="shared" si="48"/>
        <v>0.79466268084921132</v>
      </c>
      <c r="Q246" s="63">
        <v>496908</v>
      </c>
      <c r="R246" s="63">
        <v>303858</v>
      </c>
      <c r="S246" s="63">
        <v>280824</v>
      </c>
      <c r="T246" s="65">
        <f t="shared" si="47"/>
        <v>1.4372513725876976</v>
      </c>
    </row>
    <row r="247" spans="1:20">
      <c r="A247" s="62" t="s">
        <v>245</v>
      </c>
      <c r="B247" s="62">
        <v>2015</v>
      </c>
      <c r="C247" s="63">
        <v>131620</v>
      </c>
      <c r="D247" s="63">
        <v>49077</v>
      </c>
      <c r="E247" s="64">
        <f t="shared" si="34"/>
        <v>0.37286886491414678</v>
      </c>
      <c r="F247" s="63">
        <v>17879</v>
      </c>
      <c r="G247" s="64">
        <f t="shared" si="45"/>
        <v>0.13583801853821609</v>
      </c>
      <c r="H247" s="63">
        <v>38930</v>
      </c>
      <c r="I247" s="63">
        <v>17775</v>
      </c>
      <c r="J247" s="63">
        <f t="shared" si="37"/>
        <v>21155</v>
      </c>
      <c r="K247" s="64">
        <f t="shared" si="36"/>
        <v>0.16072785290989211</v>
      </c>
      <c r="L247" s="64">
        <f>J247/J247</f>
        <v>1</v>
      </c>
      <c r="M247" s="63">
        <v>22280</v>
      </c>
      <c r="N247" s="63">
        <v>1252</v>
      </c>
      <c r="O247" s="63">
        <v>35052</v>
      </c>
      <c r="P247" s="65">
        <f t="shared" si="48"/>
        <v>0.63562706835558602</v>
      </c>
      <c r="Q247" s="63">
        <v>222360</v>
      </c>
      <c r="R247" s="63">
        <v>120244</v>
      </c>
      <c r="S247" s="63">
        <v>191746</v>
      </c>
      <c r="T247" s="65">
        <f t="shared" si="47"/>
        <v>1.8417300071461054</v>
      </c>
    </row>
    <row r="248" spans="1:20">
      <c r="A248" s="62" t="s">
        <v>245</v>
      </c>
      <c r="B248" s="62">
        <v>2016</v>
      </c>
      <c r="C248" s="63">
        <v>125980</v>
      </c>
      <c r="D248" s="63">
        <v>41980</v>
      </c>
      <c r="E248" s="64">
        <f t="shared" si="34"/>
        <v>0.33322749642800442</v>
      </c>
      <c r="F248" s="63">
        <v>13127</v>
      </c>
      <c r="G248" s="64">
        <f t="shared" si="45"/>
        <v>0.10419907921892364</v>
      </c>
      <c r="H248" s="63">
        <v>22715</v>
      </c>
      <c r="I248" s="63">
        <v>17059</v>
      </c>
      <c r="J248" s="63">
        <f t="shared" si="37"/>
        <v>5656</v>
      </c>
      <c r="K248" s="64">
        <f t="shared" si="36"/>
        <v>4.489601524051437E-2</v>
      </c>
      <c r="L248" s="64">
        <f>J248/J247</f>
        <v>0.26735996218388086</v>
      </c>
      <c r="M248" s="63">
        <v>26395</v>
      </c>
      <c r="N248" s="63">
        <v>1202</v>
      </c>
      <c r="O248" s="63">
        <v>30340</v>
      </c>
      <c r="P248" s="65">
        <f t="shared" si="48"/>
        <v>0.86997363216875412</v>
      </c>
      <c r="Q248" s="63">
        <v>217785</v>
      </c>
      <c r="R248" s="63">
        <v>122775</v>
      </c>
      <c r="S248" s="63">
        <v>189808</v>
      </c>
      <c r="T248" s="65">
        <f t="shared" si="47"/>
        <v>1.8314684325682387</v>
      </c>
    </row>
    <row r="249" spans="1:20">
      <c r="A249" s="62" t="s">
        <v>245</v>
      </c>
      <c r="B249" s="62">
        <v>2017</v>
      </c>
      <c r="C249" s="63">
        <v>126034</v>
      </c>
      <c r="D249" s="63">
        <v>43936</v>
      </c>
      <c r="E249" s="64">
        <f t="shared" si="34"/>
        <v>0.34860434485932368</v>
      </c>
      <c r="F249" s="63">
        <v>30101</v>
      </c>
      <c r="G249" s="64">
        <f t="shared" si="45"/>
        <v>0.23883237856451434</v>
      </c>
      <c r="H249" s="63">
        <v>25305</v>
      </c>
      <c r="I249" s="63">
        <v>17247</v>
      </c>
      <c r="J249" s="63">
        <f t="shared" si="37"/>
        <v>8058</v>
      </c>
      <c r="K249" s="64">
        <f t="shared" si="36"/>
        <v>6.3935128616087716E-2</v>
      </c>
      <c r="L249" s="64">
        <f>J249/J247</f>
        <v>0.38090285984400851</v>
      </c>
      <c r="M249" s="63">
        <v>29913</v>
      </c>
      <c r="N249" s="63">
        <v>1034</v>
      </c>
      <c r="O249" s="63">
        <v>33037</v>
      </c>
      <c r="P249" s="65">
        <f t="shared" si="48"/>
        <v>0.90543935587371738</v>
      </c>
      <c r="Q249" s="63">
        <v>227230</v>
      </c>
      <c r="R249" s="63">
        <v>127836</v>
      </c>
      <c r="S249" s="63">
        <v>179419</v>
      </c>
      <c r="T249" s="65">
        <f t="shared" si="47"/>
        <v>1.6562799653863245</v>
      </c>
    </row>
    <row r="250" spans="1:20">
      <c r="A250" s="62" t="s">
        <v>245</v>
      </c>
      <c r="B250" s="62">
        <v>2018</v>
      </c>
      <c r="C250" s="63">
        <v>130863</v>
      </c>
      <c r="D250" s="63">
        <v>47171</v>
      </c>
      <c r="E250" s="64">
        <f t="shared" si="34"/>
        <v>0.36046094006709306</v>
      </c>
      <c r="F250" s="63">
        <v>15528</v>
      </c>
      <c r="G250" s="64">
        <f t="shared" si="45"/>
        <v>0.11865844432727356</v>
      </c>
      <c r="H250" s="63">
        <v>34339</v>
      </c>
      <c r="I250" s="63">
        <v>16658</v>
      </c>
      <c r="J250" s="63">
        <f t="shared" si="37"/>
        <v>17681</v>
      </c>
      <c r="K250" s="64">
        <f t="shared" si="36"/>
        <v>0.13511076469284672</v>
      </c>
      <c r="L250" s="64">
        <f>J250/J247</f>
        <v>0.83578350271803359</v>
      </c>
      <c r="M250" s="63">
        <v>34636</v>
      </c>
      <c r="N250" s="63">
        <v>1336</v>
      </c>
      <c r="O250" s="63">
        <v>37930</v>
      </c>
      <c r="P250" s="65">
        <f t="shared" si="48"/>
        <v>0.91315581334036378</v>
      </c>
      <c r="Q250" s="63">
        <v>230193</v>
      </c>
      <c r="R250" s="63">
        <v>128519</v>
      </c>
      <c r="S250" s="63">
        <v>172189</v>
      </c>
      <c r="T250" s="65">
        <f t="shared" si="47"/>
        <v>1.5567368530235453</v>
      </c>
    </row>
    <row r="251" spans="1:20">
      <c r="A251" s="62" t="s">
        <v>245</v>
      </c>
      <c r="B251" s="62">
        <v>2019</v>
      </c>
      <c r="C251" s="63">
        <v>131868</v>
      </c>
      <c r="D251" s="63">
        <v>46985</v>
      </c>
      <c r="E251" s="64">
        <f t="shared" si="34"/>
        <v>0.35630327296993963</v>
      </c>
      <c r="F251" s="63">
        <v>19265</v>
      </c>
      <c r="G251" s="64">
        <f t="shared" si="45"/>
        <v>0.14609306275972941</v>
      </c>
      <c r="H251" s="63">
        <v>35746</v>
      </c>
      <c r="I251" s="63">
        <v>17939</v>
      </c>
      <c r="J251" s="63">
        <f t="shared" si="37"/>
        <v>17807</v>
      </c>
      <c r="K251" s="64">
        <f t="shared" si="36"/>
        <v>0.13503655170321838</v>
      </c>
      <c r="L251" s="64">
        <f t="shared" ref="L251" si="50">J251/J247</f>
        <v>0.84173954147955565</v>
      </c>
      <c r="M251" s="63">
        <v>37473</v>
      </c>
      <c r="N251" s="63">
        <v>1422</v>
      </c>
      <c r="O251" s="63">
        <v>44868</v>
      </c>
      <c r="P251" s="65">
        <f t="shared" si="48"/>
        <v>0.83518320406525814</v>
      </c>
      <c r="Q251" s="63">
        <v>254254</v>
      </c>
      <c r="R251" s="63">
        <v>128946</v>
      </c>
      <c r="S251" s="63">
        <v>184024</v>
      </c>
      <c r="T251" s="65">
        <f t="shared" si="47"/>
        <v>1.4185263914625152</v>
      </c>
    </row>
    <row r="252" spans="1:20">
      <c r="A252" s="62" t="s">
        <v>246</v>
      </c>
      <c r="B252" s="62">
        <v>2015</v>
      </c>
      <c r="C252" s="63">
        <v>32053</v>
      </c>
      <c r="D252" s="63">
        <v>6966</v>
      </c>
      <c r="E252" s="64">
        <f t="shared" si="34"/>
        <v>0.21732755124325337</v>
      </c>
      <c r="F252" s="62">
        <v>678</v>
      </c>
      <c r="G252" s="64">
        <f t="shared" si="45"/>
        <v>2.1152466227810189E-2</v>
      </c>
      <c r="H252" s="63">
        <v>5414</v>
      </c>
      <c r="I252" s="63">
        <v>4724</v>
      </c>
      <c r="J252" s="63">
        <f t="shared" si="37"/>
        <v>690</v>
      </c>
      <c r="K252" s="64">
        <f t="shared" si="36"/>
        <v>2.1526846161045769E-2</v>
      </c>
      <c r="L252" s="64">
        <f>J252/J252</f>
        <v>1</v>
      </c>
      <c r="M252" s="63">
        <v>14890</v>
      </c>
      <c r="N252" s="63">
        <v>1295</v>
      </c>
      <c r="O252" s="63">
        <v>9528</v>
      </c>
      <c r="P252" s="65">
        <f t="shared" si="48"/>
        <v>1.5627623845507976</v>
      </c>
      <c r="Q252" s="63">
        <v>47546</v>
      </c>
      <c r="R252" s="63">
        <v>26232</v>
      </c>
      <c r="S252" s="63">
        <v>36351</v>
      </c>
      <c r="T252" s="65">
        <f t="shared" si="47"/>
        <v>1.3142456100146094</v>
      </c>
    </row>
    <row r="253" spans="1:20">
      <c r="A253" s="62" t="s">
        <v>246</v>
      </c>
      <c r="B253" s="62">
        <v>2016</v>
      </c>
      <c r="C253" s="63">
        <v>37242</v>
      </c>
      <c r="D253" s="63">
        <v>9314</v>
      </c>
      <c r="E253" s="64">
        <f t="shared" si="34"/>
        <v>0.25009397991514959</v>
      </c>
      <c r="F253" s="63">
        <v>1405</v>
      </c>
      <c r="G253" s="64">
        <f t="shared" si="45"/>
        <v>3.7726223081467163E-2</v>
      </c>
      <c r="H253" s="63">
        <v>6135</v>
      </c>
      <c r="I253" s="63">
        <v>4702</v>
      </c>
      <c r="J253" s="63">
        <f t="shared" si="37"/>
        <v>1433</v>
      </c>
      <c r="K253" s="64">
        <f t="shared" si="36"/>
        <v>3.847806240266366E-2</v>
      </c>
      <c r="L253" s="64">
        <f>J253/J252</f>
        <v>2.0768115942028986</v>
      </c>
      <c r="M253" s="63">
        <v>14217</v>
      </c>
      <c r="N253" s="63">
        <v>1111</v>
      </c>
      <c r="O253" s="63">
        <v>9022</v>
      </c>
      <c r="P253" s="65">
        <f t="shared" si="48"/>
        <v>1.5758146752383064</v>
      </c>
      <c r="Q253" s="63">
        <v>51674</v>
      </c>
      <c r="R253" s="63">
        <v>29073</v>
      </c>
      <c r="S253" s="63">
        <v>38633</v>
      </c>
      <c r="T253" s="65">
        <f t="shared" si="47"/>
        <v>1.3346122609012239</v>
      </c>
    </row>
    <row r="254" spans="1:20">
      <c r="A254" s="62" t="s">
        <v>246</v>
      </c>
      <c r="B254" s="62">
        <v>2017</v>
      </c>
      <c r="C254" s="63">
        <v>40660</v>
      </c>
      <c r="D254" s="63">
        <v>10838</v>
      </c>
      <c r="E254" s="64">
        <f t="shared" si="34"/>
        <v>0.26655189375307425</v>
      </c>
      <c r="F254" s="63">
        <v>4481</v>
      </c>
      <c r="G254" s="64">
        <f t="shared" si="45"/>
        <v>0.1102065912444663</v>
      </c>
      <c r="H254" s="63">
        <v>7962</v>
      </c>
      <c r="I254" s="63">
        <v>5237</v>
      </c>
      <c r="J254" s="63">
        <f t="shared" si="37"/>
        <v>2725</v>
      </c>
      <c r="K254" s="64">
        <f t="shared" si="36"/>
        <v>6.7019183472700444E-2</v>
      </c>
      <c r="L254" s="64">
        <f>J254/J252</f>
        <v>3.9492753623188408</v>
      </c>
      <c r="M254" s="63">
        <v>8915</v>
      </c>
      <c r="N254" s="63">
        <v>1566</v>
      </c>
      <c r="O254" s="63">
        <v>11515</v>
      </c>
      <c r="P254" s="65">
        <f t="shared" si="48"/>
        <v>0.77420755536257058</v>
      </c>
      <c r="Q254" s="63">
        <v>61648</v>
      </c>
      <c r="R254" s="63">
        <v>37266</v>
      </c>
      <c r="S254" s="63">
        <v>36489</v>
      </c>
      <c r="T254" s="65">
        <f t="shared" si="47"/>
        <v>1.5128423308436545</v>
      </c>
    </row>
    <row r="255" spans="1:20">
      <c r="A255" s="62" t="s">
        <v>246</v>
      </c>
      <c r="B255" s="62">
        <v>2018</v>
      </c>
      <c r="C255" s="63">
        <v>43239</v>
      </c>
      <c r="D255" s="63">
        <v>11833</v>
      </c>
      <c r="E255" s="64">
        <f t="shared" si="34"/>
        <v>0.27366497837600312</v>
      </c>
      <c r="F255" s="63">
        <v>2888</v>
      </c>
      <c r="G255" s="64">
        <f t="shared" si="45"/>
        <v>6.6791553921228514E-2</v>
      </c>
      <c r="H255" s="63">
        <v>3899</v>
      </c>
      <c r="I255" s="63">
        <v>5541</v>
      </c>
      <c r="J255" s="63">
        <f t="shared" si="37"/>
        <v>-1642</v>
      </c>
      <c r="K255" s="64">
        <f t="shared" si="36"/>
        <v>-3.79749762945489E-2</v>
      </c>
      <c r="L255" s="64">
        <f>J255/J252</f>
        <v>-2.3797101449275364</v>
      </c>
      <c r="M255" s="63">
        <v>8281</v>
      </c>
      <c r="N255" s="63">
        <v>1084</v>
      </c>
      <c r="O255" s="63">
        <v>10267</v>
      </c>
      <c r="P255" s="65">
        <f t="shared" si="48"/>
        <v>0.80656472192461282</v>
      </c>
      <c r="Q255" s="63">
        <v>64187</v>
      </c>
      <c r="R255" s="63">
        <v>37658</v>
      </c>
      <c r="S255" s="63">
        <v>37483</v>
      </c>
      <c r="T255" s="65">
        <f t="shared" si="47"/>
        <v>1.4158216213010733</v>
      </c>
    </row>
    <row r="256" spans="1:20">
      <c r="A256" s="62" t="s">
        <v>246</v>
      </c>
      <c r="B256" s="62">
        <v>2019</v>
      </c>
      <c r="C256" s="63">
        <v>44998</v>
      </c>
      <c r="D256" s="63">
        <v>12958</v>
      </c>
      <c r="E256" s="64">
        <f t="shared" si="34"/>
        <v>0.28796835414907329</v>
      </c>
      <c r="F256" s="63">
        <v>3468</v>
      </c>
      <c r="G256" s="64">
        <f t="shared" si="45"/>
        <v>7.7070092004089069E-2</v>
      </c>
      <c r="H256" s="63">
        <v>6824</v>
      </c>
      <c r="I256" s="63">
        <v>6391</v>
      </c>
      <c r="J256" s="63">
        <f t="shared" si="37"/>
        <v>433</v>
      </c>
      <c r="K256" s="64">
        <f t="shared" si="36"/>
        <v>9.6226498955509134E-3</v>
      </c>
      <c r="L256" s="64">
        <f t="shared" ref="L256" si="51">J256/J252</f>
        <v>0.62753623188405794</v>
      </c>
      <c r="M256" s="63">
        <v>9305</v>
      </c>
      <c r="N256" s="62">
        <v>964</v>
      </c>
      <c r="O256" s="63">
        <v>12506</v>
      </c>
      <c r="P256" s="65">
        <f t="shared" si="48"/>
        <v>0.74404285942747483</v>
      </c>
      <c r="Q256" s="63">
        <v>77616</v>
      </c>
      <c r="R256" s="63">
        <v>38510</v>
      </c>
      <c r="S256" s="63">
        <v>45626</v>
      </c>
      <c r="T256" s="65">
        <f t="shared" si="47"/>
        <v>1.2251986426960608</v>
      </c>
    </row>
    <row r="257" spans="1:20">
      <c r="A257" s="62" t="s">
        <v>376</v>
      </c>
      <c r="B257" s="62">
        <v>2014</v>
      </c>
      <c r="C257" s="63">
        <v>1247</v>
      </c>
      <c r="D257" s="62">
        <v>201</v>
      </c>
      <c r="E257" s="64">
        <f t="shared" si="34"/>
        <v>0.161186848436247</v>
      </c>
      <c r="F257" s="62">
        <v>193</v>
      </c>
      <c r="G257" s="64">
        <f t="shared" si="45"/>
        <v>0.15477145148356056</v>
      </c>
      <c r="H257" s="62">
        <v>374</v>
      </c>
      <c r="I257" s="62">
        <v>55</v>
      </c>
      <c r="J257" s="63">
        <f t="shared" si="37"/>
        <v>319</v>
      </c>
      <c r="K257" s="64">
        <f t="shared" si="36"/>
        <v>0.2558139534883721</v>
      </c>
      <c r="L257" s="64">
        <f>J257/J257</f>
        <v>1</v>
      </c>
      <c r="M257" s="63">
        <v>1349</v>
      </c>
      <c r="N257" s="62">
        <v>24</v>
      </c>
      <c r="O257" s="62">
        <v>725</v>
      </c>
      <c r="P257" s="65">
        <f t="shared" si="48"/>
        <v>1.8606896551724137</v>
      </c>
      <c r="Q257" s="62">
        <v>603</v>
      </c>
      <c r="R257" s="62">
        <v>19</v>
      </c>
      <c r="S257" s="62">
        <v>2</v>
      </c>
      <c r="T257" s="65">
        <f t="shared" si="47"/>
        <v>0.38082765845992667</v>
      </c>
    </row>
    <row r="258" spans="1:20">
      <c r="A258" s="62" t="s">
        <v>376</v>
      </c>
      <c r="B258" s="62">
        <v>2015</v>
      </c>
      <c r="C258" s="63">
        <v>1478</v>
      </c>
      <c r="D258" s="62">
        <v>244</v>
      </c>
      <c r="E258" s="64">
        <f t="shared" si="34"/>
        <v>0.16508795669824086</v>
      </c>
      <c r="F258" s="63">
        <v>225</v>
      </c>
      <c r="G258" s="64">
        <f t="shared" si="45"/>
        <v>0.15223274695534506</v>
      </c>
      <c r="H258" s="62">
        <v>518</v>
      </c>
      <c r="I258" s="62">
        <v>64</v>
      </c>
      <c r="J258" s="63">
        <f t="shared" si="37"/>
        <v>454</v>
      </c>
      <c r="K258" s="64">
        <f t="shared" si="36"/>
        <v>0.30717185385656293</v>
      </c>
      <c r="L258" s="64">
        <f>J258/J257</f>
        <v>1.4231974921630095</v>
      </c>
      <c r="M258" s="63">
        <v>1869</v>
      </c>
      <c r="N258" s="62">
        <v>27</v>
      </c>
      <c r="O258" s="62">
        <v>918</v>
      </c>
      <c r="P258" s="65">
        <f t="shared" si="48"/>
        <v>2.0359477124183005</v>
      </c>
      <c r="Q258" s="62">
        <v>485</v>
      </c>
      <c r="R258" s="62">
        <v>17</v>
      </c>
      <c r="S258" s="62">
        <v>2</v>
      </c>
      <c r="T258" s="65">
        <f t="shared" si="47"/>
        <v>0.39826839826839827</v>
      </c>
    </row>
    <row r="259" spans="1:20">
      <c r="A259" s="62" t="s">
        <v>376</v>
      </c>
      <c r="B259" s="62">
        <v>2016</v>
      </c>
      <c r="C259" s="63">
        <v>1800</v>
      </c>
      <c r="D259" s="62">
        <v>318</v>
      </c>
      <c r="E259" s="64">
        <f t="shared" si="34"/>
        <v>0.17666666666666667</v>
      </c>
      <c r="F259" s="63">
        <v>274</v>
      </c>
      <c r="G259" s="64">
        <f t="shared" si="45"/>
        <v>0.15222222222222223</v>
      </c>
      <c r="H259" s="62">
        <v>618</v>
      </c>
      <c r="I259" s="62">
        <v>106</v>
      </c>
      <c r="J259" s="63">
        <f t="shared" si="37"/>
        <v>512</v>
      </c>
      <c r="K259" s="64">
        <f t="shared" si="36"/>
        <v>0.28444444444444444</v>
      </c>
      <c r="L259" s="64">
        <f>J259/J257</f>
        <v>1.6050156739811912</v>
      </c>
      <c r="M259" s="63">
        <v>2326</v>
      </c>
      <c r="N259" s="62">
        <v>32</v>
      </c>
      <c r="O259" s="63">
        <v>1203</v>
      </c>
      <c r="P259" s="65">
        <f t="shared" si="48"/>
        <v>1.9334995843724023</v>
      </c>
      <c r="Q259" s="62">
        <v>599</v>
      </c>
      <c r="R259" s="63">
        <v>22</v>
      </c>
      <c r="S259" s="62">
        <v>2</v>
      </c>
      <c r="T259" s="65">
        <f t="shared" si="47"/>
        <v>0.41971438523162663</v>
      </c>
    </row>
    <row r="260" spans="1:20">
      <c r="A260" s="62" t="s">
        <v>376</v>
      </c>
      <c r="B260" s="62">
        <v>2017</v>
      </c>
      <c r="C260" s="63">
        <v>2447</v>
      </c>
      <c r="D260" s="62">
        <v>342</v>
      </c>
      <c r="E260" s="64">
        <f t="shared" ref="E260:E323" si="52">D260/C260</f>
        <v>0.13976297507151614</v>
      </c>
      <c r="F260" s="63">
        <v>296</v>
      </c>
      <c r="G260" s="64">
        <f t="shared" si="45"/>
        <v>0.12096444626072742</v>
      </c>
      <c r="H260" s="62">
        <v>781</v>
      </c>
      <c r="I260" s="62">
        <v>214</v>
      </c>
      <c r="J260" s="63">
        <f t="shared" si="37"/>
        <v>567</v>
      </c>
      <c r="K260" s="64">
        <f t="shared" si="36"/>
        <v>0.23171230077646096</v>
      </c>
      <c r="L260" s="64">
        <f>J260/J257</f>
        <v>1.7774294670846396</v>
      </c>
      <c r="M260" s="63">
        <v>2942</v>
      </c>
      <c r="N260" s="62">
        <v>40</v>
      </c>
      <c r="O260" s="63">
        <v>1751</v>
      </c>
      <c r="P260" s="65">
        <f t="shared" si="48"/>
        <v>1.6801827527127355</v>
      </c>
      <c r="Q260" s="63">
        <v>1036</v>
      </c>
      <c r="R260" s="63">
        <v>44</v>
      </c>
      <c r="S260" s="63">
        <v>12</v>
      </c>
      <c r="T260" s="65">
        <f t="shared" si="47"/>
        <v>0.45274781715459683</v>
      </c>
    </row>
    <row r="261" spans="1:20">
      <c r="A261" s="62" t="s">
        <v>376</v>
      </c>
      <c r="B261" s="62">
        <v>2018</v>
      </c>
      <c r="C261" s="63">
        <v>3096</v>
      </c>
      <c r="D261" s="62">
        <v>416</v>
      </c>
      <c r="E261" s="64">
        <f t="shared" si="52"/>
        <v>0.13436692506459949</v>
      </c>
      <c r="F261" s="63">
        <v>238</v>
      </c>
      <c r="G261" s="64">
        <f t="shared" si="45"/>
        <v>7.687338501291989E-2</v>
      </c>
      <c r="H261" s="63">
        <v>806</v>
      </c>
      <c r="I261" s="62">
        <v>269</v>
      </c>
      <c r="J261" s="63">
        <f t="shared" si="37"/>
        <v>537</v>
      </c>
      <c r="K261" s="64">
        <f t="shared" ref="K261:K301" si="53">J261/C261</f>
        <v>0.17344961240310078</v>
      </c>
      <c r="L261" s="64">
        <f t="shared" ref="L261" si="54">J261/J257</f>
        <v>1.6833855799373041</v>
      </c>
      <c r="M261" s="63">
        <v>3466</v>
      </c>
      <c r="N261" s="62">
        <v>29</v>
      </c>
      <c r="O261" s="63">
        <v>2006</v>
      </c>
      <c r="P261" s="65">
        <f t="shared" si="48"/>
        <v>1.7278165503489531</v>
      </c>
      <c r="Q261" s="63">
        <v>1180</v>
      </c>
      <c r="R261" s="63">
        <v>100</v>
      </c>
      <c r="S261" s="63">
        <v>115</v>
      </c>
      <c r="T261" s="65">
        <f t="shared" si="47"/>
        <v>0.46955944210759354</v>
      </c>
    </row>
    <row r="262" spans="1:20">
      <c r="A262" s="62" t="s">
        <v>199</v>
      </c>
      <c r="B262" s="62">
        <v>2015</v>
      </c>
      <c r="C262" s="63">
        <v>5598</v>
      </c>
      <c r="D262" s="63">
        <v>1650</v>
      </c>
      <c r="E262" s="64">
        <f t="shared" si="52"/>
        <v>0.29474812433011788</v>
      </c>
      <c r="F262" s="62">
        <v>848</v>
      </c>
      <c r="G262" s="64">
        <f t="shared" si="45"/>
        <v>0.15148267238299393</v>
      </c>
      <c r="H262" s="63">
        <v>1584</v>
      </c>
      <c r="I262" s="62">
        <v>831</v>
      </c>
      <c r="J262" s="63">
        <f t="shared" si="37"/>
        <v>753</v>
      </c>
      <c r="K262" s="64">
        <f t="shared" si="53"/>
        <v>0.13451232583065381</v>
      </c>
      <c r="L262" s="64">
        <f>J262/J262</f>
        <v>1</v>
      </c>
      <c r="M262" s="63">
        <v>1663</v>
      </c>
      <c r="N262" s="62">
        <v>51</v>
      </c>
      <c r="O262" s="63">
        <v>1806</v>
      </c>
      <c r="P262" s="65">
        <f>M262/O262</f>
        <v>0.92081949058693247</v>
      </c>
      <c r="Q262" s="63">
        <v>4870</v>
      </c>
      <c r="R262" s="62">
        <v>0</v>
      </c>
      <c r="S262" s="63">
        <v>2316</v>
      </c>
      <c r="T262" s="65">
        <f t="shared" si="47"/>
        <v>0.63591484109842644</v>
      </c>
    </row>
    <row r="263" spans="1:20">
      <c r="A263" s="62" t="s">
        <v>199</v>
      </c>
      <c r="B263" s="62">
        <v>2016</v>
      </c>
      <c r="C263" s="63">
        <v>5931</v>
      </c>
      <c r="D263" s="63">
        <v>1829</v>
      </c>
      <c r="E263" s="64">
        <f t="shared" si="52"/>
        <v>0.30837969988197605</v>
      </c>
      <c r="F263" s="63">
        <v>814</v>
      </c>
      <c r="G263" s="64">
        <f t="shared" si="45"/>
        <v>0.13724498398246501</v>
      </c>
      <c r="H263" s="63">
        <v>1386</v>
      </c>
      <c r="I263" s="63">
        <v>678</v>
      </c>
      <c r="J263" s="63">
        <f t="shared" si="37"/>
        <v>708</v>
      </c>
      <c r="K263" s="64">
        <f t="shared" si="53"/>
        <v>0.1193727870510875</v>
      </c>
      <c r="L263" s="64">
        <f>J263/J262</f>
        <v>0.94023904382470125</v>
      </c>
      <c r="M263" s="63">
        <v>2050</v>
      </c>
      <c r="N263" s="62">
        <v>47</v>
      </c>
      <c r="O263" s="63">
        <v>2535</v>
      </c>
      <c r="P263" s="65">
        <f>M263/O263</f>
        <v>0.80867850098619332</v>
      </c>
      <c r="Q263" s="63">
        <v>7912</v>
      </c>
      <c r="R263" s="63">
        <v>2077</v>
      </c>
      <c r="S263" s="63">
        <v>4496</v>
      </c>
      <c r="T263" s="65">
        <f t="shared" si="47"/>
        <v>0.89704006124011226</v>
      </c>
    </row>
    <row r="264" spans="1:20">
      <c r="A264" s="62" t="s">
        <v>199</v>
      </c>
      <c r="B264" s="62">
        <v>2017</v>
      </c>
      <c r="C264" s="63">
        <v>7933</v>
      </c>
      <c r="D264" s="63">
        <v>1750</v>
      </c>
      <c r="E264" s="64">
        <f t="shared" si="52"/>
        <v>0.22059750409681078</v>
      </c>
      <c r="F264" s="63">
        <v>1034</v>
      </c>
      <c r="G264" s="64">
        <f t="shared" si="45"/>
        <v>0.13034161099205849</v>
      </c>
      <c r="H264" s="63">
        <v>1590</v>
      </c>
      <c r="I264" s="63">
        <v>1026</v>
      </c>
      <c r="J264" s="63">
        <f t="shared" si="37"/>
        <v>564</v>
      </c>
      <c r="K264" s="64">
        <f t="shared" si="53"/>
        <v>7.1095424177486446E-2</v>
      </c>
      <c r="L264" s="64">
        <f>J264/J262</f>
        <v>0.74900398406374502</v>
      </c>
      <c r="M264" s="63">
        <v>2146</v>
      </c>
      <c r="N264" s="63">
        <v>57</v>
      </c>
      <c r="O264" s="63">
        <v>2700</v>
      </c>
      <c r="P264" s="65">
        <f>M264/O264</f>
        <v>0.79481481481481486</v>
      </c>
      <c r="Q264" s="63">
        <v>8594</v>
      </c>
      <c r="R264" s="63">
        <v>2076</v>
      </c>
      <c r="S264" s="63">
        <v>4319</v>
      </c>
      <c r="T264" s="65">
        <f t="shared" si="47"/>
        <v>0.81549901243174161</v>
      </c>
    </row>
    <row r="265" spans="1:20">
      <c r="A265" s="62" t="s">
        <v>199</v>
      </c>
      <c r="B265" s="62">
        <v>2018</v>
      </c>
      <c r="C265" s="63">
        <v>8264</v>
      </c>
      <c r="D265" s="63">
        <v>1173</v>
      </c>
      <c r="E265" s="64">
        <f t="shared" si="52"/>
        <v>0.14194094869312682</v>
      </c>
      <c r="F265" s="63">
        <v>437</v>
      </c>
      <c r="G265" s="64">
        <f t="shared" si="45"/>
        <v>5.2879961277831559E-2</v>
      </c>
      <c r="H265" s="63">
        <v>1195</v>
      </c>
      <c r="I265" s="63">
        <v>960</v>
      </c>
      <c r="J265" s="63">
        <f t="shared" ref="J265:J301" si="55">H265-I265</f>
        <v>235</v>
      </c>
      <c r="K265" s="64">
        <f t="shared" si="53"/>
        <v>2.8436592449177154E-2</v>
      </c>
      <c r="L265" s="64">
        <f>J265/J262</f>
        <v>0.31208499335989376</v>
      </c>
      <c r="M265" s="63">
        <v>1787</v>
      </c>
      <c r="N265" s="63">
        <v>60</v>
      </c>
      <c r="O265" s="63">
        <v>2942</v>
      </c>
      <c r="P265" s="65">
        <f>M265/O265</f>
        <v>0.60740992522093817</v>
      </c>
      <c r="Q265" s="63">
        <v>9125</v>
      </c>
      <c r="R265" s="63">
        <v>2070</v>
      </c>
      <c r="S265" s="63">
        <v>4219</v>
      </c>
      <c r="T265" s="65">
        <f t="shared" si="47"/>
        <v>0.81541790025051242</v>
      </c>
    </row>
    <row r="266" spans="1:20">
      <c r="A266" s="62" t="s">
        <v>199</v>
      </c>
      <c r="B266" s="62">
        <v>2019</v>
      </c>
      <c r="C266" s="63">
        <v>8781</v>
      </c>
      <c r="D266" s="63">
        <v>1530</v>
      </c>
      <c r="E266" s="64">
        <f t="shared" si="52"/>
        <v>0.17423983600956611</v>
      </c>
      <c r="F266" s="63">
        <v>769</v>
      </c>
      <c r="G266" s="64">
        <f t="shared" si="45"/>
        <v>8.7575446987814595E-2</v>
      </c>
      <c r="H266" s="63">
        <v>1722</v>
      </c>
      <c r="I266" s="63">
        <v>696</v>
      </c>
      <c r="J266" s="63">
        <f t="shared" si="55"/>
        <v>1026</v>
      </c>
      <c r="K266" s="64">
        <f t="shared" si="53"/>
        <v>0.11684318414759139</v>
      </c>
      <c r="L266" s="64">
        <f t="shared" ref="L266" si="56">J266/J262</f>
        <v>1.3625498007968126</v>
      </c>
      <c r="M266" s="63">
        <v>2037</v>
      </c>
      <c r="N266" s="63">
        <v>72</v>
      </c>
      <c r="O266" s="63">
        <v>3201</v>
      </c>
      <c r="P266" s="65">
        <f>M266/O266</f>
        <v>0.63636363636363635</v>
      </c>
      <c r="Q266" s="63">
        <v>10956</v>
      </c>
      <c r="R266" s="63">
        <v>2065</v>
      </c>
      <c r="S266" s="63">
        <v>5461</v>
      </c>
      <c r="T266" s="65">
        <f t="shared" si="47"/>
        <v>0.79789977892409725</v>
      </c>
    </row>
    <row r="267" spans="1:20">
      <c r="A267" s="62" t="s">
        <v>202</v>
      </c>
      <c r="B267" s="62">
        <v>2015</v>
      </c>
      <c r="C267" s="63">
        <v>37864</v>
      </c>
      <c r="D267" s="63">
        <v>7311</v>
      </c>
      <c r="E267" s="64">
        <f t="shared" si="52"/>
        <v>0.19308578068878091</v>
      </c>
      <c r="F267" s="63">
        <v>7340</v>
      </c>
      <c r="G267" s="64">
        <f t="shared" si="45"/>
        <v>0.19385167969575323</v>
      </c>
      <c r="H267" s="63">
        <v>5992</v>
      </c>
      <c r="I267" s="63">
        <v>2747</v>
      </c>
      <c r="J267" s="63">
        <f t="shared" si="55"/>
        <v>3245</v>
      </c>
      <c r="K267" s="64">
        <f t="shared" si="53"/>
        <v>8.5701457849144305E-2</v>
      </c>
      <c r="L267" s="64">
        <f>J267/J267</f>
        <v>1</v>
      </c>
      <c r="M267" s="63">
        <v>7828</v>
      </c>
      <c r="N267" s="62">
        <v>738</v>
      </c>
      <c r="O267" s="63">
        <v>12414</v>
      </c>
      <c r="P267" s="65">
        <f>(M267-N267)/O267</f>
        <v>0.57112937006605446</v>
      </c>
      <c r="Q267" s="63">
        <v>33033</v>
      </c>
      <c r="R267" s="63">
        <v>8659</v>
      </c>
      <c r="S267" s="63">
        <v>19481</v>
      </c>
      <c r="T267" s="65">
        <f t="shared" si="47"/>
        <v>1.0136981947622681</v>
      </c>
    </row>
    <row r="268" spans="1:20">
      <c r="A268" s="62" t="s">
        <v>202</v>
      </c>
      <c r="B268" s="62">
        <v>2016</v>
      </c>
      <c r="C268" s="63">
        <v>36556</v>
      </c>
      <c r="D268" s="63">
        <v>6953</v>
      </c>
      <c r="E268" s="64">
        <f t="shared" si="52"/>
        <v>0.19020133493817704</v>
      </c>
      <c r="F268" s="63">
        <v>2263</v>
      </c>
      <c r="G268" s="64">
        <f t="shared" si="45"/>
        <v>6.1905022431338219E-2</v>
      </c>
      <c r="H268" s="63">
        <v>5542</v>
      </c>
      <c r="I268" s="63">
        <v>3223</v>
      </c>
      <c r="J268" s="63">
        <f t="shared" si="55"/>
        <v>2319</v>
      </c>
      <c r="K268" s="64">
        <f t="shared" si="53"/>
        <v>6.3436918700076589E-2</v>
      </c>
      <c r="L268" s="64">
        <f>J268/J267</f>
        <v>0.71463790446841291</v>
      </c>
      <c r="M268" s="63">
        <v>7309</v>
      </c>
      <c r="N268" s="62">
        <v>873</v>
      </c>
      <c r="O268" s="63">
        <v>12286</v>
      </c>
      <c r="P268" s="65">
        <f>(M268-N268)/O268</f>
        <v>0.52384828259807914</v>
      </c>
      <c r="Q268" s="63">
        <v>32831</v>
      </c>
      <c r="R268" s="63">
        <v>8155</v>
      </c>
      <c r="S268" s="63">
        <v>19195</v>
      </c>
      <c r="T268" s="65">
        <f t="shared" si="47"/>
        <v>1.0118603754178452</v>
      </c>
    </row>
    <row r="269" spans="1:20">
      <c r="A269" s="62" t="s">
        <v>202</v>
      </c>
      <c r="B269" s="62">
        <v>2017</v>
      </c>
      <c r="C269" s="63">
        <v>37736</v>
      </c>
      <c r="D269" s="63">
        <v>5823</v>
      </c>
      <c r="E269" s="64">
        <f t="shared" si="52"/>
        <v>0.15430888276446894</v>
      </c>
      <c r="F269" s="63">
        <v>2131</v>
      </c>
      <c r="G269" s="64">
        <f t="shared" si="45"/>
        <v>5.647127411490354E-2</v>
      </c>
      <c r="H269" s="63">
        <v>3413</v>
      </c>
      <c r="I269" s="63">
        <v>3998</v>
      </c>
      <c r="J269" s="63">
        <f t="shared" si="55"/>
        <v>-585</v>
      </c>
      <c r="K269" s="64">
        <f t="shared" si="53"/>
        <v>-1.5502437990248039E-2</v>
      </c>
      <c r="L269" s="64">
        <f>J269/J267</f>
        <v>-0.18027734976887519</v>
      </c>
      <c r="M269" s="63">
        <v>7113</v>
      </c>
      <c r="N269" s="62">
        <v>924</v>
      </c>
      <c r="O269" s="63">
        <v>12676</v>
      </c>
      <c r="P269" s="65">
        <f>(M269-N269)/O269</f>
        <v>0.48824550331334804</v>
      </c>
      <c r="Q269" s="63">
        <v>35213</v>
      </c>
      <c r="R269" s="63">
        <v>8062</v>
      </c>
      <c r="S269" s="63">
        <v>20844</v>
      </c>
      <c r="T269" s="65">
        <f t="shared" si="47"/>
        <v>1.0053989202159568</v>
      </c>
    </row>
    <row r="270" spans="1:20">
      <c r="A270" s="62" t="s">
        <v>202</v>
      </c>
      <c r="B270" s="62">
        <v>2018</v>
      </c>
      <c r="C270" s="63">
        <v>41303</v>
      </c>
      <c r="D270" s="63">
        <v>6019</v>
      </c>
      <c r="E270" s="64">
        <f t="shared" si="52"/>
        <v>0.14572791322664214</v>
      </c>
      <c r="F270" s="63">
        <v>2129</v>
      </c>
      <c r="G270" s="64">
        <f t="shared" si="45"/>
        <v>5.1545892550177955E-2</v>
      </c>
      <c r="H270" s="63">
        <v>6181</v>
      </c>
      <c r="I270" s="63">
        <v>4177</v>
      </c>
      <c r="J270" s="63">
        <f t="shared" si="55"/>
        <v>2004</v>
      </c>
      <c r="K270" s="64">
        <f t="shared" si="53"/>
        <v>4.8519478004019082E-2</v>
      </c>
      <c r="L270" s="64">
        <f>J270/J267</f>
        <v>0.61756548536209555</v>
      </c>
      <c r="M270" s="63">
        <v>7194</v>
      </c>
      <c r="N270" s="62">
        <v>985</v>
      </c>
      <c r="O270" s="63">
        <v>13212</v>
      </c>
      <c r="P270" s="65">
        <f>(M270-N270)/O270</f>
        <v>0.46995155918861642</v>
      </c>
      <c r="Q270" s="63">
        <v>37598</v>
      </c>
      <c r="R270" s="63">
        <v>7682</v>
      </c>
      <c r="S270" s="63">
        <v>21585</v>
      </c>
      <c r="T270" s="65">
        <f t="shared" si="47"/>
        <v>0.96323875432525952</v>
      </c>
    </row>
    <row r="271" spans="1:20">
      <c r="A271" s="62" t="s">
        <v>202</v>
      </c>
      <c r="B271" s="62">
        <v>2019</v>
      </c>
      <c r="C271" s="63">
        <v>43259</v>
      </c>
      <c r="D271" s="63">
        <v>6835</v>
      </c>
      <c r="E271" s="64">
        <f t="shared" si="52"/>
        <v>0.15800180309299799</v>
      </c>
      <c r="F271" s="63">
        <v>3009</v>
      </c>
      <c r="G271" s="64">
        <f t="shared" si="45"/>
        <v>6.9557779883954785E-2</v>
      </c>
      <c r="H271" s="63">
        <v>6909</v>
      </c>
      <c r="I271" s="63">
        <v>4528</v>
      </c>
      <c r="J271" s="63">
        <f t="shared" si="55"/>
        <v>2381</v>
      </c>
      <c r="K271" s="64">
        <f t="shared" si="53"/>
        <v>5.5040569592454749E-2</v>
      </c>
      <c r="L271" s="64">
        <f>J271/J267</f>
        <v>0.73374422187981514</v>
      </c>
      <c r="M271" s="63">
        <v>8194</v>
      </c>
      <c r="N271" s="63">
        <v>1072</v>
      </c>
      <c r="O271" s="63">
        <v>14938</v>
      </c>
      <c r="P271" s="65">
        <f>(M271-N271)/O271</f>
        <v>0.47677065202838398</v>
      </c>
      <c r="Q271" s="63">
        <v>44417</v>
      </c>
      <c r="R271" s="63">
        <v>7532</v>
      </c>
      <c r="S271" s="63">
        <v>26142</v>
      </c>
      <c r="T271" s="65">
        <f t="shared" si="47"/>
        <v>0.93348785420501279</v>
      </c>
    </row>
    <row r="272" spans="1:20">
      <c r="A272" s="62" t="s">
        <v>203</v>
      </c>
      <c r="B272" s="62">
        <v>2015</v>
      </c>
      <c r="C272" s="63">
        <v>40704</v>
      </c>
      <c r="D272" s="63">
        <v>9672</v>
      </c>
      <c r="E272" s="64">
        <f t="shared" si="52"/>
        <v>0.23761792452830188</v>
      </c>
      <c r="F272" s="63">
        <v>4526</v>
      </c>
      <c r="G272" s="64">
        <f t="shared" si="45"/>
        <v>0.11119300314465409</v>
      </c>
      <c r="H272" s="63">
        <v>7927</v>
      </c>
      <c r="I272" s="63">
        <v>2945</v>
      </c>
      <c r="J272" s="63">
        <f t="shared" si="55"/>
        <v>4982</v>
      </c>
      <c r="K272" s="64">
        <f t="shared" si="53"/>
        <v>0.12239583333333333</v>
      </c>
      <c r="L272" s="64">
        <f>J272/J272</f>
        <v>1</v>
      </c>
      <c r="M272" s="63">
        <v>9056</v>
      </c>
      <c r="N272" s="62">
        <v>697</v>
      </c>
      <c r="O272" s="63">
        <v>17526</v>
      </c>
      <c r="P272" s="65">
        <f t="shared" ref="P272:P301" si="57">(M272-N272)/O272</f>
        <v>0.47694853360721212</v>
      </c>
      <c r="Q272" s="63">
        <v>44078</v>
      </c>
      <c r="R272" s="63">
        <v>14655</v>
      </c>
      <c r="S272" s="63">
        <v>24758</v>
      </c>
      <c r="T272" s="65">
        <f>(O272+S272)/(M272+Q272-N272-R272)</f>
        <v>1.1191572706579853</v>
      </c>
    </row>
    <row r="273" spans="1:20">
      <c r="A273" s="62" t="s">
        <v>203</v>
      </c>
      <c r="B273" s="62">
        <v>2016</v>
      </c>
      <c r="C273" s="63">
        <v>39639</v>
      </c>
      <c r="D273" s="63">
        <v>8854</v>
      </c>
      <c r="E273" s="64">
        <f t="shared" si="52"/>
        <v>0.2233658770402886</v>
      </c>
      <c r="F273" s="63">
        <v>4373</v>
      </c>
      <c r="G273" s="64">
        <f t="shared" si="45"/>
        <v>0.11032064381038875</v>
      </c>
      <c r="H273" s="63">
        <v>7205</v>
      </c>
      <c r="I273" s="63">
        <v>3391</v>
      </c>
      <c r="J273" s="63">
        <f t="shared" si="55"/>
        <v>3814</v>
      </c>
      <c r="K273" s="64">
        <f t="shared" si="53"/>
        <v>9.6218370796437858E-2</v>
      </c>
      <c r="L273" s="64">
        <f>J273/J272</f>
        <v>0.76555600160578086</v>
      </c>
      <c r="M273" s="63">
        <v>7451</v>
      </c>
      <c r="N273" s="62">
        <v>891</v>
      </c>
      <c r="O273" s="63">
        <v>15239</v>
      </c>
      <c r="P273" s="65">
        <f t="shared" si="57"/>
        <v>0.43047444058009054</v>
      </c>
      <c r="Q273" s="63">
        <v>43810</v>
      </c>
      <c r="R273" s="63">
        <v>14638</v>
      </c>
      <c r="S273" s="63">
        <v>23735</v>
      </c>
      <c r="T273" s="65">
        <f>(O273+S273)/(M273+Q273-N273-R273)</f>
        <v>1.090730997425277</v>
      </c>
    </row>
    <row r="274" spans="1:20">
      <c r="A274" s="62" t="s">
        <v>203</v>
      </c>
      <c r="B274" s="62">
        <v>2017</v>
      </c>
      <c r="C274" s="63">
        <v>41244</v>
      </c>
      <c r="D274" s="63">
        <v>8349</v>
      </c>
      <c r="E274" s="64">
        <f t="shared" si="52"/>
        <v>0.20242944428280477</v>
      </c>
      <c r="F274" s="63">
        <v>3577</v>
      </c>
      <c r="G274" s="64">
        <f t="shared" si="45"/>
        <v>8.6727766463000677E-2</v>
      </c>
      <c r="H274" s="63">
        <v>5148</v>
      </c>
      <c r="I274" s="63">
        <v>3891</v>
      </c>
      <c r="J274" s="63">
        <f t="shared" si="55"/>
        <v>1257</v>
      </c>
      <c r="K274" s="64">
        <f t="shared" si="53"/>
        <v>3.0477160314227526E-2</v>
      </c>
      <c r="L274" s="64">
        <f>J274/J272</f>
        <v>0.25230830991569653</v>
      </c>
      <c r="M274" s="63">
        <v>7844</v>
      </c>
      <c r="N274" s="63">
        <v>1329</v>
      </c>
      <c r="O274" s="63">
        <v>18573</v>
      </c>
      <c r="P274" s="65">
        <f t="shared" si="57"/>
        <v>0.35077801109136919</v>
      </c>
      <c r="Q274" s="63">
        <v>45448</v>
      </c>
      <c r="R274" s="63">
        <v>14641</v>
      </c>
      <c r="S274" s="63">
        <v>20809</v>
      </c>
      <c r="T274" s="65">
        <f t="shared" si="47"/>
        <v>1.0551953271528858</v>
      </c>
    </row>
    <row r="275" spans="1:20">
      <c r="A275" s="62" t="s">
        <v>203</v>
      </c>
      <c r="B275" s="62">
        <v>2018</v>
      </c>
      <c r="C275" s="63">
        <v>44438</v>
      </c>
      <c r="D275" s="63">
        <v>7593</v>
      </c>
      <c r="E275" s="64">
        <f t="shared" si="52"/>
        <v>0.17086727575498448</v>
      </c>
      <c r="F275" s="63">
        <v>3935</v>
      </c>
      <c r="G275" s="64">
        <f t="shared" si="45"/>
        <v>8.8550339799270891E-2</v>
      </c>
      <c r="H275" s="63">
        <v>7014</v>
      </c>
      <c r="I275" s="63">
        <v>5168</v>
      </c>
      <c r="J275" s="63">
        <f t="shared" si="55"/>
        <v>1846</v>
      </c>
      <c r="K275" s="64">
        <f t="shared" si="53"/>
        <v>4.1541023448400015E-2</v>
      </c>
      <c r="L275" s="64">
        <f>J275/J272</f>
        <v>0.37053392211963065</v>
      </c>
      <c r="M275" s="63">
        <v>6340</v>
      </c>
      <c r="N275" s="63">
        <v>1055</v>
      </c>
      <c r="O275" s="63">
        <v>18578</v>
      </c>
      <c r="P275" s="65">
        <f t="shared" si="57"/>
        <v>0.28447626224566691</v>
      </c>
      <c r="Q275" s="63">
        <v>53926</v>
      </c>
      <c r="R275" s="63">
        <v>14611</v>
      </c>
      <c r="S275" s="63">
        <v>28001</v>
      </c>
      <c r="T275" s="65">
        <f t="shared" si="47"/>
        <v>1.0443721973094171</v>
      </c>
    </row>
    <row r="276" spans="1:20">
      <c r="A276" s="62" t="s">
        <v>203</v>
      </c>
      <c r="B276" s="62">
        <v>2019</v>
      </c>
      <c r="C276" s="63">
        <v>47007</v>
      </c>
      <c r="D276" s="63">
        <v>9199</v>
      </c>
      <c r="E276" s="64">
        <f t="shared" si="52"/>
        <v>0.19569425830195503</v>
      </c>
      <c r="F276" s="63">
        <v>4767</v>
      </c>
      <c r="G276" s="64">
        <f t="shared" si="45"/>
        <v>0.1014104282340928</v>
      </c>
      <c r="H276" s="63">
        <v>8425</v>
      </c>
      <c r="I276" s="63">
        <v>4936</v>
      </c>
      <c r="J276" s="63">
        <f t="shared" si="55"/>
        <v>3489</v>
      </c>
      <c r="K276" s="64">
        <f t="shared" si="53"/>
        <v>7.4222988065607245E-2</v>
      </c>
      <c r="L276" s="64">
        <f>J276/J272</f>
        <v>0.70032115616218382</v>
      </c>
      <c r="M276" s="63">
        <v>8249</v>
      </c>
      <c r="N276" s="63">
        <v>1251</v>
      </c>
      <c r="O276" s="63">
        <v>20204</v>
      </c>
      <c r="P276" s="65">
        <f t="shared" si="57"/>
        <v>0.3463670560285092</v>
      </c>
      <c r="Q276" s="63">
        <v>56283</v>
      </c>
      <c r="R276" s="63">
        <v>14944</v>
      </c>
      <c r="S276" s="63">
        <v>28970</v>
      </c>
      <c r="T276" s="65">
        <f t="shared" si="47"/>
        <v>1.0173159277572046</v>
      </c>
    </row>
    <row r="277" spans="1:20">
      <c r="A277" s="62" t="s">
        <v>209</v>
      </c>
      <c r="B277" s="62">
        <v>2015</v>
      </c>
      <c r="C277" s="63">
        <v>6416</v>
      </c>
      <c r="D277" s="63">
        <v>1546</v>
      </c>
      <c r="E277" s="64">
        <f t="shared" si="52"/>
        <v>0.24096009975062344</v>
      </c>
      <c r="F277" s="62">
        <v>677</v>
      </c>
      <c r="G277" s="64">
        <f t="shared" si="45"/>
        <v>0.10551745635910224</v>
      </c>
      <c r="H277" s="63">
        <v>1598</v>
      </c>
      <c r="I277" s="62">
        <v>941</v>
      </c>
      <c r="J277" s="63">
        <f t="shared" si="55"/>
        <v>657</v>
      </c>
      <c r="K277" s="64">
        <f t="shared" si="53"/>
        <v>0.1024002493765586</v>
      </c>
      <c r="L277" s="64">
        <f>J277/J277</f>
        <v>1</v>
      </c>
      <c r="M277" s="63">
        <v>1373</v>
      </c>
      <c r="N277" s="62">
        <v>44</v>
      </c>
      <c r="O277" s="63">
        <v>2275</v>
      </c>
      <c r="P277" s="65">
        <f t="shared" si="57"/>
        <v>0.58417582417582414</v>
      </c>
      <c r="Q277" s="63">
        <v>7287</v>
      </c>
      <c r="R277" s="62">
        <v>232</v>
      </c>
      <c r="S277" s="63">
        <v>3175</v>
      </c>
      <c r="T277" s="65">
        <f t="shared" si="47"/>
        <v>0.65004770992366412</v>
      </c>
    </row>
    <row r="278" spans="1:20">
      <c r="A278" s="62" t="s">
        <v>209</v>
      </c>
      <c r="B278" s="62">
        <v>2016</v>
      </c>
      <c r="C278" s="63">
        <v>6632</v>
      </c>
      <c r="D278" s="63">
        <v>1705</v>
      </c>
      <c r="E278" s="64">
        <f t="shared" si="52"/>
        <v>0.25708685162846806</v>
      </c>
      <c r="F278" s="62">
        <v>759</v>
      </c>
      <c r="G278" s="64">
        <f t="shared" si="45"/>
        <v>0.11444511459589868</v>
      </c>
      <c r="H278" s="63">
        <v>1632</v>
      </c>
      <c r="I278" s="63">
        <v>1011</v>
      </c>
      <c r="J278" s="63">
        <f t="shared" si="55"/>
        <v>621</v>
      </c>
      <c r="K278" s="64">
        <f t="shared" si="53"/>
        <v>9.3636911942098916E-2</v>
      </c>
      <c r="L278" s="64">
        <f>J278/J277</f>
        <v>0.9452054794520548</v>
      </c>
      <c r="M278" s="63">
        <v>1567</v>
      </c>
      <c r="N278" s="62">
        <v>47</v>
      </c>
      <c r="O278" s="63">
        <v>2223</v>
      </c>
      <c r="P278" s="65">
        <f t="shared" si="57"/>
        <v>0.68376068376068377</v>
      </c>
      <c r="Q278" s="63">
        <v>7920</v>
      </c>
      <c r="R278" s="62">
        <v>236</v>
      </c>
      <c r="S278" s="63">
        <v>3251</v>
      </c>
      <c r="T278" s="65">
        <f t="shared" si="47"/>
        <v>0.59474141677531511</v>
      </c>
    </row>
    <row r="279" spans="1:20">
      <c r="A279" s="62" t="s">
        <v>209</v>
      </c>
      <c r="B279" s="62">
        <v>2017</v>
      </c>
      <c r="C279" s="63">
        <v>7015</v>
      </c>
      <c r="D279" s="63">
        <v>1446</v>
      </c>
      <c r="E279" s="64">
        <f t="shared" si="52"/>
        <v>0.2061297220242338</v>
      </c>
      <c r="F279" s="63">
        <v>1147</v>
      </c>
      <c r="G279" s="64">
        <f t="shared" si="45"/>
        <v>0.16350677120456164</v>
      </c>
      <c r="H279" s="63">
        <v>1398</v>
      </c>
      <c r="I279" s="63">
        <v>1202</v>
      </c>
      <c r="J279" s="63">
        <f t="shared" si="55"/>
        <v>196</v>
      </c>
      <c r="K279" s="64">
        <f t="shared" si="53"/>
        <v>2.7940128296507483E-2</v>
      </c>
      <c r="L279" s="64">
        <f>J279/J277</f>
        <v>0.29832572298325721</v>
      </c>
      <c r="M279" s="63">
        <v>1206</v>
      </c>
      <c r="N279" s="62">
        <v>55</v>
      </c>
      <c r="O279" s="63">
        <v>2395</v>
      </c>
      <c r="P279" s="65">
        <f t="shared" si="57"/>
        <v>0.48058455114822546</v>
      </c>
      <c r="Q279" s="63">
        <v>8575</v>
      </c>
      <c r="R279" s="62">
        <v>231</v>
      </c>
      <c r="S279" s="63">
        <v>2552</v>
      </c>
      <c r="T279" s="65">
        <f t="shared" si="47"/>
        <v>0.52101105845181672</v>
      </c>
    </row>
    <row r="280" spans="1:20">
      <c r="A280" s="62" t="s">
        <v>209</v>
      </c>
      <c r="B280" s="62">
        <v>2018</v>
      </c>
      <c r="C280" s="63">
        <v>7658</v>
      </c>
      <c r="D280" s="63">
        <v>1214</v>
      </c>
      <c r="E280" s="64">
        <f t="shared" si="52"/>
        <v>0.15852703055628101</v>
      </c>
      <c r="F280" s="62">
        <v>188</v>
      </c>
      <c r="G280" s="64">
        <f t="shared" si="45"/>
        <v>2.454949072864978E-2</v>
      </c>
      <c r="H280" s="63">
        <v>1217</v>
      </c>
      <c r="I280" s="63">
        <v>1114</v>
      </c>
      <c r="J280" s="63">
        <f t="shared" si="55"/>
        <v>103</v>
      </c>
      <c r="K280" s="64">
        <f t="shared" si="53"/>
        <v>1.344998694176025E-2</v>
      </c>
      <c r="L280" s="64">
        <f>J280/J277</f>
        <v>0.15677321156773211</v>
      </c>
      <c r="M280" s="63">
        <v>1474</v>
      </c>
      <c r="N280" s="62">
        <v>78</v>
      </c>
      <c r="O280" s="63">
        <v>2418</v>
      </c>
      <c r="P280" s="65">
        <f t="shared" si="57"/>
        <v>0.57733664185277089</v>
      </c>
      <c r="Q280" s="63">
        <v>8952</v>
      </c>
      <c r="R280" s="62">
        <v>235</v>
      </c>
      <c r="S280" s="63">
        <v>3397</v>
      </c>
      <c r="T280" s="65">
        <f t="shared" si="47"/>
        <v>0.57500247206565802</v>
      </c>
    </row>
    <row r="281" spans="1:20">
      <c r="A281" s="62" t="s">
        <v>209</v>
      </c>
      <c r="B281" s="62">
        <v>2019</v>
      </c>
      <c r="C281" s="63">
        <v>8094</v>
      </c>
      <c r="D281" s="63">
        <v>1339</v>
      </c>
      <c r="E281" s="64">
        <f t="shared" si="52"/>
        <v>0.16543118359278478</v>
      </c>
      <c r="F281" s="62">
        <v>569</v>
      </c>
      <c r="G281" s="64">
        <f t="shared" si="45"/>
        <v>7.0298986903879424E-2</v>
      </c>
      <c r="H281" s="63">
        <v>1449</v>
      </c>
      <c r="I281" s="63">
        <v>1156</v>
      </c>
      <c r="J281" s="63">
        <f t="shared" si="55"/>
        <v>293</v>
      </c>
      <c r="K281" s="64">
        <f t="shared" si="53"/>
        <v>3.6199654064739316E-2</v>
      </c>
      <c r="L281" s="64">
        <f>J281/J277</f>
        <v>0.44596651445966512</v>
      </c>
      <c r="M281" s="63">
        <v>1786</v>
      </c>
      <c r="N281" s="62">
        <v>81</v>
      </c>
      <c r="O281" s="63">
        <v>2663</v>
      </c>
      <c r="P281" s="65">
        <f t="shared" si="57"/>
        <v>0.64025535110777321</v>
      </c>
      <c r="Q281" s="63">
        <v>10132</v>
      </c>
      <c r="R281" s="62">
        <v>241</v>
      </c>
      <c r="S281" s="63">
        <v>4456</v>
      </c>
      <c r="T281" s="65">
        <f t="shared" si="47"/>
        <v>0.61391859261814419</v>
      </c>
    </row>
    <row r="282" spans="1:20">
      <c r="A282" s="62" t="s">
        <v>201</v>
      </c>
      <c r="B282" s="62">
        <v>2015</v>
      </c>
      <c r="C282" s="63">
        <v>19648</v>
      </c>
      <c r="D282" s="63">
        <v>5295</v>
      </c>
      <c r="E282" s="64">
        <f>D282/C282</f>
        <v>0.26949307817589574</v>
      </c>
      <c r="F282" s="63">
        <v>2185</v>
      </c>
      <c r="G282" s="64">
        <f>F282/C282</f>
        <v>0.11120724755700326</v>
      </c>
      <c r="H282" s="63">
        <v>3238</v>
      </c>
      <c r="I282" s="63">
        <v>2041</v>
      </c>
      <c r="J282" s="63">
        <f>H282-I282</f>
        <v>1197</v>
      </c>
      <c r="K282" s="64">
        <f>J282/C282</f>
        <v>6.0922231270358305E-2</v>
      </c>
      <c r="L282" s="64">
        <f>J282/J282</f>
        <v>1</v>
      </c>
      <c r="M282" s="63">
        <v>4024</v>
      </c>
      <c r="N282" s="62">
        <v>311</v>
      </c>
      <c r="O282" s="63">
        <v>7406</v>
      </c>
      <c r="P282" s="65">
        <f>(M282-N282)/O282</f>
        <v>0.50135025654874421</v>
      </c>
      <c r="Q282" s="63">
        <v>17288</v>
      </c>
      <c r="R282" s="63">
        <v>1434</v>
      </c>
      <c r="S282" s="63">
        <v>6548</v>
      </c>
      <c r="T282" s="65">
        <f>(O282+S282)/(M282+Q282-N282-R282)</f>
        <v>0.71313946951499974</v>
      </c>
    </row>
    <row r="283" spans="1:20">
      <c r="A283" s="62" t="s">
        <v>201</v>
      </c>
      <c r="B283" s="62">
        <v>2016</v>
      </c>
      <c r="C283" s="63">
        <v>20425</v>
      </c>
      <c r="D283" s="63">
        <v>5024</v>
      </c>
      <c r="E283" s="64">
        <f>D283/C283</f>
        <v>0.24597307221542228</v>
      </c>
      <c r="F283" s="63">
        <v>2246</v>
      </c>
      <c r="G283" s="64">
        <f>F283/C283</f>
        <v>0.10996328029375765</v>
      </c>
      <c r="H283" s="63">
        <v>4293</v>
      </c>
      <c r="I283" s="63">
        <v>2147</v>
      </c>
      <c r="J283" s="63">
        <f>H283-I283</f>
        <v>2146</v>
      </c>
      <c r="K283" s="64">
        <f>J283/C283</f>
        <v>0.10506731946144431</v>
      </c>
      <c r="L283" s="64">
        <f>J283/J282</f>
        <v>1.7928153717627402</v>
      </c>
      <c r="M283" s="63">
        <v>4498</v>
      </c>
      <c r="N283" s="62">
        <v>337</v>
      </c>
      <c r="O283" s="63">
        <v>6844</v>
      </c>
      <c r="P283" s="65">
        <f>(M283-N283)/O283</f>
        <v>0.60797779076563419</v>
      </c>
      <c r="Q283" s="63">
        <v>18788</v>
      </c>
      <c r="R283" s="63">
        <v>1396</v>
      </c>
      <c r="S283" s="63">
        <v>8001</v>
      </c>
      <c r="T283" s="65">
        <f>(O283+S283)/(M283+Q283-N283-R283)</f>
        <v>0.6887672249802812</v>
      </c>
    </row>
    <row r="284" spans="1:20">
      <c r="A284" s="62" t="s">
        <v>201</v>
      </c>
      <c r="B284" s="62">
        <v>2017</v>
      </c>
      <c r="C284" s="63">
        <v>21171</v>
      </c>
      <c r="D284" s="63">
        <v>4899</v>
      </c>
      <c r="E284" s="64">
        <f>D284/C284</f>
        <v>0.23140144537338814</v>
      </c>
      <c r="F284" s="63">
        <v>3488</v>
      </c>
      <c r="G284" s="64">
        <f>F284/C284</f>
        <v>0.16475367247650088</v>
      </c>
      <c r="H284" s="63">
        <v>3929</v>
      </c>
      <c r="I284" s="63">
        <v>2249</v>
      </c>
      <c r="J284" s="63">
        <f>H284-I284</f>
        <v>1680</v>
      </c>
      <c r="K284" s="64">
        <f>J284/C284</f>
        <v>7.9353833073544003E-2</v>
      </c>
      <c r="L284" s="64">
        <f>J284/J282</f>
        <v>1.4035087719298245</v>
      </c>
      <c r="M284" s="63">
        <v>4815</v>
      </c>
      <c r="N284" s="62">
        <v>420</v>
      </c>
      <c r="O284" s="63">
        <v>6905</v>
      </c>
      <c r="P284" s="65">
        <f>(M284-N284)/O284</f>
        <v>0.6364952932657495</v>
      </c>
      <c r="Q284" s="63">
        <v>20295</v>
      </c>
      <c r="R284" s="63">
        <v>1383</v>
      </c>
      <c r="S284" s="63">
        <v>7775</v>
      </c>
      <c r="T284" s="65">
        <f>(O284+S284)/(M284+Q284-N284-R284)</f>
        <v>0.62985369202385555</v>
      </c>
    </row>
    <row r="285" spans="1:20">
      <c r="A285" s="62" t="s">
        <v>201</v>
      </c>
      <c r="B285" s="62">
        <v>2018</v>
      </c>
      <c r="C285" s="63">
        <v>21965</v>
      </c>
      <c r="D285" s="63">
        <v>4407</v>
      </c>
      <c r="E285" s="64">
        <f>D285/C285</f>
        <v>0.20063737764625542</v>
      </c>
      <c r="F285" s="63">
        <v>2465</v>
      </c>
      <c r="G285" s="64">
        <f>F285/C285</f>
        <v>0.11222399271568405</v>
      </c>
      <c r="H285" s="63">
        <v>4893</v>
      </c>
      <c r="I285" s="63">
        <v>1976</v>
      </c>
      <c r="J285" s="63">
        <f>H285-I285</f>
        <v>2917</v>
      </c>
      <c r="K285" s="64">
        <f>J285/C285</f>
        <v>0.13280218529478716</v>
      </c>
      <c r="L285" s="64">
        <f>J285/J282</f>
        <v>2.4369256474519632</v>
      </c>
      <c r="M285" s="63">
        <v>5028</v>
      </c>
      <c r="N285" s="62">
        <v>461</v>
      </c>
      <c r="O285" s="63">
        <v>7905</v>
      </c>
      <c r="P285" s="65">
        <f>(M285-N285)/O285</f>
        <v>0.57773561037318155</v>
      </c>
      <c r="Q285" s="63">
        <v>21215</v>
      </c>
      <c r="R285" s="63">
        <v>1370</v>
      </c>
      <c r="S285" s="63">
        <v>8485</v>
      </c>
      <c r="T285" s="65">
        <f>(O285+S285)/(M285+Q285-N285-R285)</f>
        <v>0.67139111912174343</v>
      </c>
    </row>
    <row r="286" spans="1:20">
      <c r="A286" s="62" t="s">
        <v>201</v>
      </c>
      <c r="B286" s="62">
        <v>2019</v>
      </c>
      <c r="C286" s="63">
        <v>22428</v>
      </c>
      <c r="D286" s="63">
        <v>4300</v>
      </c>
      <c r="E286" s="64">
        <f>D286/C286</f>
        <v>0.19172462992687711</v>
      </c>
      <c r="F286" s="63">
        <v>2300</v>
      </c>
      <c r="G286" s="64">
        <f>F286/C286</f>
        <v>0.10255038344925986</v>
      </c>
      <c r="H286" s="63">
        <v>3987</v>
      </c>
      <c r="I286" s="63">
        <v>1027</v>
      </c>
      <c r="J286" s="63">
        <f>H286-I286</f>
        <v>2960</v>
      </c>
      <c r="K286" s="64">
        <f>J286/C286</f>
        <v>0.13197788478687356</v>
      </c>
      <c r="L286" s="64">
        <f>J286/J282</f>
        <v>2.4728487886382622</v>
      </c>
      <c r="M286" s="63">
        <v>5974</v>
      </c>
      <c r="N286" s="62">
        <v>529</v>
      </c>
      <c r="O286" s="63">
        <v>8952</v>
      </c>
      <c r="P286" s="65">
        <f>(M286-N286)/O286</f>
        <v>0.60824396782841827</v>
      </c>
      <c r="Q286" s="63">
        <v>19921</v>
      </c>
      <c r="R286" s="63">
        <v>1266</v>
      </c>
      <c r="S286" s="63">
        <v>7111</v>
      </c>
      <c r="T286" s="65">
        <f>(O286+S286)/(M286+Q286-N286-R286)</f>
        <v>0.66651452282157675</v>
      </c>
    </row>
    <row r="287" spans="1:20">
      <c r="A287" s="62" t="s">
        <v>215</v>
      </c>
      <c r="B287" s="62">
        <v>2015</v>
      </c>
      <c r="C287" s="63">
        <v>8299</v>
      </c>
      <c r="D287" s="63">
        <v>2113</v>
      </c>
      <c r="E287" s="64">
        <f t="shared" si="52"/>
        <v>0.25460898903482349</v>
      </c>
      <c r="F287" s="62">
        <v>666</v>
      </c>
      <c r="G287" s="64">
        <f t="shared" si="45"/>
        <v>8.0250632606338107E-2</v>
      </c>
      <c r="H287" s="63">
        <v>1946</v>
      </c>
      <c r="I287" s="63">
        <v>1613</v>
      </c>
      <c r="J287" s="63">
        <f t="shared" si="55"/>
        <v>333</v>
      </c>
      <c r="K287" s="64">
        <f t="shared" si="53"/>
        <v>4.0125316303169054E-2</v>
      </c>
      <c r="L287" s="64">
        <f>J287/J287</f>
        <v>1</v>
      </c>
      <c r="M287" s="62">
        <v>837</v>
      </c>
      <c r="N287" s="62">
        <v>121</v>
      </c>
      <c r="O287" s="63">
        <v>4293</v>
      </c>
      <c r="P287" s="65">
        <f t="shared" si="57"/>
        <v>0.16678313533659445</v>
      </c>
      <c r="Q287" s="63">
        <v>20085</v>
      </c>
      <c r="R287" s="62">
        <v>287</v>
      </c>
      <c r="S287" s="63">
        <v>8566</v>
      </c>
      <c r="T287" s="65">
        <f t="shared" si="47"/>
        <v>0.62684020668811546</v>
      </c>
    </row>
    <row r="288" spans="1:20">
      <c r="A288" s="62" t="s">
        <v>215</v>
      </c>
      <c r="B288" s="62">
        <v>2016</v>
      </c>
      <c r="C288" s="63">
        <v>8499</v>
      </c>
      <c r="D288" s="63">
        <v>2379</v>
      </c>
      <c r="E288" s="64">
        <f t="shared" si="52"/>
        <v>0.27991528415107658</v>
      </c>
      <c r="F288" s="63">
        <v>1283</v>
      </c>
      <c r="G288" s="64">
        <f t="shared" si="45"/>
        <v>0.1509589363454524</v>
      </c>
      <c r="H288" s="63">
        <v>2517</v>
      </c>
      <c r="I288" s="63">
        <v>2494</v>
      </c>
      <c r="J288" s="63">
        <f t="shared" si="55"/>
        <v>23</v>
      </c>
      <c r="K288" s="64">
        <f t="shared" si="53"/>
        <v>2.706200729497588E-3</v>
      </c>
      <c r="L288" s="64">
        <f>J288/J287</f>
        <v>6.9069069069069067E-2</v>
      </c>
      <c r="M288" s="62">
        <v>748</v>
      </c>
      <c r="N288" s="62">
        <v>114</v>
      </c>
      <c r="O288" s="63">
        <v>4442</v>
      </c>
      <c r="P288" s="65">
        <f t="shared" si="57"/>
        <v>0.14272850067537146</v>
      </c>
      <c r="Q288" s="63">
        <v>21562</v>
      </c>
      <c r="R288" s="62">
        <v>288</v>
      </c>
      <c r="S288" s="63">
        <v>8747</v>
      </c>
      <c r="T288" s="65">
        <f t="shared" si="47"/>
        <v>0.6020175278437101</v>
      </c>
    </row>
    <row r="289" spans="1:20">
      <c r="A289" s="62" t="s">
        <v>215</v>
      </c>
      <c r="B289" s="62">
        <v>2017</v>
      </c>
      <c r="C289" s="63">
        <v>8778</v>
      </c>
      <c r="D289" s="63">
        <v>2664</v>
      </c>
      <c r="E289" s="64">
        <f t="shared" si="52"/>
        <v>0.30348598769651403</v>
      </c>
      <c r="F289" s="63">
        <v>1625</v>
      </c>
      <c r="G289" s="64">
        <f t="shared" si="45"/>
        <v>0.18512189564821144</v>
      </c>
      <c r="H289" s="63">
        <v>2875</v>
      </c>
      <c r="I289" s="62">
        <v>564</v>
      </c>
      <c r="J289" s="63">
        <f t="shared" si="55"/>
        <v>2311</v>
      </c>
      <c r="K289" s="64">
        <f t="shared" si="53"/>
        <v>0.26327181590339482</v>
      </c>
      <c r="L289" s="64">
        <f>J289/J287</f>
        <v>6.93993993993994</v>
      </c>
      <c r="M289" s="62">
        <v>843</v>
      </c>
      <c r="N289" s="62">
        <v>111</v>
      </c>
      <c r="O289" s="63">
        <v>4790</v>
      </c>
      <c r="P289" s="65">
        <f t="shared" si="57"/>
        <v>0.15281837160751566</v>
      </c>
      <c r="Q289" s="63">
        <v>21453</v>
      </c>
      <c r="R289" s="62">
        <v>296</v>
      </c>
      <c r="S289" s="63">
        <v>6804</v>
      </c>
      <c r="T289" s="65">
        <f t="shared" si="47"/>
        <v>0.52967243821097354</v>
      </c>
    </row>
    <row r="290" spans="1:20">
      <c r="A290" s="62" t="s">
        <v>215</v>
      </c>
      <c r="B290" s="62">
        <v>2018</v>
      </c>
      <c r="C290" s="63">
        <v>9494</v>
      </c>
      <c r="D290" s="63">
        <v>2972</v>
      </c>
      <c r="E290" s="64">
        <f t="shared" si="52"/>
        <v>0.31303981461975983</v>
      </c>
      <c r="F290" s="63">
        <v>1811</v>
      </c>
      <c r="G290" s="64">
        <f t="shared" si="45"/>
        <v>0.19075205392879713</v>
      </c>
      <c r="H290" s="63">
        <v>3479</v>
      </c>
      <c r="I290" s="63">
        <v>3660</v>
      </c>
      <c r="J290" s="63">
        <f t="shared" si="55"/>
        <v>-181</v>
      </c>
      <c r="K290" s="64">
        <f t="shared" si="53"/>
        <v>-1.9064672424689278E-2</v>
      </c>
      <c r="L290" s="64">
        <f>J290/J287</f>
        <v>-0.54354354354354351</v>
      </c>
      <c r="M290" s="63">
        <v>1242</v>
      </c>
      <c r="N290" s="62">
        <v>154</v>
      </c>
      <c r="O290" s="63">
        <v>7112</v>
      </c>
      <c r="P290" s="65">
        <f t="shared" si="57"/>
        <v>0.1529808773903262</v>
      </c>
      <c r="Q290" s="63">
        <v>26456</v>
      </c>
      <c r="R290" s="63">
        <v>1880</v>
      </c>
      <c r="S290" s="63">
        <v>8939</v>
      </c>
      <c r="T290" s="65">
        <f t="shared" si="47"/>
        <v>0.6254286159600998</v>
      </c>
    </row>
    <row r="291" spans="1:20">
      <c r="A291" s="62" t="s">
        <v>215</v>
      </c>
      <c r="B291" s="62">
        <v>2019</v>
      </c>
      <c r="C291" s="63">
        <v>10951</v>
      </c>
      <c r="D291" s="63">
        <v>3357</v>
      </c>
      <c r="E291" s="64">
        <f t="shared" si="52"/>
        <v>0.30654734727422156</v>
      </c>
      <c r="F291" s="63">
        <v>1879</v>
      </c>
      <c r="G291" s="64">
        <f t="shared" si="45"/>
        <v>0.17158250388092411</v>
      </c>
      <c r="H291" s="63">
        <v>3716</v>
      </c>
      <c r="I291" s="63">
        <v>3025</v>
      </c>
      <c r="J291" s="63">
        <f t="shared" si="55"/>
        <v>691</v>
      </c>
      <c r="K291" s="64">
        <f t="shared" si="53"/>
        <v>6.3099260341521315E-2</v>
      </c>
      <c r="L291" s="64">
        <f>J291/J287</f>
        <v>2.075075075075075</v>
      </c>
      <c r="M291" s="63">
        <v>1163</v>
      </c>
      <c r="N291" s="62">
        <v>162</v>
      </c>
      <c r="O291" s="63">
        <v>7953</v>
      </c>
      <c r="P291" s="65">
        <f t="shared" si="57"/>
        <v>0.12586445366528354</v>
      </c>
      <c r="Q291" s="63">
        <v>29158</v>
      </c>
      <c r="R291" s="63">
        <v>1888</v>
      </c>
      <c r="S291" s="63">
        <v>9634</v>
      </c>
      <c r="T291" s="65">
        <f t="shared" si="47"/>
        <v>0.62208623677973895</v>
      </c>
    </row>
    <row r="292" spans="1:20">
      <c r="A292" s="62" t="s">
        <v>216</v>
      </c>
      <c r="B292" s="62">
        <v>2015</v>
      </c>
      <c r="C292" s="63">
        <v>15714</v>
      </c>
      <c r="D292" s="63">
        <v>4205</v>
      </c>
      <c r="E292" s="64">
        <f t="shared" si="52"/>
        <v>0.2675957744686267</v>
      </c>
      <c r="F292" s="63">
        <v>1757</v>
      </c>
      <c r="G292" s="64">
        <f t="shared" si="45"/>
        <v>0.11181112383861525</v>
      </c>
      <c r="H292" s="63">
        <v>4545</v>
      </c>
      <c r="I292" s="63">
        <v>2294</v>
      </c>
      <c r="J292" s="63">
        <f t="shared" si="55"/>
        <v>2251</v>
      </c>
      <c r="K292" s="64">
        <f t="shared" si="53"/>
        <v>0.14324805905561919</v>
      </c>
      <c r="L292" s="64">
        <f>J292/J292</f>
        <v>1</v>
      </c>
      <c r="M292" s="63">
        <v>2451</v>
      </c>
      <c r="N292" s="62">
        <v>330</v>
      </c>
      <c r="O292" s="63">
        <v>6956</v>
      </c>
      <c r="P292" s="65">
        <f t="shared" si="57"/>
        <v>0.30491661874640597</v>
      </c>
      <c r="Q292" s="63">
        <v>36786</v>
      </c>
      <c r="R292" s="63">
        <v>4248</v>
      </c>
      <c r="S292" s="63">
        <v>8510</v>
      </c>
      <c r="T292" s="65">
        <f t="shared" si="47"/>
        <v>0.4462333015955452</v>
      </c>
    </row>
    <row r="293" spans="1:20">
      <c r="A293" s="62" t="s">
        <v>216</v>
      </c>
      <c r="B293" s="62">
        <v>2016</v>
      </c>
      <c r="C293" s="63">
        <v>16389</v>
      </c>
      <c r="D293" s="63">
        <v>4811</v>
      </c>
      <c r="E293" s="64">
        <f t="shared" si="52"/>
        <v>0.2935505521996461</v>
      </c>
      <c r="F293" s="63">
        <v>2779</v>
      </c>
      <c r="G293" s="64">
        <f t="shared" si="45"/>
        <v>0.16956495210201963</v>
      </c>
      <c r="H293" s="63">
        <v>5134</v>
      </c>
      <c r="I293" s="63">
        <v>3062</v>
      </c>
      <c r="J293" s="63">
        <f t="shared" si="55"/>
        <v>2072</v>
      </c>
      <c r="K293" s="64">
        <f t="shared" si="53"/>
        <v>0.12642626151687109</v>
      </c>
      <c r="L293" s="64">
        <f>J293/J292</f>
        <v>0.92047978676143938</v>
      </c>
      <c r="M293" s="63">
        <v>1689</v>
      </c>
      <c r="N293" s="62">
        <v>322</v>
      </c>
      <c r="O293" s="63">
        <v>7072</v>
      </c>
      <c r="P293" s="65">
        <f t="shared" si="57"/>
        <v>0.1932975113122172</v>
      </c>
      <c r="Q293" s="63">
        <v>37247</v>
      </c>
      <c r="R293" s="63">
        <v>4185</v>
      </c>
      <c r="S293" s="63">
        <v>9267</v>
      </c>
      <c r="T293" s="65">
        <f t="shared" si="47"/>
        <v>0.47457085596444859</v>
      </c>
    </row>
    <row r="294" spans="1:20">
      <c r="A294" s="62" t="s">
        <v>216</v>
      </c>
      <c r="B294" s="62">
        <v>2017</v>
      </c>
      <c r="C294" s="63">
        <v>17510</v>
      </c>
      <c r="D294" s="63">
        <v>4747</v>
      </c>
      <c r="E294" s="64">
        <f t="shared" si="52"/>
        <v>0.27110222729868644</v>
      </c>
      <c r="F294" s="63">
        <v>2606</v>
      </c>
      <c r="G294" s="64">
        <f t="shared" si="45"/>
        <v>0.1488292404340377</v>
      </c>
      <c r="H294" s="63">
        <v>5322</v>
      </c>
      <c r="I294" s="63">
        <v>2944</v>
      </c>
      <c r="J294" s="63">
        <f t="shared" si="55"/>
        <v>2378</v>
      </c>
      <c r="K294" s="64">
        <f t="shared" si="53"/>
        <v>0.13580810965162765</v>
      </c>
      <c r="L294" s="64">
        <f>J294/J292</f>
        <v>1.056419369169258</v>
      </c>
      <c r="M294" s="63">
        <v>1596</v>
      </c>
      <c r="N294" s="62">
        <v>387</v>
      </c>
      <c r="O294" s="63">
        <v>8800</v>
      </c>
      <c r="P294" s="65">
        <f t="shared" si="57"/>
        <v>0.13738636363636364</v>
      </c>
      <c r="Q294" s="63">
        <v>39182</v>
      </c>
      <c r="R294" s="63">
        <v>4167</v>
      </c>
      <c r="S294" s="63">
        <v>7762</v>
      </c>
      <c r="T294" s="65">
        <f t="shared" si="47"/>
        <v>0.45721068904593637</v>
      </c>
    </row>
    <row r="295" spans="1:20">
      <c r="A295" s="62" t="s">
        <v>216</v>
      </c>
      <c r="B295" s="62">
        <v>2018</v>
      </c>
      <c r="C295" s="63">
        <v>18881</v>
      </c>
      <c r="D295" s="63">
        <v>5343</v>
      </c>
      <c r="E295" s="64">
        <f t="shared" si="52"/>
        <v>0.2829828928552513</v>
      </c>
      <c r="F295" s="63">
        <v>3152</v>
      </c>
      <c r="G295" s="64">
        <f t="shared" si="45"/>
        <v>0.1669403103649171</v>
      </c>
      <c r="H295" s="63">
        <v>5550</v>
      </c>
      <c r="I295" s="63">
        <v>3750</v>
      </c>
      <c r="J295" s="63">
        <f t="shared" si="55"/>
        <v>1800</v>
      </c>
      <c r="K295" s="64">
        <f t="shared" si="53"/>
        <v>9.5333933584026267E-2</v>
      </c>
      <c r="L295" s="64">
        <f>J295/J292</f>
        <v>0.79964460239893376</v>
      </c>
      <c r="M295" s="63">
        <v>2225</v>
      </c>
      <c r="N295" s="62">
        <v>450</v>
      </c>
      <c r="O295" s="63">
        <v>9204</v>
      </c>
      <c r="P295" s="65">
        <f t="shared" si="57"/>
        <v>0.19285093437635811</v>
      </c>
      <c r="Q295" s="63">
        <v>40176</v>
      </c>
      <c r="R295" s="63">
        <v>4101</v>
      </c>
      <c r="S295" s="63">
        <v>8754</v>
      </c>
      <c r="T295" s="65">
        <f t="shared" si="47"/>
        <v>0.47445178335535004</v>
      </c>
    </row>
    <row r="296" spans="1:20">
      <c r="A296" s="62" t="s">
        <v>216</v>
      </c>
      <c r="B296" s="62">
        <v>2019</v>
      </c>
      <c r="C296" s="63">
        <v>20825</v>
      </c>
      <c r="D296" s="63">
        <v>5445</v>
      </c>
      <c r="E296" s="64">
        <f t="shared" si="52"/>
        <v>0.26146458583433374</v>
      </c>
      <c r="F296" s="63">
        <v>2990</v>
      </c>
      <c r="G296" s="64">
        <f t="shared" si="45"/>
        <v>0.14357743097238895</v>
      </c>
      <c r="H296" s="63">
        <v>5476</v>
      </c>
      <c r="I296" s="63">
        <v>5429</v>
      </c>
      <c r="J296" s="63">
        <f t="shared" si="55"/>
        <v>47</v>
      </c>
      <c r="K296" s="64">
        <f t="shared" si="53"/>
        <v>2.2569027611044419E-3</v>
      </c>
      <c r="L296" s="64">
        <f>J296/J292</f>
        <v>2.0879609062638829E-2</v>
      </c>
      <c r="M296" s="63">
        <v>2059</v>
      </c>
      <c r="N296" s="62">
        <v>427</v>
      </c>
      <c r="O296" s="63">
        <v>9127</v>
      </c>
      <c r="P296" s="65">
        <f t="shared" si="57"/>
        <v>0.17881012380848033</v>
      </c>
      <c r="Q296" s="63">
        <v>42999</v>
      </c>
      <c r="R296" s="63">
        <v>4086</v>
      </c>
      <c r="S296" s="63">
        <v>10566</v>
      </c>
      <c r="T296" s="65">
        <f t="shared" si="47"/>
        <v>0.48570723887039091</v>
      </c>
    </row>
    <row r="297" spans="1:20">
      <c r="A297" s="62" t="s">
        <v>68</v>
      </c>
      <c r="B297" s="62">
        <v>2015</v>
      </c>
      <c r="C297" s="62">
        <v>205</v>
      </c>
      <c r="D297" s="62">
        <v>-11</v>
      </c>
      <c r="E297" s="64">
        <f t="shared" si="52"/>
        <v>-5.3658536585365853E-2</v>
      </c>
      <c r="F297" s="62">
        <v>-19</v>
      </c>
      <c r="G297" s="64">
        <f t="shared" si="45"/>
        <v>-9.2682926829268292E-2</v>
      </c>
      <c r="H297" s="63">
        <v>16</v>
      </c>
      <c r="I297" s="63">
        <v>17</v>
      </c>
      <c r="J297" s="63">
        <f t="shared" si="55"/>
        <v>-1</v>
      </c>
      <c r="K297" s="64">
        <f t="shared" si="53"/>
        <v>-4.8780487804878049E-3</v>
      </c>
      <c r="L297" s="64">
        <f>J297/ABS(J297)</f>
        <v>-1</v>
      </c>
      <c r="M297" s="62">
        <v>202</v>
      </c>
      <c r="N297" s="62">
        <v>0</v>
      </c>
      <c r="O297" s="62">
        <v>37</v>
      </c>
      <c r="P297" s="65">
        <f t="shared" si="57"/>
        <v>5.4594594594594597</v>
      </c>
      <c r="Q297" s="62">
        <v>41</v>
      </c>
      <c r="R297" s="62">
        <v>8</v>
      </c>
      <c r="S297" s="62">
        <v>11</v>
      </c>
      <c r="T297" s="65">
        <f t="shared" si="47"/>
        <v>0.20425531914893616</v>
      </c>
    </row>
    <row r="298" spans="1:20">
      <c r="A298" s="62" t="s">
        <v>68</v>
      </c>
      <c r="B298" s="62">
        <v>2016</v>
      </c>
      <c r="C298" s="62">
        <v>389</v>
      </c>
      <c r="D298" s="62">
        <v>-23</v>
      </c>
      <c r="E298" s="64">
        <f t="shared" si="52"/>
        <v>-5.9125964010282778E-2</v>
      </c>
      <c r="F298" s="62">
        <v>-35</v>
      </c>
      <c r="G298" s="64">
        <f t="shared" si="45"/>
        <v>-8.9974293059125965E-2</v>
      </c>
      <c r="H298" s="63">
        <v>14</v>
      </c>
      <c r="I298" s="63">
        <v>24</v>
      </c>
      <c r="J298" s="63">
        <f t="shared" si="55"/>
        <v>-10</v>
      </c>
      <c r="K298" s="64">
        <f t="shared" si="53"/>
        <v>-2.570694087403599E-2</v>
      </c>
      <c r="L298" s="64">
        <f>J298/ABS(J297)</f>
        <v>-10</v>
      </c>
      <c r="M298" s="62">
        <v>423</v>
      </c>
      <c r="N298" s="62">
        <v>0</v>
      </c>
      <c r="O298" s="62">
        <v>67</v>
      </c>
      <c r="P298" s="65">
        <f t="shared" si="57"/>
        <v>6.3134328358208958</v>
      </c>
      <c r="Q298" s="62">
        <v>68</v>
      </c>
      <c r="R298" s="62">
        <v>22</v>
      </c>
      <c r="S298" s="62">
        <v>14</v>
      </c>
      <c r="T298" s="65">
        <f t="shared" si="47"/>
        <v>0.17270788912579957</v>
      </c>
    </row>
    <row r="299" spans="1:20">
      <c r="A299" s="62" t="s">
        <v>68</v>
      </c>
      <c r="B299" s="62">
        <v>2017</v>
      </c>
      <c r="C299" s="62">
        <v>673</v>
      </c>
      <c r="D299" s="62">
        <v>-26</v>
      </c>
      <c r="E299" s="64">
        <f t="shared" si="52"/>
        <v>-3.8632986627043092E-2</v>
      </c>
      <c r="F299" s="63">
        <v>-40</v>
      </c>
      <c r="G299" s="64">
        <f t="shared" si="45"/>
        <v>-5.9435364041604752E-2</v>
      </c>
      <c r="H299" s="63">
        <v>8</v>
      </c>
      <c r="I299" s="63">
        <v>20</v>
      </c>
      <c r="J299" s="63">
        <f t="shared" si="55"/>
        <v>-12</v>
      </c>
      <c r="K299" s="64">
        <f t="shared" si="53"/>
        <v>-1.7830609212481426E-2</v>
      </c>
      <c r="L299" s="64">
        <f>J299/ABS(J297)</f>
        <v>-12</v>
      </c>
      <c r="M299" s="63">
        <v>1026</v>
      </c>
      <c r="N299" s="62">
        <v>0</v>
      </c>
      <c r="O299" s="62">
        <v>95</v>
      </c>
      <c r="P299" s="65">
        <f t="shared" si="57"/>
        <v>10.8</v>
      </c>
      <c r="Q299" s="62">
        <v>88</v>
      </c>
      <c r="R299" s="62">
        <v>38</v>
      </c>
      <c r="S299" s="62">
        <v>18</v>
      </c>
      <c r="T299" s="65">
        <f t="shared" si="47"/>
        <v>0.1050185873605948</v>
      </c>
    </row>
    <row r="300" spans="1:20">
      <c r="A300" s="62" t="s">
        <v>68</v>
      </c>
      <c r="B300" s="62">
        <v>2018</v>
      </c>
      <c r="C300" s="63">
        <v>1073</v>
      </c>
      <c r="D300" s="62">
        <v>-65</v>
      </c>
      <c r="E300" s="64">
        <f t="shared" si="52"/>
        <v>-6.0577819198508853E-2</v>
      </c>
      <c r="F300" s="63">
        <v>-65</v>
      </c>
      <c r="G300" s="64">
        <f t="shared" si="45"/>
        <v>-6.0577819198508853E-2</v>
      </c>
      <c r="H300" s="63">
        <v>9</v>
      </c>
      <c r="I300" s="63">
        <v>28</v>
      </c>
      <c r="J300" s="63">
        <f t="shared" si="55"/>
        <v>-19</v>
      </c>
      <c r="K300" s="64">
        <f t="shared" si="53"/>
        <v>-1.7707362534948742E-2</v>
      </c>
      <c r="L300" s="64">
        <f>J300/ABS(J297)</f>
        <v>-19</v>
      </c>
      <c r="M300" s="63">
        <v>2129</v>
      </c>
      <c r="N300" s="62">
        <v>0</v>
      </c>
      <c r="O300" s="62">
        <v>139</v>
      </c>
      <c r="P300" s="65">
        <f t="shared" si="57"/>
        <v>15.316546762589928</v>
      </c>
      <c r="Q300" s="62">
        <v>126</v>
      </c>
      <c r="R300" s="62">
        <v>64</v>
      </c>
      <c r="S300" s="62">
        <v>25</v>
      </c>
      <c r="T300" s="65">
        <f t="shared" si="47"/>
        <v>7.4851665905979012E-2</v>
      </c>
    </row>
    <row r="301" spans="1:20">
      <c r="A301" s="62" t="s">
        <v>68</v>
      </c>
      <c r="B301" s="62">
        <v>2019</v>
      </c>
      <c r="C301" s="63">
        <v>1578</v>
      </c>
      <c r="D301" s="62">
        <v>-105</v>
      </c>
      <c r="E301" s="64">
        <f t="shared" si="52"/>
        <v>-6.6539923954372623E-2</v>
      </c>
      <c r="F301" s="63">
        <v>-125</v>
      </c>
      <c r="G301" s="64">
        <f t="shared" ref="G301" si="58">F301/C301</f>
        <v>-7.9214195183776939E-2</v>
      </c>
      <c r="H301" s="63">
        <v>71</v>
      </c>
      <c r="I301" s="63">
        <v>57</v>
      </c>
      <c r="J301" s="63">
        <f t="shared" si="55"/>
        <v>14</v>
      </c>
      <c r="K301" s="64">
        <f t="shared" si="53"/>
        <v>8.8719898605830166E-3</v>
      </c>
      <c r="L301" s="64">
        <f>J301/ABS(J297)</f>
        <v>14</v>
      </c>
      <c r="M301" s="63">
        <v>2745</v>
      </c>
      <c r="N301" s="62">
        <v>0</v>
      </c>
      <c r="O301" s="62">
        <v>316</v>
      </c>
      <c r="P301" s="65">
        <f t="shared" si="57"/>
        <v>8.6867088607594933</v>
      </c>
      <c r="Q301" s="62">
        <v>745</v>
      </c>
      <c r="R301" s="62">
        <v>479</v>
      </c>
      <c r="S301" s="62">
        <v>157</v>
      </c>
      <c r="T301" s="65">
        <f t="shared" si="47"/>
        <v>0.15709066755230822</v>
      </c>
    </row>
    <row r="302" spans="1:20">
      <c r="A302" s="62" t="s">
        <v>229</v>
      </c>
      <c r="B302" s="62">
        <v>2015</v>
      </c>
      <c r="C302" s="63">
        <v>16192</v>
      </c>
      <c r="D302" s="63">
        <v>5623</v>
      </c>
      <c r="E302" s="64">
        <f t="shared" si="52"/>
        <v>0.34727025691699603</v>
      </c>
      <c r="F302" s="63">
        <v>2899</v>
      </c>
      <c r="G302" s="64">
        <f>F302/C302</f>
        <v>0.17903903162055335</v>
      </c>
      <c r="H302" s="63">
        <v>5208</v>
      </c>
      <c r="I302" s="63">
        <v>4021</v>
      </c>
      <c r="J302" s="63">
        <f>H302-I302</f>
        <v>1187</v>
      </c>
      <c r="K302" s="64">
        <f>J302/C302</f>
        <v>7.3307806324110672E-2</v>
      </c>
      <c r="L302" s="64">
        <f>J302/J302</f>
        <v>1</v>
      </c>
      <c r="M302" s="63">
        <v>8596</v>
      </c>
      <c r="N302" s="63">
        <v>2340</v>
      </c>
      <c r="O302" s="63">
        <v>3905</v>
      </c>
      <c r="P302" s="62">
        <f>(M302-N302)/O302</f>
        <v>1.6020486555697824</v>
      </c>
      <c r="Q302" s="63">
        <v>15547</v>
      </c>
      <c r="R302" s="62">
        <v>449</v>
      </c>
      <c r="S302" s="63">
        <v>6950</v>
      </c>
      <c r="T302" s="65">
        <f>(O302+S302)/(M302+Q302-N302-R302)</f>
        <v>0.50833567481502295</v>
      </c>
    </row>
    <row r="303" spans="1:20">
      <c r="A303" s="62" t="s">
        <v>229</v>
      </c>
      <c r="B303" s="62">
        <v>2016</v>
      </c>
      <c r="C303" s="63">
        <v>12399</v>
      </c>
      <c r="D303" s="63">
        <v>3212</v>
      </c>
      <c r="E303" s="64">
        <f t="shared" si="52"/>
        <v>0.2590531494475361</v>
      </c>
      <c r="F303" s="62">
        <v>-276</v>
      </c>
      <c r="G303" s="64">
        <f t="shared" ref="G303:G326" si="59">F303/C303</f>
        <v>-2.2259859666102104E-2</v>
      </c>
      <c r="H303" s="63">
        <v>3168</v>
      </c>
      <c r="I303" s="63">
        <v>5817</v>
      </c>
      <c r="J303" s="63">
        <f t="shared" ref="J303:J351" si="60">H303-I303</f>
        <v>-2649</v>
      </c>
      <c r="K303" s="64">
        <f t="shared" ref="K303:K326" si="61">J303/C303</f>
        <v>-0.21364626179530607</v>
      </c>
      <c r="L303" s="64">
        <f>J303/J302</f>
        <v>-2.2316764953664703</v>
      </c>
      <c r="M303" s="63">
        <v>9495</v>
      </c>
      <c r="N303" s="63">
        <v>2889</v>
      </c>
      <c r="O303" s="63">
        <v>4835</v>
      </c>
      <c r="P303" s="62">
        <f t="shared" ref="P303:P351" si="62">(M303-N303)/O303</f>
        <v>1.366287487073423</v>
      </c>
      <c r="Q303" s="63">
        <v>18045</v>
      </c>
      <c r="R303" s="62">
        <v>568</v>
      </c>
      <c r="S303" s="63">
        <v>9777</v>
      </c>
      <c r="T303" s="65">
        <f t="shared" ref="T303:T326" si="63">(O303+S303)/(M303+Q303-N303-R303)</f>
        <v>0.60673504131545075</v>
      </c>
    </row>
    <row r="304" spans="1:20">
      <c r="A304" s="62" t="s">
        <v>229</v>
      </c>
      <c r="B304" s="62">
        <v>2017</v>
      </c>
      <c r="C304" s="63">
        <v>20322</v>
      </c>
      <c r="D304" s="63">
        <v>9855</v>
      </c>
      <c r="E304" s="64">
        <f t="shared" si="52"/>
        <v>0.48494242692648359</v>
      </c>
      <c r="F304" s="63">
        <v>5089</v>
      </c>
      <c r="G304" s="64">
        <f t="shared" si="59"/>
        <v>0.2504182659187088</v>
      </c>
      <c r="H304" s="63">
        <v>8153</v>
      </c>
      <c r="I304" s="63">
        <v>4734</v>
      </c>
      <c r="J304" s="63">
        <f t="shared" si="60"/>
        <v>3419</v>
      </c>
      <c r="K304" s="64">
        <f t="shared" si="61"/>
        <v>0.1682413148312174</v>
      </c>
      <c r="L304" s="64">
        <f>J304/J302</f>
        <v>2.8803706823925865</v>
      </c>
      <c r="M304" s="63">
        <v>12457</v>
      </c>
      <c r="N304" s="63">
        <v>3123</v>
      </c>
      <c r="O304" s="63">
        <v>5334</v>
      </c>
      <c r="P304" s="62">
        <f t="shared" si="62"/>
        <v>1.7499062617172854</v>
      </c>
      <c r="Q304" s="63">
        <v>22879</v>
      </c>
      <c r="R304" s="63">
        <v>1615</v>
      </c>
      <c r="S304" s="63">
        <v>10511</v>
      </c>
      <c r="T304" s="65">
        <f t="shared" si="63"/>
        <v>0.51784430354925159</v>
      </c>
    </row>
    <row r="305" spans="1:20">
      <c r="A305" s="62" t="s">
        <v>229</v>
      </c>
      <c r="B305" s="62">
        <v>2018</v>
      </c>
      <c r="C305" s="63">
        <v>30391</v>
      </c>
      <c r="D305" s="63">
        <v>19597</v>
      </c>
      <c r="E305" s="64">
        <f t="shared" si="52"/>
        <v>0.64482906123523409</v>
      </c>
      <c r="F305" s="63">
        <v>14135</v>
      </c>
      <c r="G305" s="64">
        <f t="shared" si="59"/>
        <v>0.4651048007633839</v>
      </c>
      <c r="H305" s="63">
        <v>17400</v>
      </c>
      <c r="I305" s="63">
        <v>8879</v>
      </c>
      <c r="J305" s="63">
        <f t="shared" si="60"/>
        <v>8521</v>
      </c>
      <c r="K305" s="64">
        <f t="shared" si="61"/>
        <v>0.28037905959001019</v>
      </c>
      <c r="L305" s="64">
        <f>J305/J302</f>
        <v>7.1786015164279693</v>
      </c>
      <c r="M305" s="63">
        <v>16039</v>
      </c>
      <c r="N305" s="63">
        <v>3595</v>
      </c>
      <c r="O305" s="63">
        <v>5754</v>
      </c>
      <c r="P305" s="62">
        <f t="shared" si="62"/>
        <v>2.16266944734098</v>
      </c>
      <c r="Q305" s="63">
        <v>27337</v>
      </c>
      <c r="R305" s="63">
        <v>1559</v>
      </c>
      <c r="S305" s="63">
        <v>4358</v>
      </c>
      <c r="T305" s="65">
        <f t="shared" si="63"/>
        <v>0.26455967767254462</v>
      </c>
    </row>
    <row r="306" spans="1:20">
      <c r="A306" s="62" t="s">
        <v>229</v>
      </c>
      <c r="B306" s="62">
        <v>2019</v>
      </c>
      <c r="C306" s="63">
        <v>23406</v>
      </c>
      <c r="D306" s="63">
        <v>12765</v>
      </c>
      <c r="E306" s="64">
        <f t="shared" si="52"/>
        <v>0.54537298128684952</v>
      </c>
      <c r="F306" s="63">
        <v>6313</v>
      </c>
      <c r="G306" s="64">
        <f t="shared" si="59"/>
        <v>0.26971716653849442</v>
      </c>
      <c r="H306" s="63">
        <v>13189</v>
      </c>
      <c r="I306" s="63">
        <v>9780</v>
      </c>
      <c r="J306" s="63">
        <f t="shared" si="60"/>
        <v>3409</v>
      </c>
      <c r="K306" s="64">
        <f t="shared" si="61"/>
        <v>0.14564641544903018</v>
      </c>
      <c r="L306" s="64">
        <f>J306/J302</f>
        <v>2.8719460825610783</v>
      </c>
      <c r="M306" s="63">
        <v>16503</v>
      </c>
      <c r="N306" s="63">
        <v>5118</v>
      </c>
      <c r="O306" s="63">
        <v>6390</v>
      </c>
      <c r="P306" s="62">
        <f t="shared" si="62"/>
        <v>1.7816901408450705</v>
      </c>
      <c r="Q306" s="63">
        <v>32384</v>
      </c>
      <c r="R306" s="63">
        <v>1568</v>
      </c>
      <c r="S306" s="63">
        <v>5629</v>
      </c>
      <c r="T306" s="65">
        <f t="shared" si="63"/>
        <v>0.28480367763797065</v>
      </c>
    </row>
    <row r="307" spans="1:20">
      <c r="A307" s="62" t="s">
        <v>180</v>
      </c>
      <c r="B307" s="62">
        <v>2015</v>
      </c>
      <c r="C307" s="63">
        <v>96114</v>
      </c>
      <c r="D307" s="63">
        <v>8815</v>
      </c>
      <c r="E307" s="64">
        <f t="shared" si="52"/>
        <v>9.1714006284204175E-2</v>
      </c>
      <c r="F307" s="63">
        <v>5172</v>
      </c>
      <c r="G307" s="64">
        <f t="shared" si="59"/>
        <v>5.3811099319558027E-2</v>
      </c>
      <c r="H307" s="63">
        <v>9363</v>
      </c>
      <c r="I307" s="63">
        <v>2450</v>
      </c>
      <c r="J307" s="63">
        <f t="shared" si="60"/>
        <v>6913</v>
      </c>
      <c r="K307" s="64">
        <f t="shared" si="61"/>
        <v>7.1925005722371357E-2</v>
      </c>
      <c r="L307" s="64">
        <f>J307/J307</f>
        <v>1</v>
      </c>
      <c r="M307" s="63">
        <v>68234</v>
      </c>
      <c r="N307" s="63">
        <v>47257</v>
      </c>
      <c r="O307" s="63">
        <v>50412</v>
      </c>
      <c r="P307" s="62">
        <f t="shared" si="62"/>
        <v>0.4161112433547568</v>
      </c>
      <c r="Q307" s="63">
        <v>26174</v>
      </c>
      <c r="R307" s="63">
        <v>7783</v>
      </c>
      <c r="S307" s="63">
        <v>37599</v>
      </c>
      <c r="T307" s="65">
        <f t="shared" si="63"/>
        <v>2.2355974395448079</v>
      </c>
    </row>
    <row r="308" spans="1:20">
      <c r="A308" s="62" t="s">
        <v>180</v>
      </c>
      <c r="B308" s="62">
        <v>2016</v>
      </c>
      <c r="C308" s="63">
        <v>94571</v>
      </c>
      <c r="D308" s="63">
        <v>8470</v>
      </c>
      <c r="E308" s="64">
        <f t="shared" si="52"/>
        <v>8.9562339406371927E-2</v>
      </c>
      <c r="F308" s="63">
        <v>4892</v>
      </c>
      <c r="G308" s="64">
        <f t="shared" si="59"/>
        <v>5.1728331095156017E-2</v>
      </c>
      <c r="H308" s="63">
        <v>10499</v>
      </c>
      <c r="I308" s="63">
        <v>2613</v>
      </c>
      <c r="J308" s="63">
        <f t="shared" si="60"/>
        <v>7886</v>
      </c>
      <c r="K308" s="64">
        <f t="shared" si="61"/>
        <v>8.3387084835731887E-2</v>
      </c>
      <c r="L308" s="64">
        <f>J308/J307</f>
        <v>1.1407493128887602</v>
      </c>
      <c r="M308" s="63">
        <v>62488</v>
      </c>
      <c r="N308" s="63">
        <v>43199</v>
      </c>
      <c r="O308" s="63">
        <v>50134</v>
      </c>
      <c r="P308" s="62">
        <f t="shared" si="62"/>
        <v>0.38474887302030558</v>
      </c>
      <c r="Q308" s="63">
        <v>27509</v>
      </c>
      <c r="R308" s="63">
        <v>7864</v>
      </c>
      <c r="S308" s="63">
        <v>38986</v>
      </c>
      <c r="T308" s="65">
        <f t="shared" si="63"/>
        <v>2.2890019006523863</v>
      </c>
    </row>
    <row r="309" spans="1:20">
      <c r="A309" s="62" t="s">
        <v>180</v>
      </c>
      <c r="B309" s="62">
        <v>2017</v>
      </c>
      <c r="C309" s="63">
        <v>93392</v>
      </c>
      <c r="D309" s="63">
        <v>11911</v>
      </c>
      <c r="E309" s="64">
        <f t="shared" si="52"/>
        <v>0.12753769059448347</v>
      </c>
      <c r="F309" s="63">
        <v>8191</v>
      </c>
      <c r="G309" s="64">
        <f t="shared" si="59"/>
        <v>8.7705585060818908E-2</v>
      </c>
      <c r="H309" s="63">
        <v>13344</v>
      </c>
      <c r="I309" s="63">
        <v>1739</v>
      </c>
      <c r="J309" s="63">
        <f t="shared" si="60"/>
        <v>11605</v>
      </c>
      <c r="K309" s="64">
        <f t="shared" si="61"/>
        <v>0.12426117868768202</v>
      </c>
      <c r="L309" s="64">
        <f>J309/J307</f>
        <v>1.6787212498191812</v>
      </c>
      <c r="M309" s="63">
        <v>65161</v>
      </c>
      <c r="N309" s="63">
        <v>44344</v>
      </c>
      <c r="O309" s="63">
        <v>56269</v>
      </c>
      <c r="P309" s="62">
        <f t="shared" si="62"/>
        <v>0.36995503740958607</v>
      </c>
      <c r="Q309" s="63">
        <v>27172</v>
      </c>
      <c r="R309" s="63">
        <v>8132</v>
      </c>
      <c r="S309" s="63">
        <v>35652</v>
      </c>
      <c r="T309" s="65">
        <f t="shared" si="63"/>
        <v>2.3062699149459318</v>
      </c>
    </row>
    <row r="310" spans="1:20">
      <c r="A310" s="62" t="s">
        <v>180</v>
      </c>
      <c r="B310" s="62">
        <v>2018</v>
      </c>
      <c r="C310" s="63">
        <v>101127</v>
      </c>
      <c r="D310" s="63">
        <v>13698</v>
      </c>
      <c r="E310" s="64">
        <f t="shared" si="52"/>
        <v>0.1354534397341956</v>
      </c>
      <c r="F310" s="63">
        <v>10453</v>
      </c>
      <c r="G310" s="64">
        <f t="shared" si="59"/>
        <v>0.10336507559801042</v>
      </c>
      <c r="H310" s="63">
        <v>15322</v>
      </c>
      <c r="I310" s="63">
        <v>1722</v>
      </c>
      <c r="J310" s="63">
        <f t="shared" si="60"/>
        <v>13600</v>
      </c>
      <c r="K310" s="64">
        <f t="shared" si="61"/>
        <v>0.13448436124872684</v>
      </c>
      <c r="L310" s="64">
        <f>J310/J307</f>
        <v>1.9673079704903804</v>
      </c>
      <c r="M310" s="63">
        <v>87830</v>
      </c>
      <c r="N310" s="63">
        <v>62567</v>
      </c>
      <c r="O310" s="63">
        <v>81590</v>
      </c>
      <c r="P310" s="62">
        <f t="shared" si="62"/>
        <v>0.30963353352126488</v>
      </c>
      <c r="Q310" s="63">
        <v>29529</v>
      </c>
      <c r="R310" s="63">
        <v>11269</v>
      </c>
      <c r="S310" s="63">
        <v>35359</v>
      </c>
      <c r="T310" s="65">
        <f t="shared" si="63"/>
        <v>2.6870620131884291</v>
      </c>
    </row>
    <row r="311" spans="1:20">
      <c r="A311" s="62" t="s">
        <v>180</v>
      </c>
      <c r="B311" s="62">
        <v>2019</v>
      </c>
      <c r="C311" s="63">
        <v>84818</v>
      </c>
      <c r="D311" s="63">
        <v>7850</v>
      </c>
      <c r="E311" s="64">
        <f t="shared" si="52"/>
        <v>9.2551109434318185E-2</v>
      </c>
      <c r="F311" s="62">
        <v>-636</v>
      </c>
      <c r="G311" s="64">
        <f t="shared" si="59"/>
        <v>-7.498408356716735E-3</v>
      </c>
      <c r="H311" s="63">
        <v>-2446</v>
      </c>
      <c r="I311" s="63">
        <v>1834</v>
      </c>
      <c r="J311" s="63">
        <f t="shared" si="60"/>
        <v>-4280</v>
      </c>
      <c r="K311" s="64">
        <f t="shared" si="61"/>
        <v>-5.0460987054634629E-2</v>
      </c>
      <c r="L311" s="64">
        <f t="shared" ref="L311:L316" si="64">J311/J307</f>
        <v>-0.61912339071314915</v>
      </c>
      <c r="M311" s="63">
        <v>102229</v>
      </c>
      <c r="N311" s="63">
        <v>76622</v>
      </c>
      <c r="O311" s="63">
        <v>97312</v>
      </c>
      <c r="P311" s="62">
        <f t="shared" si="62"/>
        <v>0.26314329168036832</v>
      </c>
      <c r="Q311" s="63">
        <v>31396</v>
      </c>
      <c r="R311" s="63">
        <v>11398</v>
      </c>
      <c r="S311" s="63">
        <v>44613</v>
      </c>
      <c r="T311" s="65">
        <f t="shared" si="63"/>
        <v>3.1120491174213352</v>
      </c>
    </row>
    <row r="312" spans="1:20">
      <c r="A312" s="62" t="s">
        <v>377</v>
      </c>
      <c r="B312" s="62">
        <v>2015</v>
      </c>
      <c r="C312" s="63">
        <v>115158</v>
      </c>
      <c r="D312" s="63">
        <v>16591</v>
      </c>
      <c r="E312" s="64">
        <f t="shared" si="52"/>
        <v>0.1440716233348964</v>
      </c>
      <c r="F312" s="63">
        <v>-6135</v>
      </c>
      <c r="G312" s="64">
        <f t="shared" si="59"/>
        <v>-5.3274631376022508E-2</v>
      </c>
      <c r="H312" s="63">
        <v>19891</v>
      </c>
      <c r="I312" s="63">
        <v>7309</v>
      </c>
      <c r="J312" s="63">
        <f t="shared" si="60"/>
        <v>12582</v>
      </c>
      <c r="K312" s="64">
        <f t="shared" si="61"/>
        <v>0.10925858385869848</v>
      </c>
      <c r="L312" s="64">
        <f>J312/J312</f>
        <v>1</v>
      </c>
      <c r="M312" s="63">
        <v>151550</v>
      </c>
      <c r="N312" s="63">
        <v>22515</v>
      </c>
      <c r="O312" s="63">
        <v>128963</v>
      </c>
      <c r="P312" s="62">
        <f t="shared" si="62"/>
        <v>1.0005582996673466</v>
      </c>
      <c r="Q312" s="63">
        <v>492692</v>
      </c>
      <c r="R312" s="63">
        <v>82270</v>
      </c>
      <c r="S312" s="63">
        <v>260619</v>
      </c>
      <c r="T312" s="65">
        <f t="shared" si="63"/>
        <v>0.72217433456234692</v>
      </c>
    </row>
    <row r="313" spans="1:20">
      <c r="A313" s="62" t="s">
        <v>377</v>
      </c>
      <c r="B313" s="62">
        <v>2016</v>
      </c>
      <c r="C313" s="63">
        <v>119688</v>
      </c>
      <c r="D313" s="63">
        <v>20460</v>
      </c>
      <c r="E313" s="64">
        <f t="shared" si="52"/>
        <v>0.17094445558451976</v>
      </c>
      <c r="F313" s="63">
        <v>8163</v>
      </c>
      <c r="G313" s="64">
        <f t="shared" si="59"/>
        <v>6.8202326047724082E-2</v>
      </c>
      <c r="H313" s="62">
        <v>-244</v>
      </c>
      <c r="I313" s="63">
        <v>7199</v>
      </c>
      <c r="J313" s="63">
        <f t="shared" si="60"/>
        <v>-7443</v>
      </c>
      <c r="K313" s="64">
        <f t="shared" si="61"/>
        <v>-6.2186685381993186E-2</v>
      </c>
      <c r="L313" s="64">
        <f>J313/J312</f>
        <v>-0.59155937052932761</v>
      </c>
      <c r="M313" s="63">
        <v>121525</v>
      </c>
      <c r="N313" s="63">
        <v>22354</v>
      </c>
      <c r="O313" s="63">
        <v>103454</v>
      </c>
      <c r="P313" s="62">
        <f t="shared" si="62"/>
        <v>0.95859995746902005</v>
      </c>
      <c r="Q313" s="63">
        <v>365183</v>
      </c>
      <c r="R313" s="63">
        <v>86875</v>
      </c>
      <c r="S313" s="63">
        <v>181213</v>
      </c>
      <c r="T313" s="65">
        <f t="shared" si="63"/>
        <v>0.75412671963208544</v>
      </c>
    </row>
    <row r="314" spans="1:20">
      <c r="A314" s="62" t="s">
        <v>377</v>
      </c>
      <c r="B314" s="62">
        <v>2017</v>
      </c>
      <c r="C314" s="63">
        <v>120468</v>
      </c>
      <c r="D314" s="63">
        <v>18012</v>
      </c>
      <c r="E314" s="64">
        <f t="shared" si="52"/>
        <v>0.14951688415180794</v>
      </c>
      <c r="F314" s="63">
        <v>-6246</v>
      </c>
      <c r="G314" s="64">
        <f t="shared" si="59"/>
        <v>-5.1847793604940733E-2</v>
      </c>
      <c r="H314" s="63">
        <v>10426</v>
      </c>
      <c r="I314" s="63">
        <v>7371</v>
      </c>
      <c r="J314" s="63">
        <f t="shared" si="60"/>
        <v>3055</v>
      </c>
      <c r="K314" s="64">
        <f t="shared" si="61"/>
        <v>2.5359431550287213E-2</v>
      </c>
      <c r="L314" s="64">
        <f>J314/J312</f>
        <v>0.24280718486727071</v>
      </c>
      <c r="M314" s="63">
        <v>112645</v>
      </c>
      <c r="N314" s="63">
        <v>21923</v>
      </c>
      <c r="O314" s="63">
        <v>111142</v>
      </c>
      <c r="P314" s="62">
        <f t="shared" si="62"/>
        <v>0.81627107664069387</v>
      </c>
      <c r="Q314" s="63">
        <v>377945</v>
      </c>
      <c r="R314" s="63">
        <v>104242</v>
      </c>
      <c r="S314" s="63">
        <v>181418</v>
      </c>
      <c r="T314" s="65">
        <f t="shared" si="63"/>
        <v>0.8027989298209508</v>
      </c>
    </row>
    <row r="315" spans="1:20">
      <c r="A315" s="62" t="s">
        <v>377</v>
      </c>
      <c r="B315" s="62">
        <v>2018</v>
      </c>
      <c r="C315" s="63">
        <v>121615</v>
      </c>
      <c r="D315" s="63">
        <v>19767</v>
      </c>
      <c r="E315" s="64">
        <f t="shared" si="52"/>
        <v>0.16253751593142293</v>
      </c>
      <c r="F315" s="63">
        <v>-22809</v>
      </c>
      <c r="G315" s="64">
        <f t="shared" si="59"/>
        <v>-0.18755087777001192</v>
      </c>
      <c r="H315" s="63">
        <v>4246</v>
      </c>
      <c r="I315" s="63">
        <v>7695</v>
      </c>
      <c r="J315" s="63">
        <f t="shared" si="60"/>
        <v>-3449</v>
      </c>
      <c r="K315" s="64">
        <f t="shared" si="61"/>
        <v>-2.8359988488262138E-2</v>
      </c>
      <c r="L315" s="64">
        <f>J315/J312</f>
        <v>-0.27412176124622478</v>
      </c>
      <c r="M315" s="63">
        <v>88618</v>
      </c>
      <c r="N315" s="63">
        <v>19271</v>
      </c>
      <c r="O315" s="63">
        <v>97890</v>
      </c>
      <c r="P315" s="62">
        <f t="shared" si="62"/>
        <v>0.70841761160486261</v>
      </c>
      <c r="Q315" s="63">
        <v>309129</v>
      </c>
      <c r="R315" s="63">
        <v>77772</v>
      </c>
      <c r="S315" s="63">
        <v>159376</v>
      </c>
      <c r="T315" s="65">
        <f t="shared" si="63"/>
        <v>0.8555456528679366</v>
      </c>
    </row>
    <row r="316" spans="1:20">
      <c r="A316" s="62" t="s">
        <v>377</v>
      </c>
      <c r="B316" s="62">
        <v>2019</v>
      </c>
      <c r="C316" s="63">
        <v>95214</v>
      </c>
      <c r="D316" s="63">
        <v>14497</v>
      </c>
      <c r="E316" s="64">
        <f t="shared" si="52"/>
        <v>0.15225702102631966</v>
      </c>
      <c r="F316" s="63">
        <v>-5440</v>
      </c>
      <c r="G316" s="64">
        <f t="shared" si="59"/>
        <v>-5.7134455017119334E-2</v>
      </c>
      <c r="H316" s="63">
        <v>8772</v>
      </c>
      <c r="I316" s="63">
        <v>5813</v>
      </c>
      <c r="J316" s="63">
        <f t="shared" si="60"/>
        <v>2959</v>
      </c>
      <c r="K316" s="64">
        <f t="shared" si="61"/>
        <v>3.1077362572730902E-2</v>
      </c>
      <c r="L316" s="64">
        <f t="shared" si="64"/>
        <v>0.23517723732316007</v>
      </c>
      <c r="M316" s="63">
        <v>78789</v>
      </c>
      <c r="N316" s="63">
        <v>14104</v>
      </c>
      <c r="O316" s="63">
        <v>110123</v>
      </c>
      <c r="P316" s="62">
        <f t="shared" si="62"/>
        <v>0.58738864723990447</v>
      </c>
      <c r="Q316" s="63">
        <v>266048</v>
      </c>
      <c r="R316" s="63">
        <v>37387</v>
      </c>
      <c r="S316" s="63">
        <v>125625</v>
      </c>
      <c r="T316" s="65">
        <f t="shared" si="63"/>
        <v>0.80365166049647851</v>
      </c>
    </row>
    <row r="317" spans="1:20">
      <c r="A317" s="62" t="s">
        <v>302</v>
      </c>
      <c r="B317" s="62">
        <v>2015</v>
      </c>
      <c r="C317" s="63">
        <v>30274</v>
      </c>
      <c r="D317" s="63">
        <v>8495</v>
      </c>
      <c r="E317" s="64">
        <f t="shared" si="52"/>
        <v>0.28060381845808285</v>
      </c>
      <c r="F317" s="63">
        <v>4833</v>
      </c>
      <c r="G317" s="64">
        <f t="shared" si="59"/>
        <v>0.15964193697562265</v>
      </c>
      <c r="H317" s="63">
        <v>6420</v>
      </c>
      <c r="I317" s="63">
        <v>1461</v>
      </c>
      <c r="J317" s="63">
        <f t="shared" si="60"/>
        <v>4959</v>
      </c>
      <c r="K317" s="64">
        <f t="shared" si="61"/>
        <v>0.16380392415934467</v>
      </c>
      <c r="L317" s="64">
        <f>J317/J317</f>
        <v>1</v>
      </c>
      <c r="M317" s="63">
        <v>10986</v>
      </c>
      <c r="N317" s="63">
        <v>3518</v>
      </c>
      <c r="O317" s="63">
        <v>7118</v>
      </c>
      <c r="P317" s="62">
        <f t="shared" si="62"/>
        <v>1.049171115481877</v>
      </c>
      <c r="Q317" s="63">
        <v>21732</v>
      </c>
      <c r="R317" s="63">
        <v>11850</v>
      </c>
      <c r="S317" s="63">
        <v>13853</v>
      </c>
      <c r="T317" s="65">
        <f t="shared" si="63"/>
        <v>1.2087031700288184</v>
      </c>
    </row>
    <row r="318" spans="1:20">
      <c r="A318" s="62" t="s">
        <v>302</v>
      </c>
      <c r="B318" s="62">
        <v>2016</v>
      </c>
      <c r="C318" s="63">
        <v>30109</v>
      </c>
      <c r="D318" s="63">
        <v>8697</v>
      </c>
      <c r="E318" s="64">
        <f t="shared" si="52"/>
        <v>0.28885050981434124</v>
      </c>
      <c r="F318" s="63">
        <v>5050</v>
      </c>
      <c r="G318" s="64">
        <f t="shared" si="59"/>
        <v>0.16772393636454216</v>
      </c>
      <c r="H318" s="63">
        <v>6662</v>
      </c>
      <c r="I318" s="63">
        <v>1420</v>
      </c>
      <c r="J318" s="63">
        <f t="shared" si="60"/>
        <v>5242</v>
      </c>
      <c r="K318" s="64">
        <f t="shared" si="61"/>
        <v>0.1741007672124614</v>
      </c>
      <c r="L318" s="64">
        <f>J318/J317</f>
        <v>1.0570679572494455</v>
      </c>
      <c r="M318" s="63">
        <v>11726</v>
      </c>
      <c r="N318" s="63">
        <v>3385</v>
      </c>
      <c r="O318" s="63">
        <v>6219</v>
      </c>
      <c r="P318" s="62">
        <f t="shared" si="62"/>
        <v>1.3412124135713137</v>
      </c>
      <c r="Q318" s="63">
        <v>21180</v>
      </c>
      <c r="R318" s="63">
        <v>11486</v>
      </c>
      <c r="S318" s="63">
        <v>16344</v>
      </c>
      <c r="T318" s="65">
        <f t="shared" si="63"/>
        <v>1.2510673690047132</v>
      </c>
    </row>
    <row r="319" spans="1:20">
      <c r="A319" s="62" t="s">
        <v>302</v>
      </c>
      <c r="B319" s="62">
        <v>2017</v>
      </c>
      <c r="C319" s="63">
        <v>31657</v>
      </c>
      <c r="D319" s="63">
        <v>8877</v>
      </c>
      <c r="E319" s="64">
        <f t="shared" si="52"/>
        <v>0.28041191521622388</v>
      </c>
      <c r="F319" s="63">
        <v>4858</v>
      </c>
      <c r="G319" s="64">
        <f t="shared" si="59"/>
        <v>0.15345737119752345</v>
      </c>
      <c r="H319" s="63">
        <v>6240</v>
      </c>
      <c r="I319" s="63">
        <v>1373</v>
      </c>
      <c r="J319" s="63">
        <f t="shared" si="60"/>
        <v>4867</v>
      </c>
      <c r="K319" s="64">
        <f t="shared" si="61"/>
        <v>0.15374166850933443</v>
      </c>
      <c r="L319" s="64">
        <f>J319/J317</f>
        <v>0.98144787255495058</v>
      </c>
      <c r="M319" s="63">
        <v>14277</v>
      </c>
      <c r="N319" s="63">
        <v>4034</v>
      </c>
      <c r="O319" s="63">
        <v>7687</v>
      </c>
      <c r="P319" s="62">
        <f t="shared" si="62"/>
        <v>1.3325094315077404</v>
      </c>
      <c r="Q319" s="63">
        <v>23710</v>
      </c>
      <c r="R319" s="63">
        <v>13449</v>
      </c>
      <c r="S319" s="63">
        <v>18678</v>
      </c>
      <c r="T319" s="65">
        <f t="shared" si="63"/>
        <v>1.2858466640655482</v>
      </c>
    </row>
    <row r="320" spans="1:20">
      <c r="A320" s="62" t="s">
        <v>302</v>
      </c>
      <c r="B320" s="62">
        <v>2018</v>
      </c>
      <c r="C320" s="63">
        <v>32765</v>
      </c>
      <c r="D320" s="63">
        <v>9172</v>
      </c>
      <c r="E320" s="64">
        <f t="shared" si="52"/>
        <v>0.27993285518083322</v>
      </c>
      <c r="F320" s="63">
        <v>5349</v>
      </c>
      <c r="G320" s="64">
        <f t="shared" si="59"/>
        <v>0.16325347169235466</v>
      </c>
      <c r="H320" s="63">
        <v>6439</v>
      </c>
      <c r="I320" s="63">
        <v>1577</v>
      </c>
      <c r="J320" s="63">
        <f t="shared" si="60"/>
        <v>4862</v>
      </c>
      <c r="K320" s="64">
        <f t="shared" si="61"/>
        <v>0.14839005035861438</v>
      </c>
      <c r="L320" s="64">
        <f>J320/J317</f>
        <v>0.98043960475902403</v>
      </c>
      <c r="M320" s="63">
        <v>13709</v>
      </c>
      <c r="N320" s="63">
        <v>4366</v>
      </c>
      <c r="O320" s="63">
        <v>7244</v>
      </c>
      <c r="P320" s="62">
        <f t="shared" si="62"/>
        <v>1.2897570403092213</v>
      </c>
      <c r="Q320" s="63">
        <v>22791</v>
      </c>
      <c r="R320" s="63">
        <v>12708</v>
      </c>
      <c r="S320" s="63">
        <v>19408</v>
      </c>
      <c r="T320" s="65">
        <f t="shared" si="63"/>
        <v>1.3719757026665294</v>
      </c>
    </row>
    <row r="321" spans="1:20">
      <c r="A321" s="62" t="s">
        <v>302</v>
      </c>
      <c r="B321" s="62">
        <v>2019</v>
      </c>
      <c r="C321" s="63">
        <v>32136</v>
      </c>
      <c r="D321" s="63">
        <v>8661</v>
      </c>
      <c r="E321" s="64">
        <f t="shared" si="52"/>
        <v>0.26951082897684842</v>
      </c>
      <c r="F321" s="63">
        <v>4570</v>
      </c>
      <c r="G321" s="64">
        <f t="shared" si="59"/>
        <v>0.14220811550908638</v>
      </c>
      <c r="H321" s="63">
        <v>7070</v>
      </c>
      <c r="I321" s="63">
        <v>1699</v>
      </c>
      <c r="J321" s="63">
        <f t="shared" si="60"/>
        <v>5371</v>
      </c>
      <c r="K321" s="64">
        <f t="shared" si="61"/>
        <v>0.16713343291013194</v>
      </c>
      <c r="L321" s="64">
        <f>J321/J317</f>
        <v>1.0830812663843516</v>
      </c>
      <c r="M321" s="63">
        <v>12971</v>
      </c>
      <c r="N321" s="63">
        <v>4134</v>
      </c>
      <c r="O321" s="63">
        <v>9222</v>
      </c>
      <c r="P321" s="62">
        <f t="shared" si="62"/>
        <v>0.95825200607243544</v>
      </c>
      <c r="Q321" s="63">
        <v>31688</v>
      </c>
      <c r="R321" s="63">
        <v>19823</v>
      </c>
      <c r="S321" s="63">
        <v>25311</v>
      </c>
      <c r="T321" s="65">
        <f t="shared" si="63"/>
        <v>1.6680997005120277</v>
      </c>
    </row>
    <row r="322" spans="1:20">
      <c r="A322" s="62" t="s">
        <v>305</v>
      </c>
      <c r="B322" s="62">
        <v>2015</v>
      </c>
      <c r="C322" s="63">
        <v>76279</v>
      </c>
      <c r="D322" s="63">
        <v>17904</v>
      </c>
      <c r="E322" s="64">
        <f t="shared" si="52"/>
        <v>0.2347172878511779</v>
      </c>
      <c r="F322" s="63">
        <v>6777</v>
      </c>
      <c r="G322" s="64">
        <f t="shared" si="59"/>
        <v>8.8844898333748479E-2</v>
      </c>
      <c r="H322" s="63">
        <v>14608</v>
      </c>
      <c r="I322" s="63">
        <v>3736</v>
      </c>
      <c r="J322" s="63">
        <f t="shared" si="60"/>
        <v>10872</v>
      </c>
      <c r="K322" s="64">
        <f t="shared" si="61"/>
        <v>0.1425293986549378</v>
      </c>
      <c r="L322" s="64">
        <f>J322/J322</f>
        <v>1</v>
      </c>
      <c r="M322" s="63">
        <v>29646</v>
      </c>
      <c r="N322" s="63">
        <v>5454</v>
      </c>
      <c r="O322" s="63">
        <v>29790</v>
      </c>
      <c r="P322" s="62">
        <f t="shared" si="62"/>
        <v>0.81208459214501516</v>
      </c>
      <c r="Q322" s="63">
        <v>99849</v>
      </c>
      <c r="R322" s="63">
        <v>74145</v>
      </c>
      <c r="S322" s="63">
        <v>36655</v>
      </c>
      <c r="T322" s="65">
        <f t="shared" si="63"/>
        <v>1.33166987333654</v>
      </c>
    </row>
    <row r="323" spans="1:20">
      <c r="A323" s="62" t="s">
        <v>305</v>
      </c>
      <c r="B323" s="62">
        <v>2016</v>
      </c>
      <c r="C323" s="63">
        <v>65299</v>
      </c>
      <c r="D323" s="63">
        <v>17439</v>
      </c>
      <c r="E323" s="64">
        <f t="shared" si="52"/>
        <v>0.26706381414723041</v>
      </c>
      <c r="F323" s="63">
        <v>10253</v>
      </c>
      <c r="G323" s="64">
        <f t="shared" si="59"/>
        <v>0.15701618707790319</v>
      </c>
      <c r="H323" s="63">
        <v>15435</v>
      </c>
      <c r="I323" s="63">
        <v>3314</v>
      </c>
      <c r="J323" s="63">
        <f t="shared" si="60"/>
        <v>12121</v>
      </c>
      <c r="K323" s="64">
        <f t="shared" si="61"/>
        <v>0.18562305701465567</v>
      </c>
      <c r="L323" s="64">
        <f>J323/J322</f>
        <v>1.1148822663723326</v>
      </c>
      <c r="M323" s="63">
        <v>33782</v>
      </c>
      <c r="N323" s="63">
        <v>4716</v>
      </c>
      <c r="O323" s="63">
        <v>30770</v>
      </c>
      <c r="P323" s="62">
        <f t="shared" si="62"/>
        <v>0.94462138446538835</v>
      </c>
      <c r="Q323" s="63">
        <v>93354</v>
      </c>
      <c r="R323" s="63">
        <v>68877</v>
      </c>
      <c r="S323" s="63">
        <v>38383</v>
      </c>
      <c r="T323" s="65">
        <f t="shared" si="63"/>
        <v>1.291541377957903</v>
      </c>
    </row>
    <row r="324" spans="1:20">
      <c r="A324" s="62" t="s">
        <v>305</v>
      </c>
      <c r="B324" s="62">
        <v>2017</v>
      </c>
      <c r="C324" s="63">
        <v>65058</v>
      </c>
      <c r="D324" s="63">
        <v>17505</v>
      </c>
      <c r="E324" s="64">
        <f t="shared" ref="E324:E351" si="65">D324/C324</f>
        <v>0.26906760121737527</v>
      </c>
      <c r="F324" s="63">
        <v>15079</v>
      </c>
      <c r="G324" s="64">
        <f t="shared" si="59"/>
        <v>0.23177779827231085</v>
      </c>
      <c r="H324" s="63">
        <v>12753</v>
      </c>
      <c r="I324" s="63">
        <v>3384</v>
      </c>
      <c r="J324" s="63">
        <f t="shared" si="60"/>
        <v>9369</v>
      </c>
      <c r="K324" s="64">
        <f t="shared" si="61"/>
        <v>0.14400996034307847</v>
      </c>
      <c r="L324" s="64">
        <f>J324/J322</f>
        <v>0.86175496688741726</v>
      </c>
      <c r="M324" s="63">
        <v>26494</v>
      </c>
      <c r="N324" s="63">
        <v>4624</v>
      </c>
      <c r="O324" s="63">
        <v>30210</v>
      </c>
      <c r="P324" s="62">
        <f t="shared" si="62"/>
        <v>0.7239324726911619</v>
      </c>
      <c r="Q324" s="63">
        <v>93912</v>
      </c>
      <c r="R324" s="63">
        <v>68886</v>
      </c>
      <c r="S324" s="63">
        <v>34418</v>
      </c>
      <c r="T324" s="65">
        <f t="shared" si="63"/>
        <v>1.3781132719208462</v>
      </c>
    </row>
    <row r="325" spans="1:20">
      <c r="A325" s="62" t="s">
        <v>305</v>
      </c>
      <c r="B325" s="62">
        <v>2018</v>
      </c>
      <c r="C325" s="63">
        <v>66832</v>
      </c>
      <c r="D325" s="63">
        <v>17615</v>
      </c>
      <c r="E325" s="64">
        <f t="shared" si="65"/>
        <v>0.26357134306918839</v>
      </c>
      <c r="F325" s="63">
        <v>9485</v>
      </c>
      <c r="G325" s="64">
        <f t="shared" si="59"/>
        <v>0.14192303088340916</v>
      </c>
      <c r="H325" s="63">
        <v>14867</v>
      </c>
      <c r="I325" s="63">
        <v>3717</v>
      </c>
      <c r="J325" s="63">
        <f t="shared" si="60"/>
        <v>11150</v>
      </c>
      <c r="K325" s="64">
        <f t="shared" si="61"/>
        <v>0.16683624610964806</v>
      </c>
      <c r="L325" s="64">
        <f>J325/J322</f>
        <v>1.0255702722590139</v>
      </c>
      <c r="M325" s="63">
        <v>23320</v>
      </c>
      <c r="N325" s="63">
        <v>4738</v>
      </c>
      <c r="O325" s="63">
        <v>28237</v>
      </c>
      <c r="P325" s="62">
        <f t="shared" si="62"/>
        <v>0.65807274143853811</v>
      </c>
      <c r="Q325" s="63">
        <v>94990</v>
      </c>
      <c r="R325" s="63">
        <v>69077</v>
      </c>
      <c r="S325" s="63">
        <v>37190</v>
      </c>
      <c r="T325" s="65">
        <f t="shared" si="63"/>
        <v>1.4704348803236318</v>
      </c>
    </row>
    <row r="326" spans="1:20">
      <c r="A326" s="62" t="s">
        <v>305</v>
      </c>
      <c r="B326" s="62">
        <v>2019</v>
      </c>
      <c r="C326" s="63">
        <v>67684</v>
      </c>
      <c r="D326" s="63">
        <v>17390</v>
      </c>
      <c r="E326" s="64">
        <f t="shared" si="65"/>
        <v>0.25692925950002954</v>
      </c>
      <c r="F326" s="63">
        <v>3634</v>
      </c>
      <c r="G326" s="64">
        <f t="shared" si="59"/>
        <v>5.369068021984516E-2</v>
      </c>
      <c r="H326" s="63">
        <v>15242</v>
      </c>
      <c r="I326" s="63">
        <v>3347</v>
      </c>
      <c r="J326" s="63">
        <f t="shared" si="60"/>
        <v>11895</v>
      </c>
      <c r="K326" s="64">
        <f t="shared" si="61"/>
        <v>0.17574315938774304</v>
      </c>
      <c r="L326" s="64">
        <f t="shared" ref="L326" si="66">J326/J322</f>
        <v>1.0940949227373069</v>
      </c>
      <c r="M326" s="63">
        <v>22473</v>
      </c>
      <c r="N326" s="63">
        <v>5017</v>
      </c>
      <c r="O326" s="63">
        <v>30011</v>
      </c>
      <c r="P326" s="62">
        <f t="shared" si="62"/>
        <v>0.58165339375562297</v>
      </c>
      <c r="Q326" s="63">
        <v>92622</v>
      </c>
      <c r="R326" s="63">
        <v>64488</v>
      </c>
      <c r="S326" s="63">
        <v>37505</v>
      </c>
      <c r="T326" s="65">
        <f t="shared" si="63"/>
        <v>1.4809388023689405</v>
      </c>
    </row>
    <row r="327" spans="1:20">
      <c r="A327" s="62" t="s">
        <v>290</v>
      </c>
      <c r="B327" s="62">
        <v>2015</v>
      </c>
      <c r="C327" s="63">
        <v>2334</v>
      </c>
      <c r="D327" s="62">
        <v>306</v>
      </c>
      <c r="E327" s="64">
        <f t="shared" si="65"/>
        <v>0.13110539845758354</v>
      </c>
      <c r="F327" s="62">
        <v>174</v>
      </c>
      <c r="G327" s="64">
        <f>F327/C327</f>
        <v>7.4550128534704371E-2</v>
      </c>
      <c r="H327" s="62">
        <v>95</v>
      </c>
      <c r="I327" s="62">
        <v>70</v>
      </c>
      <c r="J327" s="63">
        <f t="shared" si="60"/>
        <v>25</v>
      </c>
      <c r="K327" s="64">
        <f>J327/C327</f>
        <v>1.0711225364181662E-2</v>
      </c>
      <c r="L327" s="64">
        <f>J327/J327</f>
        <v>1</v>
      </c>
      <c r="M327" s="63">
        <v>1249</v>
      </c>
      <c r="N327" s="62">
        <v>474</v>
      </c>
      <c r="O327" s="62">
        <v>366</v>
      </c>
      <c r="P327" s="65">
        <f t="shared" si="62"/>
        <v>2.1174863387978142</v>
      </c>
      <c r="Q327" s="62">
        <v>597</v>
      </c>
      <c r="R327" s="62">
        <v>207</v>
      </c>
      <c r="S327" s="62">
        <v>64</v>
      </c>
      <c r="T327" s="65">
        <f>(O327+S327)/(M327+Q327-N327-R327)</f>
        <v>0.36909871244635195</v>
      </c>
    </row>
    <row r="328" spans="1:20">
      <c r="A328" s="62" t="s">
        <v>290</v>
      </c>
      <c r="B328" s="62">
        <v>2016</v>
      </c>
      <c r="C328" s="63">
        <v>2387</v>
      </c>
      <c r="D328" s="62">
        <v>317</v>
      </c>
      <c r="E328" s="64">
        <f t="shared" si="65"/>
        <v>0.13280268118977798</v>
      </c>
      <c r="F328" s="62">
        <v>192</v>
      </c>
      <c r="G328" s="64">
        <f t="shared" ref="G328:G351" si="67">F328/C328</f>
        <v>8.0435693338919145E-2</v>
      </c>
      <c r="H328" s="62">
        <v>275</v>
      </c>
      <c r="I328" s="62">
        <v>50</v>
      </c>
      <c r="J328" s="63">
        <f t="shared" si="60"/>
        <v>225</v>
      </c>
      <c r="K328" s="64">
        <f t="shared" ref="K328:K351" si="68">J328/C328</f>
        <v>9.4260578131545869E-2</v>
      </c>
      <c r="L328" s="64">
        <f>J328/J327</f>
        <v>9</v>
      </c>
      <c r="M328" s="63">
        <v>1412</v>
      </c>
      <c r="N328" s="62">
        <v>488</v>
      </c>
      <c r="O328" s="62">
        <v>363</v>
      </c>
      <c r="P328" s="65">
        <f t="shared" si="62"/>
        <v>2.5454545454545454</v>
      </c>
      <c r="Q328" s="62">
        <v>602</v>
      </c>
      <c r="R328" s="62">
        <v>202</v>
      </c>
      <c r="S328" s="62">
        <v>70</v>
      </c>
      <c r="T328" s="65">
        <f t="shared" ref="T328:T351" si="69">(O328+S328)/(M328+Q328-N328-R328)</f>
        <v>0.32703927492447132</v>
      </c>
    </row>
    <row r="329" spans="1:20">
      <c r="A329" s="62" t="s">
        <v>290</v>
      </c>
      <c r="B329" s="62">
        <v>2017</v>
      </c>
      <c r="C329" s="63">
        <v>2480</v>
      </c>
      <c r="D329" s="62">
        <v>338</v>
      </c>
      <c r="E329" s="64">
        <f t="shared" si="65"/>
        <v>0.13629032258064516</v>
      </c>
      <c r="F329" s="62">
        <v>105</v>
      </c>
      <c r="G329" s="64">
        <f t="shared" si="67"/>
        <v>4.2338709677419352E-2</v>
      </c>
      <c r="H329" s="62">
        <v>341</v>
      </c>
      <c r="I329" s="62">
        <v>53</v>
      </c>
      <c r="J329" s="63">
        <f t="shared" si="60"/>
        <v>288</v>
      </c>
      <c r="K329" s="64">
        <f t="shared" si="68"/>
        <v>0.11612903225806452</v>
      </c>
      <c r="L329" s="64">
        <f>J329/J327</f>
        <v>11.52</v>
      </c>
      <c r="M329" s="63">
        <v>1649</v>
      </c>
      <c r="N329" s="62">
        <v>458</v>
      </c>
      <c r="O329" s="62">
        <v>454</v>
      </c>
      <c r="P329" s="65">
        <f t="shared" si="62"/>
        <v>2.6233480176211454</v>
      </c>
      <c r="Q329" s="62">
        <v>563</v>
      </c>
      <c r="R329" s="62">
        <v>198</v>
      </c>
      <c r="S329" s="62">
        <v>107</v>
      </c>
      <c r="T329" s="65">
        <f t="shared" si="69"/>
        <v>0.36053984575835474</v>
      </c>
    </row>
    <row r="330" spans="1:20">
      <c r="A330" s="62" t="s">
        <v>290</v>
      </c>
      <c r="B330" s="62">
        <v>2018</v>
      </c>
      <c r="C330" s="63">
        <v>2818</v>
      </c>
      <c r="D330" s="62">
        <v>421</v>
      </c>
      <c r="E330" s="64">
        <f t="shared" si="65"/>
        <v>0.14939673527324343</v>
      </c>
      <c r="F330" s="62">
        <v>268</v>
      </c>
      <c r="G330" s="64">
        <f t="shared" si="67"/>
        <v>9.5102909865152588E-2</v>
      </c>
      <c r="H330" s="62">
        <v>290</v>
      </c>
      <c r="I330" s="62">
        <v>66</v>
      </c>
      <c r="J330" s="63">
        <f t="shared" si="60"/>
        <v>224</v>
      </c>
      <c r="K330" s="64">
        <f t="shared" si="68"/>
        <v>7.9488999290276793E-2</v>
      </c>
      <c r="L330" s="64">
        <f>J330/J327</f>
        <v>8.9600000000000009</v>
      </c>
      <c r="M330" s="63">
        <v>1765</v>
      </c>
      <c r="N330" s="62">
        <v>522</v>
      </c>
      <c r="O330" s="62">
        <v>573</v>
      </c>
      <c r="P330" s="65">
        <f t="shared" si="62"/>
        <v>2.169284467713787</v>
      </c>
      <c r="Q330" s="62">
        <v>603</v>
      </c>
      <c r="R330" s="62">
        <v>195</v>
      </c>
      <c r="S330" s="62">
        <v>106</v>
      </c>
      <c r="T330" s="65">
        <f t="shared" si="69"/>
        <v>0.41126589945487585</v>
      </c>
    </row>
    <row r="331" spans="1:20">
      <c r="A331" s="62" t="s">
        <v>290</v>
      </c>
      <c r="B331" s="62">
        <v>2019</v>
      </c>
      <c r="C331" s="63">
        <v>3058</v>
      </c>
      <c r="D331" s="62">
        <v>455</v>
      </c>
      <c r="E331" s="64">
        <f t="shared" si="65"/>
        <v>0.14879005886200131</v>
      </c>
      <c r="F331" s="62">
        <v>330</v>
      </c>
      <c r="G331" s="64">
        <f t="shared" si="67"/>
        <v>0.1079136690647482</v>
      </c>
      <c r="H331" s="62">
        <v>285</v>
      </c>
      <c r="I331" s="62">
        <v>124</v>
      </c>
      <c r="J331" s="63">
        <f t="shared" si="60"/>
        <v>161</v>
      </c>
      <c r="K331" s="64">
        <f t="shared" si="68"/>
        <v>5.2648790058861999E-2</v>
      </c>
      <c r="L331" s="64">
        <f>J331/J327</f>
        <v>6.44</v>
      </c>
      <c r="M331" s="63">
        <v>1876</v>
      </c>
      <c r="N331" s="62">
        <v>606</v>
      </c>
      <c r="O331" s="62">
        <v>631</v>
      </c>
      <c r="P331" s="65">
        <f t="shared" si="62"/>
        <v>2.0126782884310619</v>
      </c>
      <c r="Q331" s="63">
        <v>1056</v>
      </c>
      <c r="R331" s="62">
        <v>192</v>
      </c>
      <c r="S331" s="62">
        <v>451</v>
      </c>
      <c r="T331" s="65">
        <f t="shared" si="69"/>
        <v>0.50702905342080595</v>
      </c>
    </row>
    <row r="332" spans="1:20">
      <c r="A332" s="62" t="s">
        <v>291</v>
      </c>
      <c r="B332" s="62">
        <v>2015</v>
      </c>
      <c r="C332" s="63">
        <v>30601</v>
      </c>
      <c r="D332" s="63">
        <v>4781</v>
      </c>
      <c r="E332" s="64">
        <f t="shared" si="65"/>
        <v>0.15623672429005589</v>
      </c>
      <c r="F332" s="63">
        <v>3273</v>
      </c>
      <c r="G332" s="64">
        <f t="shared" si="67"/>
        <v>0.1069572889774844</v>
      </c>
      <c r="H332" s="63">
        <v>4680</v>
      </c>
      <c r="I332" s="62">
        <v>963</v>
      </c>
      <c r="J332" s="63">
        <f t="shared" si="60"/>
        <v>3717</v>
      </c>
      <c r="K332" s="64">
        <f t="shared" si="68"/>
        <v>0.12146661873794974</v>
      </c>
      <c r="L332" s="64">
        <f>J332/J332</f>
        <v>1</v>
      </c>
      <c r="M332" s="63">
        <v>15976</v>
      </c>
      <c r="N332" s="63">
        <v>4337</v>
      </c>
      <c r="O332" s="63">
        <v>6334</v>
      </c>
      <c r="P332" s="65">
        <f t="shared" si="62"/>
        <v>1.8375434164824755</v>
      </c>
      <c r="Q332" s="63">
        <v>5624</v>
      </c>
      <c r="R332" s="62">
        <v>412</v>
      </c>
      <c r="S332" s="63">
        <v>2559</v>
      </c>
      <c r="T332" s="65">
        <f t="shared" si="69"/>
        <v>0.5277431606432853</v>
      </c>
    </row>
    <row r="333" spans="1:20">
      <c r="A333" s="62" t="s">
        <v>291</v>
      </c>
      <c r="B333" s="62">
        <v>2016</v>
      </c>
      <c r="C333" s="63">
        <v>32376</v>
      </c>
      <c r="D333" s="63">
        <v>5151</v>
      </c>
      <c r="E333" s="64">
        <f t="shared" si="65"/>
        <v>0.1590993328391401</v>
      </c>
      <c r="F333" s="63">
        <v>3760</v>
      </c>
      <c r="G333" s="64">
        <f t="shared" si="67"/>
        <v>0.11613540894489746</v>
      </c>
      <c r="H333" s="63">
        <v>3096</v>
      </c>
      <c r="I333" s="63">
        <v>1143</v>
      </c>
      <c r="J333" s="63">
        <f t="shared" si="60"/>
        <v>1953</v>
      </c>
      <c r="K333" s="64">
        <f t="shared" si="68"/>
        <v>6.0322461082283174E-2</v>
      </c>
      <c r="L333" s="64">
        <f>J333/J332</f>
        <v>0.52542372881355937</v>
      </c>
      <c r="M333" s="63">
        <v>15025</v>
      </c>
      <c r="N333" s="63">
        <v>4838</v>
      </c>
      <c r="O333" s="63">
        <v>5358</v>
      </c>
      <c r="P333" s="65">
        <f t="shared" si="62"/>
        <v>1.9012691302724898</v>
      </c>
      <c r="Q333" s="63">
        <v>6371</v>
      </c>
      <c r="R333" s="62">
        <v>412</v>
      </c>
      <c r="S333" s="63">
        <v>3780</v>
      </c>
      <c r="T333" s="65">
        <f t="shared" si="69"/>
        <v>0.56596060943887028</v>
      </c>
    </row>
    <row r="334" spans="1:20">
      <c r="A334" s="62" t="s">
        <v>291</v>
      </c>
      <c r="B334" s="62">
        <v>2017</v>
      </c>
      <c r="C334" s="63">
        <v>34350</v>
      </c>
      <c r="D334" s="63">
        <v>5455</v>
      </c>
      <c r="E334" s="64">
        <f t="shared" si="65"/>
        <v>0.15880640465793305</v>
      </c>
      <c r="F334" s="63">
        <v>4240</v>
      </c>
      <c r="G334" s="64">
        <f t="shared" si="67"/>
        <v>0.12343522561863174</v>
      </c>
      <c r="H334" s="63">
        <v>3640</v>
      </c>
      <c r="I334" s="63">
        <v>1105</v>
      </c>
      <c r="J334" s="63">
        <f t="shared" si="60"/>
        <v>2535</v>
      </c>
      <c r="K334" s="64">
        <f t="shared" si="68"/>
        <v>7.3799126637554585E-2</v>
      </c>
      <c r="L334" s="64">
        <f>J334/J332</f>
        <v>0.68200161420500405</v>
      </c>
      <c r="M334" s="63">
        <v>16061</v>
      </c>
      <c r="N334" s="63">
        <v>5055</v>
      </c>
      <c r="O334" s="63">
        <v>5474</v>
      </c>
      <c r="P334" s="65">
        <f t="shared" si="62"/>
        <v>2.0105955425648521</v>
      </c>
      <c r="Q334" s="63">
        <v>7198</v>
      </c>
      <c r="R334" s="62">
        <v>422</v>
      </c>
      <c r="S334" s="63">
        <v>5378</v>
      </c>
      <c r="T334" s="65">
        <f t="shared" si="69"/>
        <v>0.61028005848610956</v>
      </c>
    </row>
    <row r="335" spans="1:20">
      <c r="A335" s="62" t="s">
        <v>291</v>
      </c>
      <c r="B335" s="62">
        <v>2018</v>
      </c>
      <c r="C335" s="63">
        <v>36397</v>
      </c>
      <c r="D335" s="63">
        <v>5192</v>
      </c>
      <c r="E335" s="64">
        <f t="shared" si="65"/>
        <v>0.1426491194329203</v>
      </c>
      <c r="F335" s="63">
        <v>1933</v>
      </c>
      <c r="G335" s="64">
        <f t="shared" si="67"/>
        <v>5.3108772701046789E-2</v>
      </c>
      <c r="H335" s="63">
        <v>4955</v>
      </c>
      <c r="I335" s="63">
        <v>1028</v>
      </c>
      <c r="J335" s="63">
        <f t="shared" si="60"/>
        <v>3927</v>
      </c>
      <c r="K335" s="64">
        <f t="shared" si="68"/>
        <v>0.10789350770667912</v>
      </c>
      <c r="L335" s="64">
        <f>J335/J332</f>
        <v>1.0564971751412429</v>
      </c>
      <c r="M335" s="63">
        <v>15134</v>
      </c>
      <c r="N335" s="63">
        <v>5261</v>
      </c>
      <c r="O335" s="63">
        <v>6040</v>
      </c>
      <c r="P335" s="65">
        <f t="shared" si="62"/>
        <v>1.6346026490066226</v>
      </c>
      <c r="Q335" s="63">
        <v>7402</v>
      </c>
      <c r="R335" s="62">
        <v>439</v>
      </c>
      <c r="S335" s="63">
        <v>6684</v>
      </c>
      <c r="T335" s="65">
        <f t="shared" si="69"/>
        <v>0.75576146353052986</v>
      </c>
    </row>
    <row r="336" spans="1:20">
      <c r="A336" s="62" t="s">
        <v>291</v>
      </c>
      <c r="B336" s="62">
        <v>2019</v>
      </c>
      <c r="C336" s="63">
        <v>39117</v>
      </c>
      <c r="D336" s="63">
        <v>5477</v>
      </c>
      <c r="E336" s="64">
        <f t="shared" si="65"/>
        <v>0.14001584988623872</v>
      </c>
      <c r="F336" s="63">
        <v>4029</v>
      </c>
      <c r="G336" s="64">
        <f t="shared" si="67"/>
        <v>0.10299869621903521</v>
      </c>
      <c r="H336" s="63">
        <v>5903</v>
      </c>
      <c r="I336" s="63">
        <v>1119</v>
      </c>
      <c r="J336" s="63">
        <f t="shared" si="60"/>
        <v>4784</v>
      </c>
      <c r="K336" s="64">
        <f t="shared" si="68"/>
        <v>0.12229976736457294</v>
      </c>
      <c r="L336" s="64">
        <f>J336/J332</f>
        <v>1.2870594565509821</v>
      </c>
      <c r="M336" s="63">
        <v>16525</v>
      </c>
      <c r="N336" s="63">
        <v>5622</v>
      </c>
      <c r="O336" s="63">
        <v>7866</v>
      </c>
      <c r="P336" s="65">
        <f t="shared" si="62"/>
        <v>1.386092041698449</v>
      </c>
      <c r="Q336" s="63">
        <v>7192</v>
      </c>
      <c r="R336" s="62">
        <v>437</v>
      </c>
      <c r="S336" s="63">
        <v>6811</v>
      </c>
      <c r="T336" s="65">
        <f t="shared" si="69"/>
        <v>0.83118133423943819</v>
      </c>
    </row>
    <row r="337" spans="1:20">
      <c r="A337" s="62" t="s">
        <v>292</v>
      </c>
      <c r="B337" s="62">
        <v>2015</v>
      </c>
      <c r="C337" s="63">
        <v>1797</v>
      </c>
      <c r="D337" s="63">
        <v>434</v>
      </c>
      <c r="E337" s="64">
        <f t="shared" si="65"/>
        <v>0.24151363383416805</v>
      </c>
      <c r="F337" s="62">
        <v>239</v>
      </c>
      <c r="G337" s="64">
        <f t="shared" si="67"/>
        <v>0.13299944351697274</v>
      </c>
      <c r="H337" s="62">
        <v>314</v>
      </c>
      <c r="I337" s="62">
        <v>120</v>
      </c>
      <c r="J337" s="63">
        <f t="shared" si="60"/>
        <v>194</v>
      </c>
      <c r="K337" s="64">
        <f t="shared" si="68"/>
        <v>0.10795770728992765</v>
      </c>
      <c r="L337" s="64">
        <f>J337/J337</f>
        <v>1</v>
      </c>
      <c r="M337" s="62">
        <v>951</v>
      </c>
      <c r="N337" s="62">
        <v>208</v>
      </c>
      <c r="O337" s="62">
        <v>160</v>
      </c>
      <c r="P337" s="65">
        <f t="shared" si="62"/>
        <v>4.6437499999999998</v>
      </c>
      <c r="Q337" s="62">
        <v>345</v>
      </c>
      <c r="R337" s="62">
        <v>26</v>
      </c>
      <c r="S337" s="62">
        <v>47</v>
      </c>
      <c r="T337" s="65">
        <f t="shared" si="69"/>
        <v>0.19491525423728814</v>
      </c>
    </row>
    <row r="338" spans="1:20">
      <c r="A338" s="62" t="s">
        <v>292</v>
      </c>
      <c r="B338" s="62">
        <v>2016</v>
      </c>
      <c r="C338" s="63">
        <v>2061</v>
      </c>
      <c r="D338" s="63">
        <v>442</v>
      </c>
      <c r="E338" s="64">
        <f t="shared" si="65"/>
        <v>0.21445900048520136</v>
      </c>
      <c r="F338" s="62">
        <v>266</v>
      </c>
      <c r="G338" s="64">
        <f t="shared" si="67"/>
        <v>0.12906356137797187</v>
      </c>
      <c r="H338" s="62">
        <v>299</v>
      </c>
      <c r="I338" s="62">
        <v>143</v>
      </c>
      <c r="J338" s="63">
        <f t="shared" si="60"/>
        <v>156</v>
      </c>
      <c r="K338" s="64">
        <f t="shared" si="68"/>
        <v>7.5691411935953426E-2</v>
      </c>
      <c r="L338" s="64">
        <f>J338/J337</f>
        <v>0.80412371134020622</v>
      </c>
      <c r="M338" s="62">
        <v>917</v>
      </c>
      <c r="N338" s="62">
        <v>284</v>
      </c>
      <c r="O338" s="62">
        <v>226</v>
      </c>
      <c r="P338" s="65">
        <f t="shared" si="62"/>
        <v>2.8008849557522124</v>
      </c>
      <c r="Q338" s="62">
        <v>397</v>
      </c>
      <c r="R338" s="62">
        <v>25</v>
      </c>
      <c r="S338" s="62">
        <v>61</v>
      </c>
      <c r="T338" s="65">
        <f t="shared" si="69"/>
        <v>0.28557213930348258</v>
      </c>
    </row>
    <row r="339" spans="1:20">
      <c r="A339" s="62" t="s">
        <v>292</v>
      </c>
      <c r="B339" s="62">
        <v>2017</v>
      </c>
      <c r="C339" s="63">
        <v>2344</v>
      </c>
      <c r="D339" s="62">
        <v>509</v>
      </c>
      <c r="E339" s="64">
        <f t="shared" si="65"/>
        <v>0.21715017064846417</v>
      </c>
      <c r="F339" s="62">
        <v>303</v>
      </c>
      <c r="G339" s="64">
        <f t="shared" si="67"/>
        <v>0.12926621160409557</v>
      </c>
      <c r="H339" s="62">
        <v>385</v>
      </c>
      <c r="I339" s="62">
        <v>150</v>
      </c>
      <c r="J339" s="63">
        <f t="shared" si="60"/>
        <v>235</v>
      </c>
      <c r="K339" s="64">
        <f t="shared" si="68"/>
        <v>0.10025597269624574</v>
      </c>
      <c r="L339" s="64">
        <f>J339/J337</f>
        <v>1.2113402061855669</v>
      </c>
      <c r="M339" s="63">
        <v>1163</v>
      </c>
      <c r="N339" s="62">
        <v>298</v>
      </c>
      <c r="O339" s="62">
        <v>241</v>
      </c>
      <c r="P339" s="65">
        <f t="shared" si="62"/>
        <v>3.5892116182572615</v>
      </c>
      <c r="Q339" s="62">
        <v>495</v>
      </c>
      <c r="R339" s="62">
        <v>25</v>
      </c>
      <c r="S339" s="62">
        <v>56</v>
      </c>
      <c r="T339" s="65">
        <f t="shared" si="69"/>
        <v>0.22247191011235956</v>
      </c>
    </row>
    <row r="340" spans="1:20">
      <c r="A340" s="62" t="s">
        <v>292</v>
      </c>
      <c r="B340" s="62">
        <v>2018</v>
      </c>
      <c r="C340" s="63">
        <v>2649</v>
      </c>
      <c r="D340" s="62">
        <v>608</v>
      </c>
      <c r="E340" s="64">
        <f t="shared" si="65"/>
        <v>0.22952057380143451</v>
      </c>
      <c r="F340" s="62">
        <v>259</v>
      </c>
      <c r="G340" s="64">
        <f t="shared" si="67"/>
        <v>9.7772744431861083E-2</v>
      </c>
      <c r="H340" s="62">
        <v>489</v>
      </c>
      <c r="I340" s="62">
        <v>158</v>
      </c>
      <c r="J340" s="63">
        <f t="shared" si="60"/>
        <v>331</v>
      </c>
      <c r="K340" s="64">
        <f t="shared" si="68"/>
        <v>0.12495281238203096</v>
      </c>
      <c r="L340" s="64">
        <f>J340/J337</f>
        <v>1.7061855670103092</v>
      </c>
      <c r="M340" s="63">
        <v>1436</v>
      </c>
      <c r="N340" s="62">
        <v>330</v>
      </c>
      <c r="O340" s="62">
        <v>293</v>
      </c>
      <c r="P340" s="65">
        <f t="shared" si="62"/>
        <v>3.7747440273037545</v>
      </c>
      <c r="Q340" s="62">
        <v>562</v>
      </c>
      <c r="R340" s="62">
        <v>25</v>
      </c>
      <c r="S340" s="62">
        <v>109</v>
      </c>
      <c r="T340" s="65">
        <f t="shared" si="69"/>
        <v>0.2446743761412051</v>
      </c>
    </row>
    <row r="341" spans="1:20">
      <c r="A341" s="62" t="s">
        <v>292</v>
      </c>
      <c r="B341" s="62">
        <v>2019</v>
      </c>
      <c r="C341" s="63">
        <v>3288</v>
      </c>
      <c r="D341" s="62">
        <v>828</v>
      </c>
      <c r="E341" s="64">
        <f t="shared" si="65"/>
        <v>0.2518248175182482</v>
      </c>
      <c r="F341" s="62">
        <v>484</v>
      </c>
      <c r="G341" s="64">
        <f t="shared" si="67"/>
        <v>0.14720194647201945</v>
      </c>
      <c r="H341" s="62">
        <v>743</v>
      </c>
      <c r="I341" s="62">
        <v>226</v>
      </c>
      <c r="J341" s="63">
        <f t="shared" si="60"/>
        <v>517</v>
      </c>
      <c r="K341" s="64">
        <f t="shared" si="68"/>
        <v>0.15723844282238442</v>
      </c>
      <c r="L341" s="64">
        <f>J341/J337</f>
        <v>2.6649484536082473</v>
      </c>
      <c r="M341" s="63">
        <v>1429</v>
      </c>
      <c r="N341" s="62">
        <v>405</v>
      </c>
      <c r="O341" s="62">
        <v>500</v>
      </c>
      <c r="P341" s="65">
        <f t="shared" si="62"/>
        <v>2.048</v>
      </c>
      <c r="Q341" s="62">
        <v>655</v>
      </c>
      <c r="R341" s="62">
        <v>24</v>
      </c>
      <c r="S341" s="62">
        <v>138</v>
      </c>
      <c r="T341" s="65">
        <f t="shared" si="69"/>
        <v>0.38549848942598186</v>
      </c>
    </row>
    <row r="342" spans="1:20">
      <c r="A342" s="62" t="s">
        <v>317</v>
      </c>
      <c r="B342" s="62">
        <v>2015</v>
      </c>
      <c r="C342" s="63">
        <v>9190</v>
      </c>
      <c r="D342" s="63">
        <v>1868</v>
      </c>
      <c r="E342" s="64">
        <f t="shared" si="65"/>
        <v>0.20326441784548421</v>
      </c>
      <c r="F342" s="62">
        <v>-448</v>
      </c>
      <c r="G342" s="64">
        <f t="shared" si="67"/>
        <v>-4.8748639825897715E-2</v>
      </c>
      <c r="H342" s="63">
        <v>1009</v>
      </c>
      <c r="I342" s="63">
        <v>1467</v>
      </c>
      <c r="J342" s="63">
        <f t="shared" si="60"/>
        <v>-458</v>
      </c>
      <c r="K342" s="64">
        <f t="shared" si="68"/>
        <v>-4.9836779107725791E-2</v>
      </c>
      <c r="L342" s="64">
        <f>J342/ABS(J342)</f>
        <v>-1</v>
      </c>
      <c r="M342" s="63">
        <v>2409</v>
      </c>
      <c r="N342" s="62">
        <v>104</v>
      </c>
      <c r="O342" s="63">
        <v>2238</v>
      </c>
      <c r="P342" s="65">
        <f t="shared" si="62"/>
        <v>1.0299374441465594</v>
      </c>
      <c r="Q342" s="63">
        <v>22806</v>
      </c>
      <c r="R342" s="63">
        <v>5596</v>
      </c>
      <c r="S342" s="63">
        <v>17445</v>
      </c>
      <c r="T342" s="65">
        <f t="shared" si="69"/>
        <v>1.0086087624903921</v>
      </c>
    </row>
    <row r="343" spans="1:20">
      <c r="A343" s="62" t="s">
        <v>317</v>
      </c>
      <c r="B343" s="62">
        <v>2016</v>
      </c>
      <c r="C343" s="63">
        <v>9455</v>
      </c>
      <c r="D343" s="63">
        <v>2136</v>
      </c>
      <c r="E343" s="64">
        <f t="shared" si="65"/>
        <v>0.22591221575885775</v>
      </c>
      <c r="F343" s="63">
        <v>1101</v>
      </c>
      <c r="G343" s="64">
        <f t="shared" si="67"/>
        <v>0.11644632469592808</v>
      </c>
      <c r="H343" s="63">
        <v>1534</v>
      </c>
      <c r="I343" s="63">
        <v>2262</v>
      </c>
      <c r="J343" s="63">
        <f t="shared" si="60"/>
        <v>-728</v>
      </c>
      <c r="K343" s="64">
        <f t="shared" si="68"/>
        <v>-7.6996298254891599E-2</v>
      </c>
      <c r="L343" s="64">
        <f>J343/ABS(J342)</f>
        <v>-1.5895196506550218</v>
      </c>
      <c r="M343" s="63">
        <v>2230</v>
      </c>
      <c r="N343" s="62">
        <v>98</v>
      </c>
      <c r="O343" s="63">
        <v>2293</v>
      </c>
      <c r="P343" s="65">
        <f t="shared" si="62"/>
        <v>0.92978630614914959</v>
      </c>
      <c r="Q343" s="63">
        <v>25944</v>
      </c>
      <c r="R343" s="63">
        <v>5905</v>
      </c>
      <c r="S343" s="63">
        <v>18150</v>
      </c>
      <c r="T343" s="65">
        <f t="shared" si="69"/>
        <v>0.92206034910468626</v>
      </c>
    </row>
    <row r="344" spans="1:20">
      <c r="A344" s="62" t="s">
        <v>317</v>
      </c>
      <c r="B344" s="62">
        <v>2017</v>
      </c>
      <c r="C344" s="63">
        <v>10774</v>
      </c>
      <c r="D344" s="63">
        <v>2486</v>
      </c>
      <c r="E344" s="64">
        <f t="shared" si="65"/>
        <v>0.23074067198811954</v>
      </c>
      <c r="F344" s="63">
        <v>1942</v>
      </c>
      <c r="G344" s="64">
        <f t="shared" si="67"/>
        <v>0.18024874698347876</v>
      </c>
      <c r="H344" s="63">
        <v>2206</v>
      </c>
      <c r="I344" s="63">
        <v>1864</v>
      </c>
      <c r="J344" s="63">
        <f t="shared" si="60"/>
        <v>342</v>
      </c>
      <c r="K344" s="64">
        <f t="shared" si="68"/>
        <v>3.1743085205123443E-2</v>
      </c>
      <c r="L344" s="64">
        <f>J344/ABS(J342)</f>
        <v>0.74672489082969429</v>
      </c>
      <c r="M344" s="63">
        <v>2375</v>
      </c>
      <c r="N344" s="62">
        <v>102</v>
      </c>
      <c r="O344" s="63">
        <v>3092</v>
      </c>
      <c r="P344" s="65">
        <f t="shared" si="62"/>
        <v>0.73512289780077622</v>
      </c>
      <c r="Q344" s="63">
        <v>26785</v>
      </c>
      <c r="R344" s="63">
        <v>5684</v>
      </c>
      <c r="S344" s="63">
        <v>17433</v>
      </c>
      <c r="T344" s="65">
        <f t="shared" si="69"/>
        <v>0.87811243261743821</v>
      </c>
    </row>
    <row r="345" spans="1:20">
      <c r="A345" s="62" t="s">
        <v>317</v>
      </c>
      <c r="B345" s="62">
        <v>2018</v>
      </c>
      <c r="C345" s="63">
        <v>11763</v>
      </c>
      <c r="D345" s="63">
        <v>2431</v>
      </c>
      <c r="E345" s="64">
        <f t="shared" si="65"/>
        <v>0.20666496642013091</v>
      </c>
      <c r="F345" s="62">
        <v>445</v>
      </c>
      <c r="G345" s="64">
        <f t="shared" si="67"/>
        <v>3.7830485420385959E-2</v>
      </c>
      <c r="H345" s="63">
        <v>1723</v>
      </c>
      <c r="I345" s="63">
        <v>1487</v>
      </c>
      <c r="J345" s="63">
        <f t="shared" si="60"/>
        <v>236</v>
      </c>
      <c r="K345" s="64">
        <f t="shared" si="68"/>
        <v>2.0062909121822663E-2</v>
      </c>
      <c r="L345" s="64">
        <f>J345/ABS(J342)</f>
        <v>0.51528384279475981</v>
      </c>
      <c r="M345" s="63">
        <v>2527</v>
      </c>
      <c r="N345" s="62">
        <v>111</v>
      </c>
      <c r="O345" s="63">
        <v>2949</v>
      </c>
      <c r="P345" s="65">
        <f t="shared" si="62"/>
        <v>0.81926076636147849</v>
      </c>
      <c r="Q345" s="63">
        <v>27684</v>
      </c>
      <c r="R345" s="63">
        <v>5766</v>
      </c>
      <c r="S345" s="63">
        <v>19639</v>
      </c>
      <c r="T345" s="65">
        <f t="shared" si="69"/>
        <v>0.92824854113585931</v>
      </c>
    </row>
    <row r="346" spans="1:20">
      <c r="A346" s="62" t="s">
        <v>317</v>
      </c>
      <c r="B346" s="62">
        <v>2019</v>
      </c>
      <c r="C346" s="63">
        <v>12900</v>
      </c>
      <c r="D346" s="63">
        <v>2700</v>
      </c>
      <c r="E346" s="64">
        <f t="shared" si="65"/>
        <v>0.20930232558139536</v>
      </c>
      <c r="F346" s="63">
        <v>2046</v>
      </c>
      <c r="G346" s="64">
        <f t="shared" si="67"/>
        <v>0.15860465116279071</v>
      </c>
      <c r="H346" s="63">
        <v>1810</v>
      </c>
      <c r="I346" s="62">
        <v>739</v>
      </c>
      <c r="J346" s="63">
        <f t="shared" si="60"/>
        <v>1071</v>
      </c>
      <c r="K346" s="64">
        <f t="shared" si="68"/>
        <v>8.3023255813953492E-2</v>
      </c>
      <c r="L346" s="64">
        <f>J346/ABS(J342)</f>
        <v>2.3384279475982535</v>
      </c>
      <c r="M346" s="63">
        <v>4008</v>
      </c>
      <c r="N346" s="62">
        <v>103</v>
      </c>
      <c r="O346" s="63">
        <v>3191</v>
      </c>
      <c r="P346" s="65">
        <f t="shared" si="62"/>
        <v>1.2237543089940457</v>
      </c>
      <c r="Q346" s="63">
        <v>29869</v>
      </c>
      <c r="R346" s="63">
        <v>5911</v>
      </c>
      <c r="S346" s="63">
        <v>21108</v>
      </c>
      <c r="T346" s="65">
        <f t="shared" si="69"/>
        <v>0.87208843268851166</v>
      </c>
    </row>
    <row r="347" spans="1:20">
      <c r="A347" s="62" t="s">
        <v>315</v>
      </c>
      <c r="B347" s="62">
        <v>2015</v>
      </c>
      <c r="C347" s="63">
        <v>4328</v>
      </c>
      <c r="D347" s="62">
        <v>638</v>
      </c>
      <c r="E347" s="64">
        <f t="shared" si="65"/>
        <v>0.14741219963031424</v>
      </c>
      <c r="F347" s="62">
        <v>124</v>
      </c>
      <c r="G347" s="64">
        <f t="shared" si="67"/>
        <v>2.865064695009242E-2</v>
      </c>
      <c r="H347" s="62">
        <v>538</v>
      </c>
      <c r="I347" s="62">
        <v>269</v>
      </c>
      <c r="J347" s="63">
        <f t="shared" si="60"/>
        <v>269</v>
      </c>
      <c r="K347" s="64">
        <f t="shared" si="68"/>
        <v>6.2153419593345659E-2</v>
      </c>
      <c r="L347" s="64">
        <f>J347/ABS(J347)</f>
        <v>1</v>
      </c>
      <c r="M347" s="63">
        <v>1124</v>
      </c>
      <c r="N347" s="62">
        <v>12</v>
      </c>
      <c r="O347" s="63">
        <v>1107</v>
      </c>
      <c r="P347" s="65">
        <f t="shared" si="62"/>
        <v>1.004516711833785</v>
      </c>
      <c r="Q347" s="63">
        <v>6472</v>
      </c>
      <c r="R347" s="62">
        <v>676</v>
      </c>
      <c r="S347" s="63">
        <v>2494</v>
      </c>
      <c r="T347" s="65">
        <f t="shared" si="69"/>
        <v>0.52127967573827449</v>
      </c>
    </row>
    <row r="348" spans="1:20">
      <c r="A348" s="62" t="s">
        <v>315</v>
      </c>
      <c r="B348" s="62">
        <v>2016</v>
      </c>
      <c r="C348" s="63">
        <v>4429</v>
      </c>
      <c r="D348" s="62">
        <v>641</v>
      </c>
      <c r="E348" s="64">
        <f t="shared" si="65"/>
        <v>0.14472792955520433</v>
      </c>
      <c r="F348" s="62">
        <v>204</v>
      </c>
      <c r="G348" s="64">
        <f t="shared" si="67"/>
        <v>4.606005870399639E-2</v>
      </c>
      <c r="H348" s="62">
        <v>489</v>
      </c>
      <c r="I348" s="62">
        <v>211</v>
      </c>
      <c r="J348" s="63">
        <f t="shared" si="60"/>
        <v>278</v>
      </c>
      <c r="K348" s="64">
        <f t="shared" si="68"/>
        <v>6.2768119214269585E-2</v>
      </c>
      <c r="L348" s="64">
        <f>J348/ABS(J347)</f>
        <v>1.033457249070632</v>
      </c>
      <c r="M348" s="63">
        <v>1139</v>
      </c>
      <c r="N348" s="62">
        <v>28</v>
      </c>
      <c r="O348" s="62">
        <v>924</v>
      </c>
      <c r="P348" s="65">
        <f t="shared" si="62"/>
        <v>1.2023809523809523</v>
      </c>
      <c r="Q348" s="63">
        <v>6610</v>
      </c>
      <c r="R348" s="62">
        <v>724</v>
      </c>
      <c r="S348" s="63">
        <v>2917</v>
      </c>
      <c r="T348" s="65">
        <f t="shared" si="69"/>
        <v>0.54894954980706012</v>
      </c>
    </row>
    <row r="349" spans="1:20">
      <c r="A349" s="62" t="s">
        <v>315</v>
      </c>
      <c r="B349" s="62">
        <v>2017</v>
      </c>
      <c r="C349" s="63">
        <v>4679</v>
      </c>
      <c r="D349" s="62">
        <v>662</v>
      </c>
      <c r="E349" s="64">
        <f t="shared" si="65"/>
        <v>0.14148322291087839</v>
      </c>
      <c r="F349" s="62">
        <v>249</v>
      </c>
      <c r="G349" s="64">
        <f t="shared" si="67"/>
        <v>5.3216499251976919E-2</v>
      </c>
      <c r="H349" s="62">
        <v>620</v>
      </c>
      <c r="I349" s="62">
        <v>298</v>
      </c>
      <c r="J349" s="63">
        <f t="shared" si="60"/>
        <v>322</v>
      </c>
      <c r="K349" s="64">
        <f t="shared" si="68"/>
        <v>6.8818123530668948E-2</v>
      </c>
      <c r="L349" s="64">
        <f>J349/ABS(J347)</f>
        <v>1.1970260223048328</v>
      </c>
      <c r="M349" s="63">
        <v>1327</v>
      </c>
      <c r="N349" s="62">
        <v>14</v>
      </c>
      <c r="O349" s="62">
        <v>966</v>
      </c>
      <c r="P349" s="65">
        <f t="shared" si="62"/>
        <v>1.3592132505175984</v>
      </c>
      <c r="Q349" s="63">
        <v>6345</v>
      </c>
      <c r="R349" s="62">
        <v>833</v>
      </c>
      <c r="S349" s="63">
        <v>3165</v>
      </c>
      <c r="T349" s="65">
        <f t="shared" si="69"/>
        <v>0.60527472527472526</v>
      </c>
    </row>
    <row r="350" spans="1:20">
      <c r="A350" s="62" t="s">
        <v>315</v>
      </c>
      <c r="B350" s="62">
        <v>2018</v>
      </c>
      <c r="C350" s="63">
        <v>4446</v>
      </c>
      <c r="D350" s="62">
        <v>649</v>
      </c>
      <c r="E350" s="64">
        <f t="shared" si="65"/>
        <v>0.14597390913180386</v>
      </c>
      <c r="F350" s="62">
        <v>769</v>
      </c>
      <c r="G350" s="64">
        <f t="shared" si="67"/>
        <v>0.17296446243814664</v>
      </c>
      <c r="H350" s="62">
        <v>341</v>
      </c>
      <c r="I350" s="62">
        <v>297</v>
      </c>
      <c r="J350" s="63">
        <f t="shared" si="60"/>
        <v>44</v>
      </c>
      <c r="K350" s="64">
        <f t="shared" si="68"/>
        <v>9.8965362123256857E-3</v>
      </c>
      <c r="L350" s="64">
        <f>J350/ABS(J347)</f>
        <v>0.16356877323420074</v>
      </c>
      <c r="M350" s="63">
        <v>1345</v>
      </c>
      <c r="N350" s="62">
        <v>14</v>
      </c>
      <c r="O350" s="63">
        <v>1061</v>
      </c>
      <c r="P350" s="65">
        <f t="shared" si="62"/>
        <v>1.2544769085768144</v>
      </c>
      <c r="Q350" s="63">
        <v>6298</v>
      </c>
      <c r="R350" s="62">
        <v>911</v>
      </c>
      <c r="S350" s="63">
        <v>2905</v>
      </c>
      <c r="T350" s="65">
        <f t="shared" si="69"/>
        <v>0.59035427210479308</v>
      </c>
    </row>
    <row r="351" spans="1:20">
      <c r="A351" s="62" t="s">
        <v>315</v>
      </c>
      <c r="B351" s="62">
        <v>2019</v>
      </c>
      <c r="C351" s="63">
        <v>5020</v>
      </c>
      <c r="D351" s="62">
        <v>548</v>
      </c>
      <c r="E351" s="64">
        <f t="shared" si="65"/>
        <v>0.10916334661354582</v>
      </c>
      <c r="F351" s="62">
        <v>766</v>
      </c>
      <c r="G351" s="64">
        <f t="shared" si="67"/>
        <v>0.15258964143426296</v>
      </c>
      <c r="H351" s="62">
        <v>396</v>
      </c>
      <c r="I351" s="62">
        <v>369</v>
      </c>
      <c r="J351" s="63">
        <f t="shared" si="60"/>
        <v>27</v>
      </c>
      <c r="K351" s="64">
        <f t="shared" si="68"/>
        <v>5.3784860557768927E-3</v>
      </c>
      <c r="L351" s="64">
        <f>J351/ABS(J347)</f>
        <v>0.10037174721189591</v>
      </c>
      <c r="M351" s="63">
        <v>1706</v>
      </c>
      <c r="N351" s="62">
        <v>12</v>
      </c>
      <c r="O351" s="63">
        <v>1086</v>
      </c>
      <c r="P351" s="65">
        <f t="shared" si="62"/>
        <v>1.5598526703499078</v>
      </c>
      <c r="Q351" s="63">
        <v>6711</v>
      </c>
      <c r="R351" s="62">
        <v>763</v>
      </c>
      <c r="S351" s="63">
        <v>3364</v>
      </c>
      <c r="T351" s="65">
        <f t="shared" si="69"/>
        <v>0.58230829625752423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85E73-482F-4ACD-A04A-F3E5846F532F}">
  <dimension ref="A1:T74"/>
  <sheetViews>
    <sheetView topLeftCell="A11" workbookViewId="0">
      <selection activeCell="F11" sqref="F11"/>
    </sheetView>
  </sheetViews>
  <sheetFormatPr defaultRowHeight="15"/>
  <sheetData>
    <row r="1" spans="1:20">
      <c r="A1" t="s">
        <v>378</v>
      </c>
      <c r="B1">
        <v>1</v>
      </c>
      <c r="C1">
        <f>B1 + 1</f>
        <v>2</v>
      </c>
      <c r="D1">
        <f t="shared" ref="D1:P1" si="0">C1 + 1</f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 t="s">
        <v>379</v>
      </c>
      <c r="R1" t="s">
        <v>380</v>
      </c>
      <c r="S1" s="61" t="s">
        <v>381</v>
      </c>
      <c r="T1" t="s">
        <v>382</v>
      </c>
    </row>
    <row r="2" spans="1:20">
      <c r="A2" t="s">
        <v>32</v>
      </c>
      <c r="B2" s="61">
        <v>23136</v>
      </c>
      <c r="C2" s="61">
        <v>24982</v>
      </c>
      <c r="D2" s="61">
        <v>31378</v>
      </c>
      <c r="E2" s="61">
        <v>32252</v>
      </c>
      <c r="F2" s="61">
        <v>38260</v>
      </c>
      <c r="G2" s="61" cm="1">
        <f t="array" ref="G2:P2">_xlfn.FORECAST.LINEAR(G1:P1,B2:F2,B1:F1)</f>
        <v>41257</v>
      </c>
      <c r="H2" s="61">
        <v>45008.800000000003</v>
      </c>
      <c r="I2" s="61">
        <v>48760.6</v>
      </c>
      <c r="J2" s="61">
        <v>52512.4</v>
      </c>
      <c r="K2" s="61">
        <v>56264.2</v>
      </c>
      <c r="L2" s="61">
        <v>60016</v>
      </c>
      <c r="M2" s="61">
        <v>63767.8</v>
      </c>
      <c r="N2" s="61">
        <v>67519.600000000006</v>
      </c>
      <c r="O2" s="61">
        <v>71271.399999999994</v>
      </c>
      <c r="P2" s="61">
        <v>75023.199999999997</v>
      </c>
      <c r="Q2" s="61">
        <f t="shared" ref="Q2:Q3" si="1">SUM(G2:P2)</f>
        <v>581401</v>
      </c>
      <c r="R2" s="61">
        <f>1.15*1000*1000</f>
        <v>1150000</v>
      </c>
      <c r="S2" s="46">
        <f t="shared" ref="S2:S3" si="2">Q2/R2</f>
        <v>0.50556608695652172</v>
      </c>
    </row>
    <row r="3" spans="1:20">
      <c r="A3" s="61" t="s">
        <v>29</v>
      </c>
      <c r="B3" s="61">
        <v>6076</v>
      </c>
      <c r="C3" s="61">
        <v>11617</v>
      </c>
      <c r="D3" s="61">
        <v>17483</v>
      </c>
      <c r="E3" s="61">
        <v>15359</v>
      </c>
      <c r="F3" s="61">
        <v>21212</v>
      </c>
      <c r="G3" s="61" cm="1">
        <f t="array" ref="G3:P3">_xlfn.FORECAST.LINEAR(G1:P1,B3:F3,B1:F1)</f>
        <v>24553.599999999999</v>
      </c>
      <c r="H3" s="61">
        <v>27955</v>
      </c>
      <c r="I3" s="61">
        <v>31356.400000000001</v>
      </c>
      <c r="J3" s="61">
        <v>34757.800000000003</v>
      </c>
      <c r="K3" s="61">
        <v>38159.199999999997</v>
      </c>
      <c r="L3" s="61">
        <v>41560.6</v>
      </c>
      <c r="M3" s="61">
        <v>44962</v>
      </c>
      <c r="N3" s="61">
        <v>48363.4</v>
      </c>
      <c r="O3" s="61">
        <v>51764.799999999996</v>
      </c>
      <c r="P3" s="61">
        <v>55166.2</v>
      </c>
      <c r="Q3" s="61">
        <f t="shared" si="1"/>
        <v>398599</v>
      </c>
      <c r="R3" s="61">
        <f>483.41*1000</f>
        <v>483410</v>
      </c>
      <c r="S3" s="46">
        <f t="shared" si="2"/>
        <v>0.82455679443950269</v>
      </c>
    </row>
    <row r="4" spans="1:20">
      <c r="A4" s="6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46"/>
    </row>
    <row r="5" spans="1:20">
      <c r="A5" s="61" t="s">
        <v>101</v>
      </c>
      <c r="B5" s="61">
        <v>246</v>
      </c>
      <c r="C5" s="61">
        <v>279</v>
      </c>
      <c r="D5" s="61">
        <v>459</v>
      </c>
      <c r="E5" s="61">
        <v>586</v>
      </c>
      <c r="F5" s="61">
        <v>716</v>
      </c>
      <c r="G5" s="61" cm="1">
        <f t="array" ref="G5:P5">_xlfn.FORECAST.LINEAR($G$1:$P$1,B5:F5,$B$1:$F$1)</f>
        <v>831.3</v>
      </c>
      <c r="H5" s="61">
        <v>956</v>
      </c>
      <c r="I5" s="61">
        <v>1080.7</v>
      </c>
      <c r="J5" s="61">
        <v>1205.3999999999999</v>
      </c>
      <c r="K5" s="61">
        <v>1330.1</v>
      </c>
      <c r="L5" s="61">
        <v>1454.8</v>
      </c>
      <c r="M5" s="61">
        <v>1579.5</v>
      </c>
      <c r="N5" s="61">
        <v>1704.2</v>
      </c>
      <c r="O5" s="61">
        <v>1828.8999999999999</v>
      </c>
      <c r="P5" s="61">
        <v>1953.6</v>
      </c>
      <c r="Q5" s="61">
        <f t="shared" ref="Q5:Q11" si="3">SUM(G5:P5)</f>
        <v>13924.5</v>
      </c>
      <c r="R5" s="61">
        <f>15.58*1000</f>
        <v>15580</v>
      </c>
      <c r="S5" s="46">
        <f t="shared" ref="S5:S11" si="4">Q5/R5</f>
        <v>0.89374197689345314</v>
      </c>
    </row>
    <row r="6" spans="1:20">
      <c r="A6" t="s">
        <v>33</v>
      </c>
      <c r="B6" s="61">
        <v>7331</v>
      </c>
      <c r="C6" s="61">
        <v>9706</v>
      </c>
      <c r="D6" s="61">
        <v>6479</v>
      </c>
      <c r="E6" s="61">
        <v>17296</v>
      </c>
      <c r="F6" s="61">
        <v>21653</v>
      </c>
      <c r="G6" s="61" cm="1">
        <f t="array" ref="G6:P6">_xlfn.FORECAST.LINEAR($G$1:$P$1,B6:F6,$B$1:$F$1)</f>
        <v>23363.200000000001</v>
      </c>
      <c r="H6" s="61">
        <v>26986.6</v>
      </c>
      <c r="I6" s="61">
        <v>30610</v>
      </c>
      <c r="J6" s="61">
        <v>34233.4</v>
      </c>
      <c r="K6" s="61">
        <v>37856.800000000003</v>
      </c>
      <c r="L6" s="61">
        <v>41480.199999999997</v>
      </c>
      <c r="M6" s="61">
        <v>45103.600000000006</v>
      </c>
      <c r="N6" s="61">
        <v>48727</v>
      </c>
      <c r="O6" s="61">
        <v>52350.399999999994</v>
      </c>
      <c r="P6" s="61">
        <v>55973.8</v>
      </c>
      <c r="Q6" s="61">
        <f t="shared" si="3"/>
        <v>396685.00000000006</v>
      </c>
      <c r="R6" s="61">
        <f>942.13*1000</f>
        <v>942130</v>
      </c>
      <c r="S6" s="46">
        <f t="shared" si="4"/>
        <v>0.42105123496757352</v>
      </c>
    </row>
    <row r="7" spans="1:20">
      <c r="A7" s="61" t="s">
        <v>27</v>
      </c>
      <c r="B7" s="61">
        <v>16109</v>
      </c>
      <c r="C7" s="61">
        <v>25824</v>
      </c>
      <c r="D7" s="61">
        <v>23907</v>
      </c>
      <c r="E7" s="61">
        <v>22832</v>
      </c>
      <c r="F7" s="61">
        <v>30972</v>
      </c>
      <c r="G7" s="61" cm="1">
        <f t="array" ref="G7:P7">_xlfn.FORECAST.LINEAR($G$1:$P$1,B7:F7,$B$1:$F$1)</f>
        <v>31949</v>
      </c>
      <c r="H7" s="61">
        <v>34622.399999999994</v>
      </c>
      <c r="I7" s="61">
        <v>37295.800000000003</v>
      </c>
      <c r="J7" s="61">
        <v>39969.199999999997</v>
      </c>
      <c r="K7" s="61">
        <v>42642.6</v>
      </c>
      <c r="L7" s="61">
        <v>45316</v>
      </c>
      <c r="M7" s="61">
        <v>47989.4</v>
      </c>
      <c r="N7" s="61">
        <v>50662.8</v>
      </c>
      <c r="O7" s="61">
        <v>53336.2</v>
      </c>
      <c r="P7" s="61">
        <v>56009.599999999999</v>
      </c>
      <c r="Q7" s="61">
        <f t="shared" si="3"/>
        <v>439793</v>
      </c>
      <c r="R7" s="61">
        <f>877.74*1000</f>
        <v>877740</v>
      </c>
      <c r="S7" s="46">
        <f t="shared" si="4"/>
        <v>0.50105156424453712</v>
      </c>
    </row>
    <row r="8" spans="1:20">
      <c r="A8" s="61" t="s">
        <v>364</v>
      </c>
      <c r="B8" s="61">
        <v>70019</v>
      </c>
      <c r="C8" s="61">
        <v>53090</v>
      </c>
      <c r="D8" s="61">
        <v>51147</v>
      </c>
      <c r="E8" s="61">
        <v>64121</v>
      </c>
      <c r="F8" s="61">
        <v>58896</v>
      </c>
      <c r="G8" s="61" cm="1">
        <f t="array" ref="G8:P8">_xlfn.FORECAST.LINEAR($G$1:$P$1,B8:F8,$B$1:$F$1)</f>
        <v>56090.1</v>
      </c>
      <c r="H8" s="61">
        <v>54968.6</v>
      </c>
      <c r="I8" s="61">
        <v>53847.1</v>
      </c>
      <c r="J8" s="61">
        <v>52725.599999999999</v>
      </c>
      <c r="K8" s="61">
        <v>51604.1</v>
      </c>
      <c r="L8" s="61">
        <v>50482.6</v>
      </c>
      <c r="M8" s="61">
        <v>49361.1</v>
      </c>
      <c r="N8" s="61">
        <v>48239.6</v>
      </c>
      <c r="O8" s="61">
        <v>47118.1</v>
      </c>
      <c r="P8" s="61">
        <v>45996.6</v>
      </c>
      <c r="Q8" s="61">
        <f t="shared" si="3"/>
        <v>510433.49999999988</v>
      </c>
      <c r="R8" s="61">
        <f>1.25*1000*1000</f>
        <v>1250000</v>
      </c>
      <c r="S8" s="46">
        <f t="shared" si="4"/>
        <v>0.4083467999999999</v>
      </c>
    </row>
    <row r="9" spans="1:20">
      <c r="A9" s="61" t="s">
        <v>195</v>
      </c>
      <c r="B9" s="61">
        <v>-2159</v>
      </c>
      <c r="C9" s="61">
        <v>-1564</v>
      </c>
      <c r="D9" s="61">
        <v>-4142</v>
      </c>
      <c r="E9" s="61">
        <v>-222</v>
      </c>
      <c r="F9" s="61">
        <v>973</v>
      </c>
      <c r="G9" s="61" cm="1">
        <f t="array" ref="G9:P9">_xlfn.FORECAST.LINEAR($G$1:$P$1,B9:F9,$B$1:$F$1)</f>
        <v>859</v>
      </c>
      <c r="H9" s="61">
        <v>1619.5999999999995</v>
      </c>
      <c r="I9" s="61">
        <v>2380.1999999999998</v>
      </c>
      <c r="J9" s="61">
        <v>3140.8</v>
      </c>
      <c r="K9" s="61">
        <v>3901.3999999999996</v>
      </c>
      <c r="L9" s="61">
        <v>4662</v>
      </c>
      <c r="M9" s="61">
        <v>5422.6</v>
      </c>
      <c r="N9" s="61">
        <v>6183.2000000000007</v>
      </c>
      <c r="O9" s="61">
        <v>6943.7999999999993</v>
      </c>
      <c r="P9" s="61">
        <v>7704.4</v>
      </c>
      <c r="Q9" s="61">
        <f t="shared" si="3"/>
        <v>42817</v>
      </c>
      <c r="R9" s="61">
        <f>116.8*1000</f>
        <v>116800</v>
      </c>
      <c r="S9" s="46">
        <f t="shared" si="4"/>
        <v>0.36658390410958902</v>
      </c>
    </row>
    <row r="10" spans="1:20">
      <c r="A10" s="61" t="s">
        <v>34</v>
      </c>
      <c r="B10" s="61">
        <v>1329</v>
      </c>
      <c r="C10" s="61">
        <v>1698</v>
      </c>
      <c r="D10" s="61">
        <v>2204</v>
      </c>
      <c r="E10" s="61">
        <v>2803</v>
      </c>
      <c r="F10" s="61">
        <v>3688</v>
      </c>
      <c r="G10" s="61" cm="1">
        <f t="array" ref="G10:P10">_xlfn.FORECAST.LINEAR($G$1:$P$1,B10:F10,$B$1:$F$1)</f>
        <v>4091.3</v>
      </c>
      <c r="H10" s="61">
        <v>4673.5999999999995</v>
      </c>
      <c r="I10">
        <v>5255.9</v>
      </c>
      <c r="J10">
        <v>5838.2</v>
      </c>
      <c r="K10">
        <v>6420.5</v>
      </c>
      <c r="L10">
        <v>7002.7999999999993</v>
      </c>
      <c r="M10">
        <v>7585.0999999999995</v>
      </c>
      <c r="N10">
        <v>8167.4</v>
      </c>
      <c r="O10">
        <v>8749.6999999999989</v>
      </c>
      <c r="P10">
        <v>9332</v>
      </c>
      <c r="Q10" s="61">
        <f t="shared" si="3"/>
        <v>67116.5</v>
      </c>
      <c r="R10" s="61">
        <f>142.95*1000</f>
        <v>142950</v>
      </c>
      <c r="S10" s="46">
        <f t="shared" si="4"/>
        <v>0.46951031829310946</v>
      </c>
    </row>
    <row r="11" spans="1:20">
      <c r="A11" s="61" t="s">
        <v>46</v>
      </c>
      <c r="B11" s="61">
        <v>5406</v>
      </c>
      <c r="C11" s="61">
        <v>7133</v>
      </c>
      <c r="D11" s="61">
        <v>9121</v>
      </c>
      <c r="E11" s="61">
        <v>15198</v>
      </c>
      <c r="F11" s="61">
        <v>17208</v>
      </c>
      <c r="G11" s="61" cm="1">
        <f t="array" ref="G11:P11">_xlfn.FORECAST.LINEAR($G$1:$P$1,B11:F11,$B$1:$F$1)</f>
        <v>20313.900000000001</v>
      </c>
      <c r="H11" s="61">
        <v>23480.799999999999</v>
      </c>
      <c r="I11" s="61">
        <v>26647.7</v>
      </c>
      <c r="J11">
        <v>29814.600000000002</v>
      </c>
      <c r="K11">
        <v>32981.5</v>
      </c>
      <c r="L11">
        <v>36148.400000000001</v>
      </c>
      <c r="M11">
        <v>39315.300000000003</v>
      </c>
      <c r="N11">
        <v>42482.200000000004</v>
      </c>
      <c r="O11">
        <v>45649.1</v>
      </c>
      <c r="P11">
        <v>48816</v>
      </c>
      <c r="Q11" s="61">
        <f t="shared" si="3"/>
        <v>345649.5</v>
      </c>
      <c r="R11" s="61">
        <f>533.94*1000</f>
        <v>533940</v>
      </c>
      <c r="S11" s="46">
        <f t="shared" si="4"/>
        <v>0.64735644454433083</v>
      </c>
    </row>
    <row r="13" spans="1:20">
      <c r="A13" s="61" t="s">
        <v>302</v>
      </c>
      <c r="B13" s="61">
        <v>4959</v>
      </c>
      <c r="C13" s="61">
        <v>5242</v>
      </c>
      <c r="D13" s="61">
        <v>4867</v>
      </c>
      <c r="E13" s="61">
        <v>4862</v>
      </c>
      <c r="F13" s="61">
        <v>5371</v>
      </c>
      <c r="G13" s="61" cm="1">
        <f t="array" ref="G13:P13">_xlfn.FORECAST.LINEAR($G$1:$P$1,B13:F13,$B$1:$F$1)</f>
        <v>5193.3999999999996</v>
      </c>
      <c r="H13" s="61">
        <v>5237.8</v>
      </c>
      <c r="I13">
        <v>5282.2</v>
      </c>
      <c r="J13">
        <v>5326.6</v>
      </c>
      <c r="K13">
        <v>5371</v>
      </c>
      <c r="L13">
        <v>5415.4</v>
      </c>
      <c r="M13">
        <v>5459.8</v>
      </c>
      <c r="N13">
        <v>5504.2</v>
      </c>
      <c r="O13">
        <v>5548.6</v>
      </c>
      <c r="P13">
        <v>5593</v>
      </c>
      <c r="Q13" s="61">
        <f>SUM(G13:P13)</f>
        <v>53932</v>
      </c>
      <c r="R13" s="61">
        <f>88.18*1000</f>
        <v>88180</v>
      </c>
      <c r="S13" s="46">
        <f>Q13/R13</f>
        <v>0.61161261056929006</v>
      </c>
    </row>
    <row r="14" spans="1:20">
      <c r="A14" s="61" t="s">
        <v>305</v>
      </c>
      <c r="B14" s="61">
        <v>10872</v>
      </c>
      <c r="C14" s="61">
        <v>12121</v>
      </c>
      <c r="D14" s="61">
        <v>9369</v>
      </c>
      <c r="E14" s="61">
        <v>11150</v>
      </c>
      <c r="F14" s="61">
        <v>11895</v>
      </c>
      <c r="G14" s="61" cm="1">
        <f t="array" ref="G14:P14">_xlfn.FORECAST.LINEAR($G$1:$P$1,B14:F14,$B$1:$F$1)</f>
        <v>11403.9</v>
      </c>
      <c r="H14">
        <v>11511.4</v>
      </c>
      <c r="I14">
        <v>11618.9</v>
      </c>
      <c r="J14">
        <v>11726.4</v>
      </c>
      <c r="K14">
        <v>11833.9</v>
      </c>
      <c r="L14">
        <v>11941.4</v>
      </c>
      <c r="M14">
        <v>12048.9</v>
      </c>
      <c r="N14">
        <v>12156.4</v>
      </c>
      <c r="O14">
        <v>12263.9</v>
      </c>
      <c r="P14">
        <v>12371.4</v>
      </c>
      <c r="Q14" s="61">
        <f>SUM(G14:P14)</f>
        <v>118876.49999999997</v>
      </c>
      <c r="R14" s="61">
        <f>297.69*1000</f>
        <v>297690</v>
      </c>
      <c r="S14" s="46">
        <f>Q14/R14</f>
        <v>0.39932983976619962</v>
      </c>
    </row>
    <row r="15" spans="1:20">
      <c r="A15" s="61" t="s">
        <v>180</v>
      </c>
      <c r="B15" s="61">
        <v>6913</v>
      </c>
      <c r="C15" s="61">
        <v>7886</v>
      </c>
      <c r="D15" s="61">
        <v>11605</v>
      </c>
      <c r="E15" s="61">
        <v>13600</v>
      </c>
      <c r="F15" s="61">
        <v>-4280</v>
      </c>
      <c r="G15" s="61" cm="1">
        <f t="array" ref="G15:P15">_xlfn.FORECAST.LINEAR($G$1:$P$1,B15:F15,$B$1:$F$1)</f>
        <v>2143.2000000000007</v>
      </c>
      <c r="H15" s="61">
        <v>476.00000000000182</v>
      </c>
      <c r="I15" s="61">
        <v>-1191.1999999999989</v>
      </c>
      <c r="J15" s="61">
        <v>-2858.3999999999996</v>
      </c>
      <c r="K15" s="61">
        <v>-4525.5999999999985</v>
      </c>
      <c r="L15" s="61">
        <v>-6192.7999999999993</v>
      </c>
      <c r="M15" s="61">
        <v>-7860</v>
      </c>
      <c r="N15" s="61">
        <v>-9527.2000000000007</v>
      </c>
      <c r="O15" s="61">
        <v>-11194.399999999998</v>
      </c>
      <c r="P15" s="61">
        <v>-12861.599999999999</v>
      </c>
      <c r="Q15" s="61">
        <f>SUM(G15:P15)</f>
        <v>-53591.999999999993</v>
      </c>
      <c r="R15" s="61">
        <f>130.04*1000</f>
        <v>130039.99999999999</v>
      </c>
      <c r="S15" s="46">
        <f>Q15/R15</f>
        <v>-0.41211934789295601</v>
      </c>
    </row>
    <row r="16" spans="1:20">
      <c r="A16" s="61" t="s">
        <v>377</v>
      </c>
      <c r="B16" s="61">
        <v>19891</v>
      </c>
      <c r="C16" s="61">
        <v>-244</v>
      </c>
      <c r="D16" s="61">
        <v>10426</v>
      </c>
      <c r="E16" s="61">
        <v>4246</v>
      </c>
      <c r="F16" s="61">
        <v>8772</v>
      </c>
      <c r="G16" s="61" cm="1">
        <f t="array" ref="G16:P16">_xlfn.FORECAST.LINEAR($G$1:$P$1,B16:F16,$B$1:$F$1)</f>
        <v>3293.8000000000011</v>
      </c>
      <c r="H16" s="61">
        <v>1519</v>
      </c>
      <c r="I16" s="61">
        <v>-255.79999999999927</v>
      </c>
      <c r="J16" s="61">
        <v>-2030.5999999999985</v>
      </c>
      <c r="K16" s="61">
        <v>-3805.3999999999996</v>
      </c>
      <c r="L16" s="61">
        <v>-5580.1999999999989</v>
      </c>
      <c r="M16" s="61">
        <v>-7354.9999999999982</v>
      </c>
      <c r="N16" s="61">
        <v>-9129.7999999999975</v>
      </c>
      <c r="O16" s="61">
        <v>-10904.6</v>
      </c>
      <c r="P16" s="61">
        <v>-12679.4</v>
      </c>
      <c r="Q16" s="61">
        <f>SUM(G16:P16)</f>
        <v>-46927.999999999993</v>
      </c>
      <c r="R16" s="61">
        <f>77.34*1000</f>
        <v>77340</v>
      </c>
      <c r="S16" s="46">
        <f>Q16/R16</f>
        <v>-0.60677527799327635</v>
      </c>
    </row>
    <row r="19" spans="1:20">
      <c r="A19" s="61" t="s">
        <v>77</v>
      </c>
      <c r="B19" s="61">
        <v>2377</v>
      </c>
      <c r="C19" s="61">
        <v>2350</v>
      </c>
      <c r="D19" s="61">
        <v>2679</v>
      </c>
      <c r="E19" s="61">
        <v>3134</v>
      </c>
      <c r="F19" s="61">
        <v>3659</v>
      </c>
      <c r="G19" s="61" cm="1">
        <f t="array" ref="G19:P19">_xlfn.FORECAST.LINEAR($G$1:$P$1,B19:F19,$B$1:$F$1)</f>
        <v>3844.2000000000003</v>
      </c>
      <c r="H19" s="61">
        <v>4179</v>
      </c>
      <c r="I19" s="61">
        <v>4513.8</v>
      </c>
      <c r="J19" s="61">
        <v>4848.6000000000004</v>
      </c>
      <c r="K19" s="61">
        <v>5183.3999999999996</v>
      </c>
      <c r="L19" s="61">
        <v>5518.2000000000007</v>
      </c>
      <c r="M19" s="61">
        <v>5853</v>
      </c>
      <c r="N19" s="61">
        <v>6187.8000000000011</v>
      </c>
      <c r="O19" s="61">
        <v>6522.6</v>
      </c>
      <c r="P19" s="61">
        <v>6857.4</v>
      </c>
      <c r="Q19" s="61">
        <f>SUM(G19:P19)</f>
        <v>53508</v>
      </c>
      <c r="R19" s="61">
        <f>136.64*1000</f>
        <v>136640</v>
      </c>
      <c r="S19" s="46">
        <f>Q19/R19</f>
        <v>0.39159836065573772</v>
      </c>
    </row>
    <row r="20" spans="1:20">
      <c r="A20" s="61" t="s">
        <v>86</v>
      </c>
      <c r="B20" s="61">
        <v>1332</v>
      </c>
      <c r="C20" s="61">
        <v>1484</v>
      </c>
      <c r="D20" s="61">
        <v>573</v>
      </c>
      <c r="E20" s="61">
        <v>604</v>
      </c>
      <c r="F20" s="61">
        <v>1197</v>
      </c>
      <c r="G20" s="61" cm="1">
        <f t="array" ref="G20:P20">_xlfn.FORECAST.LINEAR($G$1:$P$1,B20:F20,$B$1:$F$1)</f>
        <v>693</v>
      </c>
      <c r="H20">
        <v>578</v>
      </c>
      <c r="I20">
        <v>463</v>
      </c>
      <c r="J20">
        <v>348</v>
      </c>
      <c r="K20">
        <v>233</v>
      </c>
      <c r="L20">
        <v>118</v>
      </c>
      <c r="M20">
        <v>3</v>
      </c>
      <c r="N20">
        <v>-112</v>
      </c>
      <c r="O20">
        <v>-227</v>
      </c>
      <c r="P20">
        <v>-342</v>
      </c>
      <c r="Q20" s="61">
        <f>SUM(G20:P20)</f>
        <v>1755</v>
      </c>
      <c r="R20" s="61">
        <f>25.69 * 1000</f>
        <v>25690</v>
      </c>
      <c r="S20" s="46">
        <f>Q20/R20</f>
        <v>6.8314519268197746E-2</v>
      </c>
    </row>
    <row r="22" spans="1:20">
      <c r="A22" s="61" t="s">
        <v>162</v>
      </c>
      <c r="B22" s="61">
        <v>13895</v>
      </c>
      <c r="C22" s="61">
        <v>14778</v>
      </c>
      <c r="D22" s="61">
        <v>13445</v>
      </c>
      <c r="E22" s="61">
        <v>21664</v>
      </c>
      <c r="F22" s="61">
        <v>19625</v>
      </c>
      <c r="G22" s="61" cm="1">
        <f t="array" ref="G22:P22">_xlfn.FORECAST.LINEAR($G$1:$P$1,B22:F22,$B$1:$F$1)</f>
        <v>22185.200000000001</v>
      </c>
      <c r="H22" s="61">
        <v>24019.800000000003</v>
      </c>
      <c r="I22" s="61">
        <v>25854.400000000001</v>
      </c>
      <c r="J22" s="61">
        <v>27689</v>
      </c>
      <c r="K22" s="61">
        <v>29523.600000000002</v>
      </c>
      <c r="L22" s="61">
        <v>31358.2</v>
      </c>
      <c r="M22" s="61">
        <v>33192.800000000003</v>
      </c>
      <c r="N22" s="61">
        <v>35027.4</v>
      </c>
      <c r="O22" s="61">
        <v>36862</v>
      </c>
      <c r="P22" s="61">
        <v>38696.600000000006</v>
      </c>
      <c r="Q22" s="61">
        <f>SUM(G22:P22)</f>
        <v>304409</v>
      </c>
      <c r="R22" s="61">
        <f>23.23*1000</f>
        <v>23230</v>
      </c>
      <c r="S22" s="46">
        <f>Q22/R22</f>
        <v>13.10413258717176</v>
      </c>
      <c r="T22" t="s">
        <v>383</v>
      </c>
    </row>
    <row r="23" spans="1:20">
      <c r="A23" s="61" t="s">
        <v>162</v>
      </c>
      <c r="B23" s="61">
        <v>5642</v>
      </c>
      <c r="C23" s="61">
        <v>4368</v>
      </c>
      <c r="D23" s="61">
        <v>7863</v>
      </c>
      <c r="E23" s="61">
        <v>4074</v>
      </c>
      <c r="F23" s="61">
        <v>4186</v>
      </c>
      <c r="G23" s="61" cm="1">
        <f t="array" ref="G23:P23">_xlfn.FORECAST.LINEAR($G$1:$P$1,B23:F23,$B$1:$F$1)</f>
        <v>4264.8</v>
      </c>
      <c r="H23" s="61">
        <v>3944.2000000000003</v>
      </c>
      <c r="I23" s="61">
        <v>3623.6000000000004</v>
      </c>
      <c r="J23" s="61">
        <v>3303.0000000000005</v>
      </c>
      <c r="K23" s="61">
        <v>2982.4000000000005</v>
      </c>
      <c r="L23" s="61">
        <v>2661.8</v>
      </c>
      <c r="M23" s="61">
        <v>2341.2000000000003</v>
      </c>
      <c r="N23" s="61">
        <v>2020.6000000000004</v>
      </c>
      <c r="O23" s="61">
        <v>1700</v>
      </c>
      <c r="P23" s="61">
        <v>1379.4000000000005</v>
      </c>
      <c r="Q23" s="61">
        <f>SUM(G23:P23)</f>
        <v>28221</v>
      </c>
      <c r="R23" s="61">
        <f>23.23*1000</f>
        <v>23230</v>
      </c>
      <c r="S23" s="46">
        <f>Q23/R23</f>
        <v>1.2148514851485148</v>
      </c>
      <c r="T23" t="s">
        <v>384</v>
      </c>
    </row>
    <row r="24" spans="1:20">
      <c r="A24" t="s">
        <v>152</v>
      </c>
      <c r="B24" s="61">
        <v>22406</v>
      </c>
      <c r="C24" s="61">
        <v>22583</v>
      </c>
      <c r="D24" s="61">
        <v>22567</v>
      </c>
      <c r="E24" s="61">
        <v>30709</v>
      </c>
      <c r="F24" s="61">
        <v>34642</v>
      </c>
      <c r="G24" s="61" cm="1">
        <f t="array" ref="G24:P24">_xlfn.FORECAST.LINEAR($G$1:$P$1,B24:F24,$B$1:$F$1)</f>
        <v>36360.800000000003</v>
      </c>
      <c r="H24" s="61">
        <v>39620.600000000006</v>
      </c>
      <c r="I24" s="61">
        <v>42880.4</v>
      </c>
      <c r="J24" s="61">
        <v>46140.2</v>
      </c>
      <c r="K24" s="61">
        <v>49400</v>
      </c>
      <c r="L24" s="61">
        <v>52659.8</v>
      </c>
      <c r="M24" s="61">
        <v>55919.600000000006</v>
      </c>
      <c r="N24" s="61">
        <v>59179.4</v>
      </c>
      <c r="O24" s="61">
        <v>62439.200000000004</v>
      </c>
      <c r="P24" s="61">
        <v>65699</v>
      </c>
      <c r="Q24" s="61">
        <f>SUM(G24:P24)</f>
        <v>510299.00000000006</v>
      </c>
      <c r="R24" s="61">
        <f>310.56*1000</f>
        <v>310560</v>
      </c>
      <c r="S24" s="46">
        <f>Q24/R24</f>
        <v>1.6431575218959302</v>
      </c>
      <c r="T24" t="s">
        <v>384</v>
      </c>
    </row>
    <row r="25" spans="1:20">
      <c r="D25" s="61"/>
      <c r="F25" s="61"/>
      <c r="H25" s="61"/>
    </row>
    <row r="26" spans="1:20">
      <c r="A26" s="61" t="s">
        <v>283</v>
      </c>
      <c r="B26" s="61">
        <v>165.45699999999999</v>
      </c>
      <c r="C26" s="61">
        <v>165.25200000000001</v>
      </c>
      <c r="D26" s="61">
        <v>250.625</v>
      </c>
      <c r="E26" s="61">
        <v>277.815</v>
      </c>
      <c r="F26" s="61">
        <v>511.52200000000005</v>
      </c>
      <c r="G26" s="61" cm="1">
        <f t="array" ref="G26:P26">_xlfn.FORECAST.LINEAR($G$1:$P$1,B26:F26,$B$1:$F$1)</f>
        <v>515.54210000000012</v>
      </c>
      <c r="H26" s="61">
        <v>596.01140000000009</v>
      </c>
      <c r="I26" s="61">
        <v>676.48070000000007</v>
      </c>
      <c r="J26" s="61">
        <v>756.95</v>
      </c>
      <c r="K26" s="61">
        <v>837.41930000000002</v>
      </c>
      <c r="L26" s="61">
        <v>917.88860000000011</v>
      </c>
      <c r="M26" s="61">
        <v>998.35790000000009</v>
      </c>
      <c r="N26" s="61">
        <v>1078.8272000000002</v>
      </c>
      <c r="O26" s="61">
        <v>1159.2965000000002</v>
      </c>
      <c r="P26" s="61">
        <v>1239.7658000000001</v>
      </c>
      <c r="Q26" s="61">
        <f>SUM(G26:P26)</f>
        <v>8776.5395000000026</v>
      </c>
      <c r="R26" s="61">
        <f>6.73*1000</f>
        <v>6730</v>
      </c>
      <c r="S26" s="46">
        <f>Q26/R26</f>
        <v>1.3040920505200597</v>
      </c>
      <c r="T26" t="s">
        <v>385</v>
      </c>
    </row>
    <row r="27" spans="1:20">
      <c r="A27" s="61" t="s">
        <v>288</v>
      </c>
      <c r="B27" s="61">
        <v>744</v>
      </c>
      <c r="C27" s="61">
        <v>1653</v>
      </c>
      <c r="D27" s="61">
        <v>1469</v>
      </c>
      <c r="E27" s="61">
        <v>795</v>
      </c>
      <c r="F27" s="61">
        <v>1403</v>
      </c>
      <c r="G27" s="61" cm="1">
        <f t="array" ref="G27:P27">_xlfn.FORECAST.LINEAR($G$1:$P$1,B27:F27,$B$1:$F$1)</f>
        <v>1350.8</v>
      </c>
      <c r="H27" s="61">
        <v>1396.8</v>
      </c>
      <c r="I27" s="61">
        <v>1442.8</v>
      </c>
      <c r="J27" s="61">
        <v>1488.8</v>
      </c>
      <c r="K27" s="61">
        <v>1534.8</v>
      </c>
      <c r="L27" s="61">
        <v>1580.8</v>
      </c>
      <c r="M27" s="61">
        <v>1626.8</v>
      </c>
      <c r="N27" s="61">
        <v>1672.8</v>
      </c>
      <c r="O27" s="61">
        <v>1718.8</v>
      </c>
      <c r="P27" s="61">
        <v>1764.8</v>
      </c>
      <c r="Q27" s="61">
        <f>SUM(G27:P27)</f>
        <v>15577.999999999996</v>
      </c>
      <c r="R27" s="61">
        <f>39.09*1000</f>
        <v>39090</v>
      </c>
      <c r="S27" s="46">
        <f>Q27/R27</f>
        <v>0.39851624456382695</v>
      </c>
      <c r="T27" t="s">
        <v>385</v>
      </c>
    </row>
    <row r="28" spans="1:20">
      <c r="A28" s="61" t="s">
        <v>285</v>
      </c>
      <c r="B28" s="61">
        <v>-136</v>
      </c>
      <c r="C28" s="61">
        <v>1081</v>
      </c>
      <c r="D28" s="61">
        <v>1514</v>
      </c>
      <c r="E28" s="61">
        <v>669</v>
      </c>
      <c r="F28" s="61">
        <v>365</v>
      </c>
      <c r="G28" s="61" cm="1">
        <f t="array" ref="G28:P28">_xlfn.FORECAST.LINEAR($G$1:$P$1,B28:F28,$B$1:$F$1)</f>
        <v>875.6</v>
      </c>
      <c r="H28" s="61">
        <v>934.60000000000014</v>
      </c>
      <c r="I28" s="61">
        <v>993.60000000000014</v>
      </c>
      <c r="J28" s="61">
        <v>1052.6000000000001</v>
      </c>
      <c r="K28" s="61">
        <v>1111.6000000000001</v>
      </c>
      <c r="L28" s="61">
        <v>1170.6000000000001</v>
      </c>
      <c r="M28" s="61">
        <v>1229.6000000000001</v>
      </c>
      <c r="N28" s="61">
        <v>1288.6000000000001</v>
      </c>
      <c r="O28" s="61">
        <v>1347.6000000000004</v>
      </c>
      <c r="P28" s="61">
        <v>1406.6000000000004</v>
      </c>
      <c r="Q28" s="61">
        <f>SUM(G28:P28)</f>
        <v>11411.000000000002</v>
      </c>
      <c r="R28" s="61">
        <f>35.33*1000</f>
        <v>35330</v>
      </c>
      <c r="S28" s="46">
        <f>Q28/R28</f>
        <v>0.3229833003113502</v>
      </c>
      <c r="T28" t="s">
        <v>385</v>
      </c>
    </row>
    <row r="29" spans="1:20">
      <c r="A29" t="s">
        <v>386</v>
      </c>
      <c r="B29" s="61">
        <v>-235</v>
      </c>
      <c r="C29" s="61">
        <v>-142</v>
      </c>
      <c r="D29" s="61">
        <v>204</v>
      </c>
      <c r="E29" s="61">
        <v>145</v>
      </c>
      <c r="F29" s="61">
        <v>383</v>
      </c>
      <c r="G29" s="61" cm="1">
        <f t="array" ref="G29:P29">_xlfn.FORECAST.LINEAR($G$1:$P$1,B29:F29,$B$1:$F$1)</f>
        <v>527.90000000000009</v>
      </c>
      <c r="H29">
        <v>680.2</v>
      </c>
      <c r="I29">
        <v>832.5</v>
      </c>
      <c r="J29">
        <v>984.8</v>
      </c>
      <c r="K29">
        <v>1137.0999999999999</v>
      </c>
      <c r="L29">
        <v>1289.4000000000001</v>
      </c>
      <c r="M29">
        <v>1441.7</v>
      </c>
      <c r="N29">
        <v>1594</v>
      </c>
      <c r="O29">
        <v>1746.3000000000002</v>
      </c>
      <c r="P29">
        <v>1898.6</v>
      </c>
      <c r="Q29" s="61">
        <f>SUM(G29:P29)</f>
        <v>12132.499999999998</v>
      </c>
      <c r="R29" s="61">
        <f>5.61*1000</f>
        <v>5610</v>
      </c>
      <c r="S29" s="46">
        <f>Q29/R29</f>
        <v>2.1626559714795004</v>
      </c>
      <c r="T29" t="s">
        <v>385</v>
      </c>
    </row>
    <row r="31" spans="1:20">
      <c r="A31" s="61" t="s">
        <v>218</v>
      </c>
      <c r="B31" s="61">
        <v>11691</v>
      </c>
      <c r="C31" s="61">
        <v>12183</v>
      </c>
      <c r="D31" s="61">
        <v>10332</v>
      </c>
      <c r="E31" s="61">
        <v>14251</v>
      </c>
      <c r="F31" s="61">
        <v>16932</v>
      </c>
      <c r="G31" s="61" cm="1">
        <f t="array" ref="G31:P31">_xlfn.FORECAST.LINEAR($G$1:$P$1,B31:F31,$B$1:$F$1)</f>
        <v>16842.8</v>
      </c>
      <c r="H31">
        <v>18097.8</v>
      </c>
      <c r="I31">
        <v>19352.8</v>
      </c>
      <c r="J31">
        <v>20607.8</v>
      </c>
      <c r="K31">
        <v>21862.799999999999</v>
      </c>
      <c r="L31">
        <v>23117.8</v>
      </c>
      <c r="M31">
        <v>24372.799999999999</v>
      </c>
      <c r="N31">
        <v>25627.8</v>
      </c>
      <c r="O31">
        <v>26882.799999999999</v>
      </c>
      <c r="P31">
        <v>28137.8</v>
      </c>
      <c r="Q31" s="61">
        <f>SUM(G31:P31)</f>
        <v>224902.99999999997</v>
      </c>
      <c r="R31">
        <f>221.62*1000</f>
        <v>221620</v>
      </c>
      <c r="S31" s="46">
        <f>Q31/R31</f>
        <v>1.01481364497789</v>
      </c>
    </row>
    <row r="32" spans="1:20">
      <c r="A32" s="61" t="s">
        <v>222</v>
      </c>
      <c r="B32" s="61">
        <v>1175</v>
      </c>
      <c r="C32" s="61">
        <v>1672</v>
      </c>
      <c r="D32" s="61">
        <v>3502</v>
      </c>
      <c r="E32" s="61">
        <v>3743</v>
      </c>
      <c r="F32" s="61">
        <v>4761</v>
      </c>
      <c r="G32" s="61" cm="1">
        <f t="array" ref="G32:P32">_xlfn.FORECAST.LINEAR($G$1:$P$1,B32:F32,$B$1:$F$1)</f>
        <v>5743.5</v>
      </c>
      <c r="H32" s="61">
        <v>6667.7999999999993</v>
      </c>
      <c r="I32" s="61">
        <v>7592.1</v>
      </c>
      <c r="J32" s="61">
        <v>8516.4</v>
      </c>
      <c r="K32" s="61">
        <v>9440.7000000000007</v>
      </c>
      <c r="L32" s="61">
        <v>10365</v>
      </c>
      <c r="M32" s="61">
        <v>11289.3</v>
      </c>
      <c r="N32" s="61">
        <v>12213.6</v>
      </c>
      <c r="O32" s="61">
        <v>13137.9</v>
      </c>
      <c r="P32" s="61">
        <v>14062.2</v>
      </c>
      <c r="Q32" s="61">
        <f t="shared" ref="Q32" si="5">SUM(G32:P32)</f>
        <v>99028.5</v>
      </c>
      <c r="R32" s="61">
        <f>150.84*1000</f>
        <v>150840</v>
      </c>
      <c r="S32" s="46">
        <f t="shared" ref="S32" si="6">Q32/R32</f>
        <v>0.65651352426412091</v>
      </c>
    </row>
    <row r="33" spans="1:20">
      <c r="A33" s="61" t="s">
        <v>225</v>
      </c>
      <c r="B33" s="61">
        <v>-322</v>
      </c>
      <c r="C33" s="61">
        <v>13</v>
      </c>
      <c r="D33" s="61">
        <v>-45</v>
      </c>
      <c r="E33" s="61">
        <v>-129</v>
      </c>
      <c r="F33" s="61">
        <v>276</v>
      </c>
      <c r="G33" s="61" cm="1">
        <f t="array" ref="G33:P33">_xlfn.FORECAST.LINEAR($G$1:$P$1,B33:F33,$B$1:$F$1)</f>
        <v>274.80000000000007</v>
      </c>
      <c r="H33" s="61">
        <v>380.20000000000005</v>
      </c>
      <c r="I33" s="61">
        <v>485.6</v>
      </c>
      <c r="J33" s="61">
        <v>591</v>
      </c>
      <c r="K33" s="61">
        <v>696.4</v>
      </c>
      <c r="L33" s="61">
        <v>801.80000000000007</v>
      </c>
      <c r="M33" s="61">
        <v>907.20000000000016</v>
      </c>
      <c r="N33" s="61">
        <v>1012.6</v>
      </c>
      <c r="O33" s="61">
        <v>1118</v>
      </c>
      <c r="P33" s="61">
        <v>1223.4000000000001</v>
      </c>
      <c r="Q33" s="61">
        <f>SUM(G33:P33)</f>
        <v>7491</v>
      </c>
      <c r="R33" s="61">
        <f>53.47*1000</f>
        <v>53470</v>
      </c>
      <c r="S33" s="46">
        <f>Q33/R33</f>
        <v>0.14009725079483823</v>
      </c>
    </row>
    <row r="34" spans="1:20">
      <c r="A34" s="61" t="s">
        <v>374</v>
      </c>
      <c r="B34" s="61">
        <v>6644</v>
      </c>
      <c r="C34" s="61">
        <v>8440</v>
      </c>
      <c r="D34" s="61">
        <v>8720</v>
      </c>
      <c r="E34" s="61">
        <v>9830</v>
      </c>
      <c r="F34" s="61">
        <v>9830</v>
      </c>
      <c r="G34" s="61" cm="1">
        <f t="array" ref="G34:P34">_xlfn.FORECAST.LINEAR($G$1:$P$1,B34:F34,$B$1:$F$1)</f>
        <v>11021.4</v>
      </c>
      <c r="H34">
        <v>11797.599999999999</v>
      </c>
      <c r="I34">
        <v>12573.8</v>
      </c>
      <c r="J34">
        <v>13350</v>
      </c>
      <c r="K34">
        <v>14126.199999999999</v>
      </c>
      <c r="L34">
        <v>14902.4</v>
      </c>
      <c r="M34">
        <v>15678.6</v>
      </c>
      <c r="N34">
        <v>16454.8</v>
      </c>
      <c r="O34">
        <v>17231</v>
      </c>
      <c r="P34">
        <v>18007.199999999997</v>
      </c>
      <c r="Q34" s="61">
        <f t="shared" ref="Q34" si="7">SUM(G34:P34)</f>
        <v>145143</v>
      </c>
      <c r="R34" s="61">
        <f>188.44*1000</f>
        <v>188440</v>
      </c>
      <c r="S34" s="46">
        <f t="shared" ref="S34" si="8">Q34/R34</f>
        <v>0.77023455741880709</v>
      </c>
    </row>
    <row r="35" spans="1:20">
      <c r="B35" s="61"/>
      <c r="C35" s="61"/>
    </row>
    <row r="36" spans="1:20">
      <c r="A36" s="61" t="s">
        <v>244</v>
      </c>
      <c r="B36" s="61">
        <v>15865</v>
      </c>
      <c r="C36" s="61">
        <v>16936</v>
      </c>
      <c r="D36" s="61">
        <v>17601</v>
      </c>
      <c r="E36" s="61">
        <v>22351</v>
      </c>
      <c r="F36" s="61">
        <v>29033</v>
      </c>
      <c r="G36" s="61" cm="1">
        <f t="array" ref="G36:P36">_xlfn.FORECAST.LINEAR($G$1:$P$1,B36:F36,$B$1:$F$1)</f>
        <v>29882.5</v>
      </c>
      <c r="H36" s="61">
        <v>33057.600000000006</v>
      </c>
      <c r="I36" s="61">
        <v>36232.699999999997</v>
      </c>
      <c r="J36" s="61">
        <v>39407.800000000003</v>
      </c>
      <c r="K36" s="61">
        <v>42582.9</v>
      </c>
      <c r="L36" s="61">
        <v>45758</v>
      </c>
      <c r="M36" s="61">
        <v>48933.1</v>
      </c>
      <c r="N36" s="61">
        <v>52108.2</v>
      </c>
      <c r="O36" s="61">
        <v>55283.3</v>
      </c>
      <c r="P36" s="61">
        <v>58458.400000000001</v>
      </c>
      <c r="Q36" s="61">
        <f t="shared" ref="Q36:Q38" si="9">SUM(G36:P36)</f>
        <v>441704.5</v>
      </c>
      <c r="R36" s="61">
        <f>250.43*1000</f>
        <v>250430</v>
      </c>
      <c r="S36" s="46">
        <f t="shared" ref="S36:S38" si="10">Q36/R36</f>
        <v>1.7637842910194466</v>
      </c>
    </row>
    <row r="37" spans="1:20">
      <c r="A37" s="61" t="s">
        <v>245</v>
      </c>
      <c r="B37" s="61">
        <v>21155</v>
      </c>
      <c r="C37" s="61">
        <v>5656</v>
      </c>
      <c r="D37" s="61">
        <v>8058</v>
      </c>
      <c r="E37" s="61">
        <v>17681</v>
      </c>
      <c r="F37" s="61">
        <v>17807</v>
      </c>
      <c r="G37" s="61" cm="1">
        <f t="array" ref="G37:P37">_xlfn.FORECAST.LINEAR($G$1:$P$1,B37:F37,$B$1:$F$1)</f>
        <v>15670.1</v>
      </c>
      <c r="H37" s="61">
        <v>16203</v>
      </c>
      <c r="I37" s="61">
        <v>16735.900000000001</v>
      </c>
      <c r="J37" s="61">
        <v>17268.8</v>
      </c>
      <c r="K37" s="61">
        <v>17801.7</v>
      </c>
      <c r="L37" s="61">
        <v>18334.599999999999</v>
      </c>
      <c r="M37" s="61">
        <v>18867.5</v>
      </c>
      <c r="N37" s="61">
        <v>19400.400000000001</v>
      </c>
      <c r="O37" s="61">
        <v>19933.3</v>
      </c>
      <c r="P37" s="61">
        <v>20466.2</v>
      </c>
      <c r="Q37" s="61">
        <f t="shared" si="9"/>
        <v>180681.5</v>
      </c>
      <c r="R37" s="61">
        <f>226.77*1000</f>
        <v>226770</v>
      </c>
      <c r="S37" s="46">
        <f t="shared" si="10"/>
        <v>0.79676103541032761</v>
      </c>
    </row>
    <row r="38" spans="1:20">
      <c r="A38" s="61" t="s">
        <v>246</v>
      </c>
      <c r="B38" s="61">
        <v>690</v>
      </c>
      <c r="C38" s="61">
        <v>1433</v>
      </c>
      <c r="D38" s="61">
        <v>2725</v>
      </c>
      <c r="E38" s="61">
        <v>-1642</v>
      </c>
      <c r="F38" s="61">
        <v>433</v>
      </c>
      <c r="G38" s="61" cm="1">
        <f t="array" ref="G38:P38">_xlfn.FORECAST.LINEAR($G$1:$P$1,B38:F38,$B$1:$F$1)</f>
        <v>-348.90000000000009</v>
      </c>
      <c r="H38" s="61">
        <v>-707.80000000000018</v>
      </c>
      <c r="I38" s="61">
        <v>-1066.7000000000003</v>
      </c>
      <c r="J38" s="61">
        <v>-1425.6000000000004</v>
      </c>
      <c r="K38" s="61">
        <v>-1784.5000000000005</v>
      </c>
      <c r="L38" s="61">
        <v>-2143.4000000000005</v>
      </c>
      <c r="M38" s="61">
        <v>-2502.3000000000002</v>
      </c>
      <c r="N38" s="61">
        <v>-2861.2000000000007</v>
      </c>
      <c r="O38" s="61">
        <v>-3220.1000000000004</v>
      </c>
      <c r="P38" s="61">
        <v>-3579.0000000000009</v>
      </c>
      <c r="Q38" s="61">
        <f t="shared" si="9"/>
        <v>-19639.500000000004</v>
      </c>
      <c r="R38">
        <v>74.08</v>
      </c>
      <c r="S38" s="46">
        <f t="shared" si="10"/>
        <v>-265.11204103671713</v>
      </c>
    </row>
    <row r="39" spans="1:20">
      <c r="A39" s="61"/>
      <c r="B39" s="61"/>
      <c r="C39" s="61"/>
      <c r="D39" s="61"/>
      <c r="E39" s="61"/>
    </row>
    <row r="40" spans="1:20">
      <c r="A40" s="61" t="s">
        <v>251</v>
      </c>
      <c r="B40" s="61">
        <v>6170</v>
      </c>
      <c r="C40" s="61">
        <v>5051</v>
      </c>
      <c r="D40" s="61">
        <v>8501</v>
      </c>
      <c r="E40" s="61">
        <v>11995</v>
      </c>
      <c r="F40" s="61">
        <v>12028</v>
      </c>
      <c r="G40" s="61" cm="1">
        <f t="array" ref="G40:P40">_xlfn.FORECAST.LINEAR($G$1:$P$1,B40:F40,$B$1:$F$1)</f>
        <v>14347</v>
      </c>
      <c r="H40" s="61">
        <v>16213</v>
      </c>
      <c r="I40" s="61">
        <v>18079</v>
      </c>
      <c r="J40" s="61">
        <v>19945</v>
      </c>
      <c r="K40" s="61">
        <v>21811</v>
      </c>
      <c r="L40" s="61">
        <v>23677</v>
      </c>
      <c r="M40" s="61">
        <v>25543</v>
      </c>
      <c r="N40" s="61">
        <v>27409</v>
      </c>
      <c r="O40" s="61">
        <v>29275</v>
      </c>
      <c r="P40" s="61">
        <v>31141</v>
      </c>
      <c r="Q40" s="61">
        <f t="shared" ref="Q40" si="11">SUM(G40:P40)</f>
        <v>227440</v>
      </c>
      <c r="R40" s="61">
        <f>344.33*1000</f>
        <v>344330</v>
      </c>
      <c r="S40" s="46">
        <f t="shared" ref="S40" si="12">Q40/R40</f>
        <v>0.6605291435541486</v>
      </c>
    </row>
    <row r="42" spans="1:20">
      <c r="A42" s="61" t="s">
        <v>129</v>
      </c>
      <c r="B42" s="61">
        <v>5676</v>
      </c>
      <c r="C42" s="61">
        <v>3576</v>
      </c>
      <c r="D42" s="61">
        <v>3280</v>
      </c>
      <c r="E42" s="61">
        <v>3453</v>
      </c>
      <c r="F42" s="61">
        <v>3476</v>
      </c>
      <c r="G42" s="61" cm="1">
        <f t="array" ref="G42:P42">_xlfn.FORECAST.LINEAR($G$1:$P$1,B42:F42,$B$1:$F$1)</f>
        <v>2535.3000000000002</v>
      </c>
      <c r="H42">
        <v>2083.0000000000005</v>
      </c>
      <c r="I42">
        <v>1630.7000000000003</v>
      </c>
      <c r="J42">
        <v>1178.4000000000001</v>
      </c>
      <c r="K42">
        <v>726.10000000000036</v>
      </c>
      <c r="L42">
        <v>273.80000000000018</v>
      </c>
      <c r="M42">
        <v>-178.5</v>
      </c>
      <c r="N42">
        <v>-630.80000000000018</v>
      </c>
      <c r="O42">
        <v>-1083.0999999999995</v>
      </c>
      <c r="P42">
        <v>-1535.3999999999996</v>
      </c>
      <c r="Q42" s="61">
        <f t="shared" ref="Q42:Q47" si="13">SUM(G42:P42)</f>
        <v>4999.5000000000036</v>
      </c>
      <c r="R42" s="61">
        <f>22.37*1000</f>
        <v>22370</v>
      </c>
      <c r="S42" s="46">
        <f t="shared" ref="S42:S47" si="14">Q42/R42</f>
        <v>0.22349128296826123</v>
      </c>
    </row>
    <row r="43" spans="1:20">
      <c r="A43" s="61" t="s">
        <v>126</v>
      </c>
      <c r="B43" s="61">
        <v>3854</v>
      </c>
      <c r="C43" s="61">
        <v>5919</v>
      </c>
      <c r="D43" s="61">
        <v>14664</v>
      </c>
      <c r="E43" s="61">
        <v>16440</v>
      </c>
      <c r="F43" s="61">
        <v>5355</v>
      </c>
      <c r="G43" s="61" cm="1">
        <f t="array" ref="G43:P43">_xlfn.FORECAST.LINEAR($G$1:$P$1,B43:F43,$B$1:$F$1)</f>
        <v>13303.3</v>
      </c>
      <c r="H43">
        <v>14655.6</v>
      </c>
      <c r="I43">
        <v>16007.9</v>
      </c>
      <c r="J43">
        <v>17360.199999999997</v>
      </c>
      <c r="K43">
        <v>18712.5</v>
      </c>
      <c r="L43">
        <v>20064.8</v>
      </c>
      <c r="M43">
        <v>21417.1</v>
      </c>
      <c r="N43">
        <v>22769.399999999998</v>
      </c>
      <c r="O43">
        <v>24121.7</v>
      </c>
      <c r="P43">
        <v>25474</v>
      </c>
      <c r="Q43" s="61">
        <f t="shared" si="13"/>
        <v>193886.5</v>
      </c>
      <c r="R43" s="61">
        <f>161.4*1000</f>
        <v>161400</v>
      </c>
      <c r="S43" s="46">
        <f t="shared" si="14"/>
        <v>1.2012794299876084</v>
      </c>
    </row>
    <row r="44" spans="1:20">
      <c r="A44" s="61" t="s">
        <v>369</v>
      </c>
      <c r="B44" s="61">
        <v>-1921</v>
      </c>
      <c r="C44" s="61">
        <v>666</v>
      </c>
      <c r="D44" s="61">
        <v>1397</v>
      </c>
      <c r="E44" s="61">
        <v>2694</v>
      </c>
      <c r="F44" s="61">
        <v>1020</v>
      </c>
      <c r="G44" s="61" cm="1">
        <f t="array" ref="G44:P44">_xlfn.FORECAST.LINEAR($G$1:$P$1,B44:F44,$B$1:$F$1)</f>
        <v>3144.2</v>
      </c>
      <c r="H44">
        <v>3935.2</v>
      </c>
      <c r="I44">
        <v>4726.2</v>
      </c>
      <c r="J44">
        <v>5517.2</v>
      </c>
      <c r="K44">
        <v>6308.2</v>
      </c>
      <c r="L44">
        <v>7099.2</v>
      </c>
      <c r="M44">
        <v>7890.2</v>
      </c>
      <c r="N44">
        <v>8681.2000000000007</v>
      </c>
      <c r="O44">
        <v>9472.2000000000007</v>
      </c>
      <c r="P44">
        <v>10263.200000000001</v>
      </c>
      <c r="Q44" s="61">
        <f t="shared" si="13"/>
        <v>67037</v>
      </c>
      <c r="R44" s="61">
        <f>12.75*1000</f>
        <v>12750</v>
      </c>
      <c r="S44" s="46">
        <f t="shared" si="14"/>
        <v>5.2578039215686276</v>
      </c>
    </row>
    <row r="45" spans="1:20">
      <c r="A45" s="61" t="s">
        <v>128</v>
      </c>
      <c r="B45" s="61">
        <v>-51</v>
      </c>
      <c r="C45" s="61">
        <v>119</v>
      </c>
      <c r="D45" s="61">
        <v>1816</v>
      </c>
      <c r="E45" s="61">
        <v>4934</v>
      </c>
      <c r="F45" s="61">
        <v>935</v>
      </c>
      <c r="G45" s="61" cm="1">
        <f t="array" ref="G45:P45">_xlfn.FORECAST.LINEAR($G$1:$P$1,B45:F45,$B$1:$F$1)</f>
        <v>3586.7</v>
      </c>
      <c r="H45">
        <v>4265.3999999999996</v>
      </c>
      <c r="I45">
        <v>4944.0999999999995</v>
      </c>
      <c r="J45">
        <v>5622.7999999999993</v>
      </c>
      <c r="K45">
        <v>6301.4999999999991</v>
      </c>
      <c r="L45">
        <v>6980.1999999999989</v>
      </c>
      <c r="M45">
        <v>7658.9</v>
      </c>
      <c r="N45">
        <v>8337.5999999999985</v>
      </c>
      <c r="O45">
        <v>9016.2999999999993</v>
      </c>
      <c r="P45">
        <v>9694.9999999999982</v>
      </c>
      <c r="Q45" s="61">
        <f t="shared" si="13"/>
        <v>66408.5</v>
      </c>
      <c r="R45" s="61">
        <f>23.97*1000</f>
        <v>23970</v>
      </c>
      <c r="S45" s="46">
        <f t="shared" si="14"/>
        <v>2.7704839382561537</v>
      </c>
    </row>
    <row r="46" spans="1:20">
      <c r="A46" s="61" t="s">
        <v>370</v>
      </c>
      <c r="B46" s="61">
        <v>-188</v>
      </c>
      <c r="C46" s="61">
        <v>-131</v>
      </c>
      <c r="D46" s="61">
        <v>1071</v>
      </c>
      <c r="E46" s="61">
        <v>600</v>
      </c>
      <c r="F46" s="61">
        <v>1584</v>
      </c>
      <c r="G46" s="61" cm="1">
        <f t="array" ref="G46:P46">_xlfn.FORECAST.LINEAR($G$1:$P$1,B46:F46,$B$1:$F$1)</f>
        <v>1869.7</v>
      </c>
      <c r="H46">
        <v>2297.1999999999998</v>
      </c>
      <c r="I46">
        <v>2724.7</v>
      </c>
      <c r="J46">
        <v>3152.2</v>
      </c>
      <c r="K46">
        <v>3579.7</v>
      </c>
      <c r="L46">
        <v>4007.2</v>
      </c>
      <c r="M46">
        <v>4434.7</v>
      </c>
      <c r="N46">
        <v>4862.2</v>
      </c>
      <c r="O46">
        <v>5289.7</v>
      </c>
      <c r="P46">
        <v>5717.2</v>
      </c>
      <c r="Q46" s="61">
        <f t="shared" si="13"/>
        <v>37934.5</v>
      </c>
      <c r="R46" s="61">
        <f>3.69*1000</f>
        <v>3690</v>
      </c>
      <c r="S46" s="46">
        <f t="shared" si="14"/>
        <v>10.280352303523035</v>
      </c>
      <c r="T46" s="61"/>
    </row>
    <row r="47" spans="1:20">
      <c r="A47" s="61" t="s">
        <v>371</v>
      </c>
      <c r="B47" s="61">
        <v>3679</v>
      </c>
      <c r="C47" s="61">
        <v>-1501</v>
      </c>
      <c r="D47" s="61">
        <v>14805</v>
      </c>
      <c r="E47" s="61">
        <v>30074</v>
      </c>
      <c r="F47" s="61">
        <v>19208</v>
      </c>
      <c r="G47" s="61" cm="1">
        <f t="array" ref="G47:P47">_xlfn.FORECAST.LINEAR($G$1:$P$1,B47:F47,$B$1:$F$1)</f>
        <v>32042.9</v>
      </c>
      <c r="H47">
        <v>38306.199999999997</v>
      </c>
      <c r="I47">
        <v>44569.5</v>
      </c>
      <c r="J47">
        <v>50832.800000000003</v>
      </c>
      <c r="K47">
        <v>57096.1</v>
      </c>
      <c r="L47">
        <v>63359.4</v>
      </c>
      <c r="M47">
        <v>69622.700000000012</v>
      </c>
      <c r="N47">
        <v>75886</v>
      </c>
      <c r="O47">
        <v>82149.299999999988</v>
      </c>
      <c r="P47">
        <v>88412.6</v>
      </c>
      <c r="Q47" s="61">
        <f t="shared" si="13"/>
        <v>602277.5</v>
      </c>
      <c r="R47" s="61">
        <f>131.2 * 1000</f>
        <v>131200</v>
      </c>
      <c r="S47" s="46">
        <f t="shared" si="14"/>
        <v>4.5905297256097564</v>
      </c>
      <c r="T47" s="61"/>
    </row>
    <row r="48" spans="1:20">
      <c r="B48" s="61"/>
      <c r="D48" s="61"/>
      <c r="E48" s="61"/>
    </row>
    <row r="49" spans="1:19">
      <c r="A49" s="61" t="s">
        <v>292</v>
      </c>
      <c r="B49" s="61">
        <v>194</v>
      </c>
      <c r="C49" s="61">
        <v>156</v>
      </c>
      <c r="D49" s="61">
        <v>235</v>
      </c>
      <c r="E49" s="61">
        <v>331</v>
      </c>
      <c r="F49" s="61">
        <v>517</v>
      </c>
      <c r="G49" s="61" cm="1">
        <f t="array" ref="G49:P49">_xlfn.FORECAST.LINEAR($G$1:$P$1,B49:F49,$B$1:$F$1)</f>
        <v>532.9</v>
      </c>
      <c r="H49">
        <v>615</v>
      </c>
      <c r="I49">
        <v>697.1</v>
      </c>
      <c r="J49">
        <v>779.2</v>
      </c>
      <c r="K49">
        <v>861.30000000000007</v>
      </c>
      <c r="L49">
        <v>943.4</v>
      </c>
      <c r="M49">
        <v>1025.5</v>
      </c>
      <c r="N49">
        <v>1107.5999999999999</v>
      </c>
      <c r="O49">
        <v>1189.6999999999998</v>
      </c>
      <c r="P49">
        <v>1271.8</v>
      </c>
      <c r="Q49" s="61">
        <f t="shared" ref="Q49:Q55" si="15">SUM(G49:P49)</f>
        <v>9023.5</v>
      </c>
      <c r="R49" s="61">
        <f>21.5*1000</f>
        <v>21500</v>
      </c>
      <c r="S49" s="46">
        <f t="shared" ref="S49:S55" si="16">Q49/R49</f>
        <v>0.41969767441860467</v>
      </c>
    </row>
    <row r="50" spans="1:19">
      <c r="A50" s="61" t="s">
        <v>229</v>
      </c>
      <c r="B50" s="61">
        <v>1187</v>
      </c>
      <c r="C50" s="61">
        <v>-2649</v>
      </c>
      <c r="D50" s="61">
        <v>3419</v>
      </c>
      <c r="E50" s="61">
        <v>8521</v>
      </c>
      <c r="F50" s="61">
        <v>3409</v>
      </c>
      <c r="G50" s="61" cm="1">
        <f t="array" ref="G50:P50">_xlfn.FORECAST.LINEAR($G$1:$P$1,B50:F50,$B$1:$F$1)</f>
        <v>7461.6</v>
      </c>
      <c r="H50">
        <v>9023</v>
      </c>
      <c r="I50">
        <v>10584.4</v>
      </c>
      <c r="J50">
        <v>12145.8</v>
      </c>
      <c r="K50">
        <v>13707.199999999999</v>
      </c>
      <c r="L50">
        <v>15268.6</v>
      </c>
      <c r="M50">
        <v>16830.000000000004</v>
      </c>
      <c r="N50">
        <v>18391.400000000001</v>
      </c>
      <c r="O50">
        <v>19952.800000000003</v>
      </c>
      <c r="P50">
        <v>21514.2</v>
      </c>
      <c r="Q50" s="61">
        <f t="shared" si="15"/>
        <v>144879</v>
      </c>
      <c r="R50" s="61">
        <f>40.01*1000</f>
        <v>40010</v>
      </c>
      <c r="S50" s="46">
        <f t="shared" si="16"/>
        <v>3.6210697325668582</v>
      </c>
    </row>
    <row r="51" spans="1:19">
      <c r="A51" s="61" t="s">
        <v>174</v>
      </c>
      <c r="B51" s="61">
        <v>-42</v>
      </c>
      <c r="C51" s="61">
        <v>68</v>
      </c>
      <c r="D51" s="61">
        <v>21</v>
      </c>
      <c r="E51" s="61">
        <v>67</v>
      </c>
      <c r="F51" s="61">
        <v>24</v>
      </c>
      <c r="G51" s="61" cm="1">
        <f t="array" ref="G51:P51">_xlfn.FORECAST.LINEAR($G$1:$P$1,B51:F51,$B$1:$F$1)</f>
        <v>66.900000000000006</v>
      </c>
      <c r="H51">
        <v>80</v>
      </c>
      <c r="I51">
        <v>93.1</v>
      </c>
      <c r="J51">
        <v>106.19999999999999</v>
      </c>
      <c r="K51">
        <v>119.30000000000001</v>
      </c>
      <c r="L51">
        <v>132.4</v>
      </c>
      <c r="M51">
        <v>145.5</v>
      </c>
      <c r="N51">
        <v>158.6</v>
      </c>
      <c r="O51">
        <v>171.70000000000002</v>
      </c>
      <c r="P51">
        <v>184.8</v>
      </c>
      <c r="Q51" s="61">
        <f t="shared" si="15"/>
        <v>1258.5</v>
      </c>
      <c r="R51" s="61">
        <f>7.67*1000</f>
        <v>7670</v>
      </c>
      <c r="S51" s="46">
        <f t="shared" si="16"/>
        <v>0.16408083441981747</v>
      </c>
    </row>
    <row r="52" spans="1:19">
      <c r="A52" s="61" t="s">
        <v>62</v>
      </c>
      <c r="B52" s="61">
        <v>-9</v>
      </c>
      <c r="C52" s="61">
        <v>-2</v>
      </c>
      <c r="D52" s="61">
        <v>102</v>
      </c>
      <c r="E52" s="61">
        <v>234</v>
      </c>
      <c r="F52" s="61">
        <v>404</v>
      </c>
      <c r="G52" s="61" cm="1">
        <f t="array" ref="G52:P52">_xlfn.FORECAST.LINEAR($G$1:$P$1,B52:F52,$B$1:$F$1)</f>
        <v>464.40000000000003</v>
      </c>
      <c r="H52">
        <v>570.59999999999991</v>
      </c>
      <c r="I52">
        <v>676.8</v>
      </c>
      <c r="J52">
        <v>783</v>
      </c>
      <c r="K52">
        <v>889.2</v>
      </c>
      <c r="L52">
        <v>995.40000000000009</v>
      </c>
      <c r="M52">
        <v>1101.6000000000001</v>
      </c>
      <c r="N52">
        <v>1207.8000000000002</v>
      </c>
      <c r="O52">
        <v>1314</v>
      </c>
      <c r="P52">
        <v>1420.2</v>
      </c>
      <c r="Q52" s="61">
        <f t="shared" si="15"/>
        <v>9423</v>
      </c>
      <c r="R52" s="61">
        <f>16.49*1000</f>
        <v>16490</v>
      </c>
      <c r="S52" s="46">
        <f t="shared" si="16"/>
        <v>0.57143723468768948</v>
      </c>
    </row>
    <row r="53" spans="1:19">
      <c r="A53" s="61" t="s">
        <v>123</v>
      </c>
      <c r="B53" s="61">
        <v>1243</v>
      </c>
      <c r="C53" s="61">
        <v>879</v>
      </c>
      <c r="D53" s="61">
        <v>1369</v>
      </c>
      <c r="E53" s="61">
        <v>1988</v>
      </c>
      <c r="F53" s="61">
        <v>2169</v>
      </c>
      <c r="G53" s="61" cm="1">
        <f t="array" ref="G53:P53">_xlfn.FORECAST.LINEAR($G$1:$P$1,B53:F53,$B$1:$F$1)</f>
        <v>2417.9</v>
      </c>
      <c r="H53">
        <v>2714</v>
      </c>
      <c r="I53">
        <v>3010.1</v>
      </c>
      <c r="J53">
        <v>3306.2</v>
      </c>
      <c r="K53">
        <v>3602.2999999999997</v>
      </c>
      <c r="L53">
        <v>3898.4</v>
      </c>
      <c r="M53">
        <v>4194.5</v>
      </c>
      <c r="N53">
        <v>4490.6000000000004</v>
      </c>
      <c r="O53">
        <v>4786.7000000000007</v>
      </c>
      <c r="P53" s="61">
        <v>5082.8</v>
      </c>
      <c r="Q53" s="61">
        <f t="shared" si="15"/>
        <v>37503.5</v>
      </c>
      <c r="R53" s="61">
        <f>60.59*1000</f>
        <v>60590</v>
      </c>
      <c r="S53" s="46">
        <f t="shared" si="16"/>
        <v>0.61897177752104304</v>
      </c>
    </row>
    <row r="54" spans="1:19">
      <c r="A54" s="61" t="s">
        <v>365</v>
      </c>
      <c r="B54" s="61">
        <v>1081</v>
      </c>
      <c r="C54" s="61">
        <v>2019</v>
      </c>
      <c r="D54" s="61">
        <v>2058</v>
      </c>
      <c r="E54" s="61">
        <v>1659</v>
      </c>
      <c r="F54" s="61">
        <v>1715</v>
      </c>
      <c r="G54" s="61" cm="1">
        <f t="array" ref="G54:P54">_xlfn.FORECAST.LINEAR($G$1:$P$1,B54:F54,$B$1:$F$1)</f>
        <v>1978.8</v>
      </c>
      <c r="H54">
        <v>2069.6</v>
      </c>
      <c r="I54">
        <v>2160.4</v>
      </c>
      <c r="J54">
        <v>2251.1999999999998</v>
      </c>
      <c r="K54">
        <v>2342</v>
      </c>
      <c r="L54">
        <v>2432.8000000000002</v>
      </c>
      <c r="M54">
        <v>2523.6</v>
      </c>
      <c r="N54">
        <v>2614.3999999999996</v>
      </c>
      <c r="O54">
        <v>2705.2</v>
      </c>
      <c r="P54">
        <v>2796</v>
      </c>
      <c r="Q54" s="61">
        <f t="shared" si="15"/>
        <v>23874</v>
      </c>
      <c r="R54" s="61">
        <f>40.64*1000</f>
        <v>40640</v>
      </c>
      <c r="S54" s="46">
        <f t="shared" si="16"/>
        <v>0.58745078740157475</v>
      </c>
    </row>
    <row r="55" spans="1:19">
      <c r="A55" s="61" t="s">
        <v>366</v>
      </c>
      <c r="B55" s="61">
        <v>972</v>
      </c>
      <c r="C55" s="61">
        <v>1130</v>
      </c>
      <c r="D55" s="61">
        <v>1260</v>
      </c>
      <c r="E55" s="61">
        <v>1585</v>
      </c>
      <c r="F55" s="61">
        <v>1428</v>
      </c>
      <c r="G55" s="61" cm="1">
        <f t="array" ref="G55:P55">_xlfn.FORECAST.LINEAR($G$1:$P$1,B55:F55,$B$1:$F$1)</f>
        <v>1685.1</v>
      </c>
      <c r="H55" s="61">
        <v>1821.8</v>
      </c>
      <c r="I55" s="61">
        <v>1958.5</v>
      </c>
      <c r="J55" s="61">
        <v>2095.1999999999998</v>
      </c>
      <c r="K55" s="61">
        <v>2231.9</v>
      </c>
      <c r="L55" s="61">
        <v>2368.6</v>
      </c>
      <c r="M55" s="61">
        <v>2505.3000000000002</v>
      </c>
      <c r="N55" s="61">
        <v>2642</v>
      </c>
      <c r="O55" s="61">
        <v>2778.7</v>
      </c>
      <c r="P55" s="61">
        <v>2915.4</v>
      </c>
      <c r="Q55" s="61">
        <f t="shared" si="15"/>
        <v>23002.500000000004</v>
      </c>
      <c r="R55" s="61">
        <f>26.05*1000</f>
        <v>26050</v>
      </c>
      <c r="S55" s="46">
        <f t="shared" si="16"/>
        <v>0.883013435700576</v>
      </c>
    </row>
    <row r="56" spans="1:19">
      <c r="C56" s="61"/>
    </row>
    <row r="57" spans="1:19">
      <c r="A57" s="61" t="s">
        <v>185</v>
      </c>
      <c r="B57" s="61">
        <v>4674</v>
      </c>
      <c r="C57" s="61">
        <v>2181</v>
      </c>
      <c r="D57" s="61">
        <v>3617</v>
      </c>
      <c r="E57" s="61">
        <v>4420</v>
      </c>
      <c r="F57" s="61">
        <v>6627</v>
      </c>
      <c r="G57" s="61" cm="1">
        <f t="array" ref="G57:P57">_xlfn.FORECAST.LINEAR($G$1:$P$1,B57:F57,$B$1:$F$1)</f>
        <v>6147.3</v>
      </c>
      <c r="H57" s="61">
        <v>6761.8</v>
      </c>
      <c r="I57" s="61">
        <v>7376.3</v>
      </c>
      <c r="J57" s="61">
        <v>7990.8</v>
      </c>
      <c r="K57" s="61">
        <v>8605.2999999999993</v>
      </c>
      <c r="L57" s="61">
        <v>9219.7999999999993</v>
      </c>
      <c r="M57" s="61">
        <v>9834.2999999999993</v>
      </c>
      <c r="N57" s="61">
        <v>10448.799999999999</v>
      </c>
      <c r="O57" s="61">
        <v>11063.3</v>
      </c>
      <c r="P57" s="61">
        <v>11677.8</v>
      </c>
      <c r="Q57" s="61">
        <f t="shared" ref="Q57:Q64" si="17">SUM(G57:P57)</f>
        <v>89125.500000000015</v>
      </c>
      <c r="R57" s="61">
        <f>74.34*1000</f>
        <v>74340</v>
      </c>
      <c r="S57" s="46">
        <f t="shared" ref="S57:S64" si="18">Q57/R57</f>
        <v>1.1988902340597258</v>
      </c>
    </row>
    <row r="58" spans="1:19">
      <c r="A58" s="61" t="s">
        <v>368</v>
      </c>
      <c r="B58" s="61">
        <v>43</v>
      </c>
      <c r="C58" s="61">
        <v>211</v>
      </c>
      <c r="D58" s="61">
        <v>396</v>
      </c>
      <c r="E58" s="61">
        <v>449</v>
      </c>
      <c r="F58" s="61">
        <v>756</v>
      </c>
      <c r="G58" s="61" cm="1">
        <f t="array" ref="G58:P58">_xlfn.FORECAST.LINEAR($G$1:$P$1,B58:F58,$B$1:$F$1)</f>
        <v>870.2</v>
      </c>
      <c r="H58">
        <v>1036.5999999999999</v>
      </c>
      <c r="I58">
        <v>1203</v>
      </c>
      <c r="J58">
        <v>1369.4</v>
      </c>
      <c r="K58">
        <v>1535.8</v>
      </c>
      <c r="L58">
        <v>1702.2</v>
      </c>
      <c r="M58">
        <v>1868.6000000000001</v>
      </c>
      <c r="N58">
        <v>2035.0000000000002</v>
      </c>
      <c r="O58">
        <v>2201.3999999999996</v>
      </c>
      <c r="P58">
        <v>2367.8000000000002</v>
      </c>
      <c r="Q58" s="61">
        <f t="shared" si="17"/>
        <v>16190</v>
      </c>
      <c r="R58" s="61">
        <f>4.68*1000</f>
        <v>4680</v>
      </c>
      <c r="S58" s="46">
        <f t="shared" si="18"/>
        <v>3.4594017094017095</v>
      </c>
    </row>
    <row r="59" spans="1:19">
      <c r="A59" s="61" t="s">
        <v>215</v>
      </c>
      <c r="B59" s="61">
        <v>333</v>
      </c>
      <c r="C59" s="61">
        <v>23</v>
      </c>
      <c r="D59" s="61">
        <v>2311</v>
      </c>
      <c r="E59" s="61">
        <v>-181</v>
      </c>
      <c r="F59" s="61">
        <v>691</v>
      </c>
      <c r="G59" s="61" cm="1">
        <f t="array" ref="G59:P59">_xlfn.FORECAST.LINEAR($G$1:$P$1,B59:F59,$B$1:$F$1)</f>
        <v>789</v>
      </c>
      <c r="H59">
        <v>840.19999999999993</v>
      </c>
      <c r="I59">
        <v>891.39999999999986</v>
      </c>
      <c r="J59">
        <v>942.59999999999991</v>
      </c>
      <c r="K59">
        <v>993.8</v>
      </c>
      <c r="L59">
        <v>1044.9999999999998</v>
      </c>
      <c r="M59">
        <v>1096.1999999999998</v>
      </c>
      <c r="N59">
        <v>1147.3999999999999</v>
      </c>
      <c r="O59">
        <v>1198.5999999999999</v>
      </c>
      <c r="P59">
        <v>1249.7999999999997</v>
      </c>
      <c r="Q59" s="61">
        <f t="shared" si="17"/>
        <v>10193.999999999998</v>
      </c>
      <c r="R59" s="61">
        <f>7.01*1000</f>
        <v>7010</v>
      </c>
      <c r="S59" s="46">
        <f t="shared" si="18"/>
        <v>1.4542082738944362</v>
      </c>
    </row>
    <row r="60" spans="1:19">
      <c r="A60" s="61" t="s">
        <v>216</v>
      </c>
      <c r="B60" s="61">
        <v>2251</v>
      </c>
      <c r="C60" s="61">
        <v>2072</v>
      </c>
      <c r="D60" s="61">
        <v>2378</v>
      </c>
      <c r="E60" s="61">
        <v>1800</v>
      </c>
      <c r="F60" s="61">
        <v>47</v>
      </c>
      <c r="G60" s="61" cm="1">
        <f t="array" ref="G60:P60">_xlfn.FORECAST.LINEAR($G$1:$P$1,B60:F60,$B$1:$F$1)</f>
        <v>305.59999999999991</v>
      </c>
      <c r="H60">
        <v>-162.40000000000009</v>
      </c>
      <c r="I60" s="61">
        <v>-630.40000000000009</v>
      </c>
      <c r="J60">
        <v>-1098.4000000000001</v>
      </c>
      <c r="K60">
        <v>-1566.4</v>
      </c>
      <c r="L60">
        <v>-2034.4</v>
      </c>
      <c r="M60">
        <v>-2502.4</v>
      </c>
      <c r="N60">
        <v>-2970.4</v>
      </c>
      <c r="O60">
        <v>-3438.4</v>
      </c>
      <c r="P60">
        <v>-3906.4</v>
      </c>
      <c r="Q60" s="61">
        <f t="shared" si="17"/>
        <v>-18004</v>
      </c>
      <c r="R60" s="61">
        <f>7.74*1000</f>
        <v>7740</v>
      </c>
      <c r="S60" s="46">
        <f t="shared" si="18"/>
        <v>-2.3260981912144705</v>
      </c>
    </row>
    <row r="61" spans="1:19">
      <c r="A61" s="61" t="s">
        <v>232</v>
      </c>
      <c r="B61" s="61">
        <v>4512</v>
      </c>
      <c r="C61" s="61">
        <v>6861</v>
      </c>
      <c r="D61" s="61">
        <v>4003</v>
      </c>
      <c r="E61" s="61">
        <v>3111</v>
      </c>
      <c r="F61" s="61">
        <v>6399</v>
      </c>
      <c r="G61" s="61" cm="1">
        <f t="array" ref="G61:P61">_xlfn.FORECAST.LINEAR($G$1:$P$1,B61:F61,$B$1:$F$1)</f>
        <v>4984.3999999999996</v>
      </c>
      <c r="H61">
        <v>4986.8</v>
      </c>
      <c r="I61">
        <v>4989.2</v>
      </c>
      <c r="J61">
        <v>4991.6000000000004</v>
      </c>
      <c r="K61">
        <v>4994</v>
      </c>
      <c r="L61">
        <v>4996.3999999999996</v>
      </c>
      <c r="M61">
        <v>4998.8</v>
      </c>
      <c r="N61">
        <v>5001.2</v>
      </c>
      <c r="O61">
        <v>5003.6000000000004</v>
      </c>
      <c r="P61">
        <v>5006</v>
      </c>
      <c r="Q61" s="61">
        <f t="shared" si="17"/>
        <v>49952</v>
      </c>
      <c r="R61" s="61">
        <f>83.13*1000</f>
        <v>83130</v>
      </c>
      <c r="S61" s="46">
        <f t="shared" si="18"/>
        <v>0.60089017201972816</v>
      </c>
    </row>
    <row r="62" spans="1:19">
      <c r="A62" s="61" t="s">
        <v>235</v>
      </c>
      <c r="B62" s="61">
        <v>563</v>
      </c>
      <c r="C62" s="61">
        <v>907</v>
      </c>
      <c r="D62" s="61">
        <v>1168</v>
      </c>
      <c r="E62" s="61">
        <v>839</v>
      </c>
      <c r="F62" s="61">
        <v>969</v>
      </c>
      <c r="G62" s="61" cm="1">
        <f t="array" ref="G62:P62">_xlfn.FORECAST.LINEAR($G$1:$P$1,B62:F62,$B$1:$F$1)</f>
        <v>1112.4000000000001</v>
      </c>
      <c r="H62">
        <v>1186.8000000000002</v>
      </c>
      <c r="I62">
        <v>1261.2</v>
      </c>
      <c r="J62">
        <v>1335.6</v>
      </c>
      <c r="K62">
        <v>1410</v>
      </c>
      <c r="L62">
        <v>1484.4</v>
      </c>
      <c r="M62">
        <v>1558.8000000000002</v>
      </c>
      <c r="N62">
        <v>1633.2</v>
      </c>
      <c r="O62">
        <v>1707.6000000000001</v>
      </c>
      <c r="P62">
        <v>1782</v>
      </c>
      <c r="Q62" s="61">
        <f t="shared" si="17"/>
        <v>14472.000000000002</v>
      </c>
      <c r="R62" s="61">
        <f>15.33 * 1000</f>
        <v>15330</v>
      </c>
      <c r="S62" s="46">
        <f t="shared" si="18"/>
        <v>0.94403131115459893</v>
      </c>
    </row>
    <row r="63" spans="1:19">
      <c r="A63" s="61" t="s">
        <v>239</v>
      </c>
      <c r="B63" s="61">
        <v>136</v>
      </c>
      <c r="C63" s="61">
        <v>372</v>
      </c>
      <c r="D63" s="61">
        <v>224</v>
      </c>
      <c r="E63" s="61">
        <v>583</v>
      </c>
      <c r="F63" s="61">
        <v>589</v>
      </c>
      <c r="G63" s="61" cm="1">
        <f t="array" ref="G63:P63">_xlfn.FORECAST.LINEAR($G$1:$P$1,B63:F63,$B$1:$F$1)</f>
        <v>715.90000000000009</v>
      </c>
      <c r="H63">
        <v>827.59999999999991</v>
      </c>
      <c r="I63">
        <v>939.3</v>
      </c>
      <c r="J63">
        <v>1051</v>
      </c>
      <c r="K63">
        <v>1162.7</v>
      </c>
      <c r="L63">
        <v>1274.4000000000001</v>
      </c>
      <c r="M63">
        <v>1386.1000000000001</v>
      </c>
      <c r="N63">
        <v>1497.8000000000002</v>
      </c>
      <c r="O63">
        <v>1609.5</v>
      </c>
      <c r="P63">
        <v>1721.2</v>
      </c>
      <c r="Q63" s="61">
        <f t="shared" si="17"/>
        <v>12185.5</v>
      </c>
      <c r="R63" s="61">
        <f>9.47*1000</f>
        <v>9470</v>
      </c>
      <c r="S63" s="46">
        <f t="shared" si="18"/>
        <v>1.2867476240760296</v>
      </c>
    </row>
    <row r="64" spans="1:19">
      <c r="A64" s="61" t="s">
        <v>201</v>
      </c>
      <c r="B64" s="61">
        <v>1197</v>
      </c>
      <c r="C64" s="61">
        <v>2146</v>
      </c>
      <c r="D64" s="61">
        <v>1680</v>
      </c>
      <c r="E64" s="61">
        <v>2917</v>
      </c>
      <c r="F64" s="61">
        <v>2960</v>
      </c>
      <c r="G64" s="61" cm="1">
        <f t="array" ref="G64:P64">_xlfn.FORECAST.LINEAR($G$1:$P$1,B64:F64,$B$1:$F$1)</f>
        <v>3469.1</v>
      </c>
      <c r="H64">
        <v>3898.8</v>
      </c>
      <c r="I64">
        <v>4328.5</v>
      </c>
      <c r="J64">
        <v>4758.2</v>
      </c>
      <c r="K64">
        <v>5187.8999999999996</v>
      </c>
      <c r="L64">
        <v>5617.6</v>
      </c>
      <c r="M64">
        <v>6047.2999999999993</v>
      </c>
      <c r="N64">
        <v>6477</v>
      </c>
      <c r="O64">
        <v>6906.7000000000007</v>
      </c>
      <c r="P64">
        <v>7336.4</v>
      </c>
      <c r="Q64" s="61">
        <f t="shared" si="17"/>
        <v>54027.499999999993</v>
      </c>
      <c r="R64" s="61">
        <f>18.93*1000</f>
        <v>18930</v>
      </c>
      <c r="S64" s="46">
        <f t="shared" si="18"/>
        <v>2.8540676175382984</v>
      </c>
    </row>
    <row r="65" spans="1:19">
      <c r="A65" t="s">
        <v>199</v>
      </c>
      <c r="B65" s="61">
        <v>753</v>
      </c>
      <c r="C65" s="61">
        <v>708</v>
      </c>
      <c r="D65" s="61">
        <v>564</v>
      </c>
      <c r="E65" s="61">
        <v>235</v>
      </c>
      <c r="F65" s="61">
        <v>1026</v>
      </c>
      <c r="G65" s="61" cm="1">
        <f t="array" ref="G65:P65">_xlfn.FORECAST.LINEAR($G$1:$P$1,B65:F65,$B$1:$F$1)</f>
        <v>679.1</v>
      </c>
      <c r="H65" s="61">
        <v>686.40000000000009</v>
      </c>
      <c r="I65">
        <v>693.7</v>
      </c>
      <c r="J65">
        <v>701.00000000000011</v>
      </c>
      <c r="K65">
        <v>708.30000000000007</v>
      </c>
      <c r="L65">
        <v>715.6</v>
      </c>
      <c r="M65">
        <v>722.90000000000009</v>
      </c>
      <c r="N65">
        <v>730.2</v>
      </c>
      <c r="O65">
        <v>737.50000000000011</v>
      </c>
      <c r="P65">
        <v>744.80000000000007</v>
      </c>
      <c r="Q65" s="61">
        <f>SUM(G65:P65)</f>
        <v>7119.5</v>
      </c>
      <c r="R65" s="61">
        <f>3.89*1000</f>
        <v>3890</v>
      </c>
      <c r="S65" s="46">
        <f>Q65/R65</f>
        <v>1.8302056555269923</v>
      </c>
    </row>
    <row r="66" spans="1:19">
      <c r="A66" s="61" t="s">
        <v>202</v>
      </c>
      <c r="B66" s="61">
        <v>3245</v>
      </c>
      <c r="C66" s="61">
        <v>2319</v>
      </c>
      <c r="D66" s="61">
        <v>-585</v>
      </c>
      <c r="E66" s="61">
        <v>2004</v>
      </c>
      <c r="F66" s="61">
        <v>2381</v>
      </c>
      <c r="G66" s="61" cm="1">
        <f t="array" ref="G66:P66">_xlfn.FORECAST.LINEAR($G$1:$P$1,B66:F66,$B$1:$F$1)</f>
        <v>1259.8999999999996</v>
      </c>
      <c r="H66" s="61">
        <v>1055.5999999999995</v>
      </c>
      <c r="I66">
        <v>851.2999999999995</v>
      </c>
      <c r="J66">
        <v>646.99999999999955</v>
      </c>
      <c r="K66">
        <v>442.69999999999936</v>
      </c>
      <c r="L66">
        <v>238.39999999999918</v>
      </c>
      <c r="M66">
        <v>34.099999999999454</v>
      </c>
      <c r="N66">
        <v>-170.20000000000073</v>
      </c>
      <c r="O66">
        <v>-374.50000000000091</v>
      </c>
      <c r="P66">
        <v>-578.80000000000064</v>
      </c>
      <c r="Q66" s="61">
        <f>SUM(G66:P66)</f>
        <v>3405.4999999999932</v>
      </c>
      <c r="R66" s="61">
        <f>13.2*1000</f>
        <v>13200</v>
      </c>
      <c r="S66" s="46">
        <f>Q66/R66</f>
        <v>0.25799242424242375</v>
      </c>
    </row>
    <row r="67" spans="1:19">
      <c r="A67" s="61" t="s">
        <v>376</v>
      </c>
      <c r="B67" s="61">
        <v>319</v>
      </c>
      <c r="C67" s="61">
        <v>454</v>
      </c>
      <c r="D67" s="61">
        <v>512</v>
      </c>
      <c r="E67" s="61">
        <v>567</v>
      </c>
      <c r="F67" s="61">
        <v>537</v>
      </c>
      <c r="G67" s="61" cm="1">
        <f t="array" ref="G67:P67">_xlfn.FORECAST.LINEAR($G$1:$P$1,B67:F67,$B$1:$F$1)</f>
        <v>642.5</v>
      </c>
      <c r="H67">
        <v>697.40000000000009</v>
      </c>
      <c r="I67">
        <v>752.3</v>
      </c>
      <c r="J67">
        <v>807.2</v>
      </c>
      <c r="K67">
        <v>862.1</v>
      </c>
      <c r="L67">
        <v>917</v>
      </c>
      <c r="M67">
        <v>971.9</v>
      </c>
      <c r="N67">
        <v>1026.8</v>
      </c>
      <c r="O67">
        <v>1081.7</v>
      </c>
      <c r="P67">
        <v>1136.5999999999999</v>
      </c>
      <c r="Q67" s="61">
        <f>SUM(G67:P67)</f>
        <v>8895.5</v>
      </c>
      <c r="R67" s="61">
        <f>18.27*1000</f>
        <v>18270</v>
      </c>
      <c r="S67" s="46">
        <f>Q67/R67</f>
        <v>0.48689107827038863</v>
      </c>
    </row>
    <row r="68" spans="1:19">
      <c r="A68" s="61" t="s">
        <v>317</v>
      </c>
      <c r="B68">
        <v>-458</v>
      </c>
      <c r="C68">
        <v>-728</v>
      </c>
      <c r="D68">
        <v>342</v>
      </c>
      <c r="E68">
        <v>236</v>
      </c>
      <c r="F68">
        <v>1071</v>
      </c>
      <c r="G68" s="61" cm="1">
        <f t="array" ref="G68:P68">_xlfn.FORECAST.LINEAR($G$1:$P$1,B68:F68,$B$1:$F$1)</f>
        <v>1299.1999999999998</v>
      </c>
      <c r="H68">
        <v>1701.4</v>
      </c>
      <c r="I68">
        <v>2103.6</v>
      </c>
      <c r="J68">
        <v>2505.7999999999997</v>
      </c>
      <c r="K68">
        <v>2908</v>
      </c>
      <c r="L68">
        <v>3310.2</v>
      </c>
      <c r="M68">
        <v>3712.3999999999996</v>
      </c>
      <c r="N68">
        <v>4114.5999999999995</v>
      </c>
      <c r="O68">
        <v>4516.8</v>
      </c>
      <c r="P68">
        <v>4919</v>
      </c>
      <c r="Q68" s="61">
        <f>SUM(G68:P68)</f>
        <v>31090.999999999996</v>
      </c>
      <c r="R68">
        <f>7.01*1000</f>
        <v>7010</v>
      </c>
      <c r="S68" s="46">
        <f>Q68/R68</f>
        <v>4.4352353780313836</v>
      </c>
    </row>
    <row r="69" spans="1:19">
      <c r="A69" s="61" t="s">
        <v>315</v>
      </c>
      <c r="B69" s="61">
        <v>269</v>
      </c>
      <c r="C69" s="61">
        <v>278</v>
      </c>
      <c r="D69" s="61">
        <v>322</v>
      </c>
      <c r="E69" s="61">
        <v>44</v>
      </c>
      <c r="F69" s="61">
        <v>27</v>
      </c>
      <c r="G69" s="61" cm="1">
        <f t="array" ref="G69:P69">_xlfn.FORECAST.LINEAR($G$1:$P$1,B69:F69,$B$1:$F$1)</f>
        <v>-27.399999999999977</v>
      </c>
      <c r="H69">
        <v>-99.199999999999989</v>
      </c>
      <c r="I69">
        <v>-171</v>
      </c>
      <c r="J69">
        <v>-242.79999999999995</v>
      </c>
      <c r="K69">
        <v>-314.60000000000002</v>
      </c>
      <c r="L69">
        <v>-386.4</v>
      </c>
      <c r="M69">
        <v>-458.19999999999993</v>
      </c>
      <c r="N69">
        <v>-530</v>
      </c>
      <c r="O69">
        <v>-601.79999999999995</v>
      </c>
      <c r="P69">
        <v>-673.6</v>
      </c>
      <c r="Q69" s="61">
        <f>SUM(G69:P69)</f>
        <v>-3504.9999999999995</v>
      </c>
      <c r="R69">
        <f>5.35*1000</f>
        <v>5350</v>
      </c>
      <c r="S69" s="46">
        <f>Q69/R69</f>
        <v>-0.65514018691588771</v>
      </c>
    </row>
    <row r="74" spans="1:19">
      <c r="C74" s="6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Technology</vt:lpstr>
      <vt:lpstr>Medical</vt:lpstr>
      <vt:lpstr>Consumer</vt:lpstr>
      <vt:lpstr>Resource</vt:lpstr>
      <vt:lpstr>Manufacture</vt:lpstr>
      <vt:lpstr>Finance</vt:lpstr>
      <vt:lpstr>Service</vt:lpstr>
      <vt:lpstr>Semiconductor</vt:lpstr>
      <vt:lpstr>REIT</vt:lpstr>
      <vt:lpstr>Annual Statement</vt:lpstr>
      <vt:lpstr>Discount 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Huanmin Wu</dc:creator>
  <cp:lastModifiedBy>Huanmin Wu</cp:lastModifiedBy>
  <dcterms:created xsi:type="dcterms:W3CDTF">2020-04-05T04:22:17Z</dcterms:created>
  <dcterms:modified xsi:type="dcterms:W3CDTF">2020-05-15T05:24:37Z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867195-f2b8-4ac2-b0b6-6bb73cb33afc_Enabled">
    <vt:lpwstr>True</vt:lpwstr>
  </property>
  <property fmtid="{D5CDD505-2E9C-101B-9397-08002B2CF9AE}" pid="3" name="MSIP_Label_87867195-f2b8-4ac2-b0b6-6bb73cb33afc_SiteId">
    <vt:lpwstr>72f988bf-86f1-41af-91ab-2d7cd011db47</vt:lpwstr>
  </property>
  <property fmtid="{D5CDD505-2E9C-101B-9397-08002B2CF9AE}" pid="4" name="MSIP_Label_87867195-f2b8-4ac2-b0b6-6bb73cb33afc_SetDate">
    <vt:lpwstr>2020-04-19T18:42:07.2655663Z</vt:lpwstr>
  </property>
  <property fmtid="{D5CDD505-2E9C-101B-9397-08002B2CF9AE}" pid="5" name="MSIP_Label_87867195-f2b8-4ac2-b0b6-6bb73cb33afc_Name">
    <vt:lpwstr>Public</vt:lpwstr>
  </property>
  <property fmtid="{D5CDD505-2E9C-101B-9397-08002B2CF9AE}" pid="6" name="MSIP_Label_87867195-f2b8-4ac2-b0b6-6bb73cb33afc_ActionId">
    <vt:lpwstr>c7412f88-91af-4809-ba17-1131dfa5aba2</vt:lpwstr>
  </property>
  <property fmtid="{D5CDD505-2E9C-101B-9397-08002B2CF9AE}" pid="7" name="MSIP_Label_87867195-f2b8-4ac2-b0b6-6bb73cb33afc_Extended_MSFT_Method">
    <vt:lpwstr>Manual</vt:lpwstr>
  </property>
  <property fmtid="{D5CDD505-2E9C-101B-9397-08002B2CF9AE}" pid="8" name="Sensitivity">
    <vt:lpwstr>Public</vt:lpwstr>
  </property>
</Properties>
</file>