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0工作\2019\发展中心\1门窗标准化计算\门窗标准化表格20191022\"/>
    </mc:Choice>
  </mc:AlternateContent>
  <bookViews>
    <workbookView xWindow="0" yWindow="0" windowWidth="28800" windowHeight="12180"/>
  </bookViews>
  <sheets>
    <sheet name="汇总表" sheetId="1" r:id="rId1"/>
    <sheet name="内开窗" sheetId="2" r:id="rId2"/>
    <sheet name="推拉窗" sheetId="5" r:id="rId3"/>
    <sheet name="推拉门" sheetId="6" r:id="rId4"/>
    <sheet name="提升推拉门" sheetId="10" r:id="rId5"/>
    <sheet name="外开窗" sheetId="7" r:id="rId6"/>
    <sheet name="外开门" sheetId="11" r:id="rId7"/>
    <sheet name="型材表" sheetId="3" r:id="rId8"/>
    <sheet name="材料单价表" sheetId="4" r:id="rId9"/>
  </sheets>
  <definedNames>
    <definedName name="_xlnm._FilterDatabase" localSheetId="1" hidden="1">内开窗!$T$1:$U$966</definedName>
    <definedName name="_xlnm._FilterDatabase" localSheetId="4" hidden="1">提升推拉门!$S$1:$T$195</definedName>
    <definedName name="_xlnm._FilterDatabase" localSheetId="2" hidden="1">推拉窗!$S$1:$T$126</definedName>
    <definedName name="_xlnm._FilterDatabase" localSheetId="3" hidden="1">推拉门!$S$1:$T$248</definedName>
    <definedName name="_xlnm._FilterDatabase" localSheetId="5" hidden="1">外开窗!$T$1:$U$1125</definedName>
    <definedName name="_xlnm._FilterDatabase" localSheetId="6" hidden="1">外开门!$T$1:$U$518</definedName>
    <definedName name="_xlnm.Print_Area" localSheetId="8">材料单价表!$A$1:$G$42</definedName>
    <definedName name="_xlnm.Print_Area" localSheetId="0">汇总表!$A$1:$AU$57</definedName>
    <definedName name="_xlnm.Print_Area" localSheetId="1">内开窗!$A$1:$S$966</definedName>
    <definedName name="_xlnm.Print_Area" localSheetId="4">提升推拉门!$A$1:$R$195</definedName>
    <definedName name="_xlnm.Print_Area" localSheetId="2">推拉窗!$A$1:$R$126</definedName>
    <definedName name="_xlnm.Print_Area" localSheetId="3">推拉门!$A$1:$R$248</definedName>
    <definedName name="_xlnm.Print_Area" localSheetId="5">外开窗!$A$1:$S$1125</definedName>
    <definedName name="_xlnm.Print_Area" localSheetId="6">外开门!$A$1:$S$518</definedName>
    <definedName name="_xlnm.Print_Area" localSheetId="7">型材表!$A$1:$I$448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35" i="2" l="1"/>
  <c r="M566" i="2"/>
  <c r="AB480" i="11"/>
  <c r="AB404" i="11"/>
  <c r="AB333" i="11"/>
  <c r="X480" i="11"/>
  <c r="X404" i="11"/>
  <c r="X333" i="11"/>
  <c r="J999" i="7"/>
  <c r="J935" i="7"/>
  <c r="I93" i="5"/>
  <c r="I92" i="5"/>
  <c r="AE493" i="11" l="1"/>
  <c r="AE419" i="11"/>
  <c r="AE345" i="11"/>
  <c r="AC49" i="11"/>
  <c r="AA49" i="11"/>
  <c r="AB481" i="11"/>
  <c r="AB405" i="11"/>
  <c r="AB334" i="11"/>
  <c r="X481" i="11"/>
  <c r="X405" i="11"/>
  <c r="X334" i="11"/>
  <c r="AD479" i="11"/>
  <c r="AD403" i="11"/>
  <c r="AD332" i="11"/>
  <c r="Z479" i="11"/>
  <c r="Z403" i="11"/>
  <c r="Z332" i="11"/>
  <c r="AK951" i="7"/>
  <c r="AK949" i="7"/>
  <c r="AK875" i="7"/>
  <c r="AK874" i="7"/>
  <c r="AK800" i="7"/>
  <c r="AK799" i="7"/>
  <c r="AK725" i="7"/>
  <c r="AK724" i="7"/>
  <c r="AK650" i="7"/>
  <c r="AK649" i="7"/>
  <c r="AI275" i="7"/>
  <c r="AG275" i="7"/>
  <c r="AH275" i="7"/>
  <c r="AF275" i="7"/>
  <c r="J930" i="2"/>
  <c r="J928" i="2"/>
  <c r="J861" i="2"/>
  <c r="J859" i="2"/>
  <c r="J794" i="2"/>
  <c r="J792" i="2"/>
  <c r="J723" i="2"/>
  <c r="J721" i="2"/>
  <c r="J653" i="2"/>
  <c r="J651" i="2"/>
  <c r="J583" i="2"/>
  <c r="J581" i="2"/>
  <c r="J512" i="2"/>
  <c r="J510" i="2"/>
  <c r="M472" i="2"/>
  <c r="K459" i="2"/>
  <c r="AI459" i="2"/>
  <c r="AG459" i="2"/>
  <c r="AE459" i="2"/>
  <c r="AC459" i="2"/>
  <c r="AA459" i="2"/>
  <c r="Y459" i="2"/>
  <c r="W459" i="2"/>
  <c r="J445" i="2"/>
  <c r="J443" i="2"/>
  <c r="J374" i="2"/>
  <c r="J372" i="2"/>
  <c r="J305" i="2"/>
  <c r="J303" i="2"/>
  <c r="J236" i="2"/>
  <c r="J234" i="2"/>
  <c r="J165" i="2"/>
  <c r="J163" i="2"/>
  <c r="M193" i="2"/>
  <c r="M194" i="2"/>
  <c r="M196" i="2"/>
  <c r="J98" i="2"/>
  <c r="J96" i="2"/>
  <c r="M124" i="2"/>
  <c r="M58" i="2"/>
  <c r="J27" i="2"/>
  <c r="J25" i="2"/>
  <c r="AH930" i="2"/>
  <c r="AF930" i="2"/>
  <c r="AD930" i="2"/>
  <c r="AB930" i="2"/>
  <c r="Z930" i="2"/>
  <c r="X930" i="2"/>
  <c r="AH861" i="2"/>
  <c r="AF861" i="2"/>
  <c r="AD861" i="2"/>
  <c r="AB861" i="2"/>
  <c r="Z861" i="2"/>
  <c r="X861" i="2"/>
  <c r="AH794" i="2"/>
  <c r="AF794" i="2"/>
  <c r="AD794" i="2"/>
  <c r="AB794" i="2"/>
  <c r="Z794" i="2"/>
  <c r="X794" i="2"/>
  <c r="AH723" i="2"/>
  <c r="AF723" i="2"/>
  <c r="AD723" i="2"/>
  <c r="AB723" i="2"/>
  <c r="Z723" i="2"/>
  <c r="X723" i="2"/>
  <c r="AH653" i="2"/>
  <c r="AF653" i="2"/>
  <c r="AD653" i="2"/>
  <c r="AB653" i="2"/>
  <c r="Z653" i="2"/>
  <c r="X653" i="2"/>
  <c r="AH583" i="2"/>
  <c r="AF583" i="2"/>
  <c r="AD583" i="2"/>
  <c r="AB583" i="2"/>
  <c r="Z583" i="2"/>
  <c r="X583" i="2"/>
  <c r="AH512" i="2"/>
  <c r="AF512" i="2"/>
  <c r="AD512" i="2"/>
  <c r="AB512" i="2"/>
  <c r="Z512" i="2"/>
  <c r="X512" i="2"/>
  <c r="AH445" i="2"/>
  <c r="AF445" i="2"/>
  <c r="AD445" i="2"/>
  <c r="AB445" i="2"/>
  <c r="Z445" i="2"/>
  <c r="X445" i="2"/>
  <c r="AH374" i="2"/>
  <c r="AF374" i="2"/>
  <c r="AD374" i="2"/>
  <c r="AB374" i="2"/>
  <c r="Z374" i="2"/>
  <c r="X374" i="2"/>
  <c r="AH305" i="2"/>
  <c r="AF305" i="2"/>
  <c r="AD305" i="2"/>
  <c r="AB305" i="2"/>
  <c r="Z305" i="2"/>
  <c r="X305" i="2"/>
  <c r="AH236" i="2"/>
  <c r="AF236" i="2"/>
  <c r="AD236" i="2"/>
  <c r="AB236" i="2"/>
  <c r="Z236" i="2"/>
  <c r="X236" i="2"/>
  <c r="AH98" i="2"/>
  <c r="AF98" i="2"/>
  <c r="AD98" i="2"/>
  <c r="AB98" i="2"/>
  <c r="Z98" i="2"/>
  <c r="X98" i="2"/>
  <c r="AH27" i="2"/>
  <c r="AF27" i="2"/>
  <c r="AD27" i="2"/>
  <c r="AB27" i="2"/>
  <c r="Z27" i="2"/>
  <c r="X27" i="2"/>
  <c r="AH928" i="2"/>
  <c r="AF928" i="2"/>
  <c r="AD928" i="2"/>
  <c r="AB928" i="2"/>
  <c r="Z928" i="2"/>
  <c r="X928" i="2"/>
  <c r="AH859" i="2"/>
  <c r="AF859" i="2"/>
  <c r="AD859" i="2"/>
  <c r="AB859" i="2"/>
  <c r="Z859" i="2"/>
  <c r="X859" i="2"/>
  <c r="AH792" i="2"/>
  <c r="AF792" i="2"/>
  <c r="AD792" i="2"/>
  <c r="AB792" i="2"/>
  <c r="Z792" i="2"/>
  <c r="X792" i="2"/>
  <c r="AH721" i="2"/>
  <c r="AF721" i="2"/>
  <c r="AD721" i="2"/>
  <c r="AB721" i="2"/>
  <c r="Z721" i="2"/>
  <c r="X721" i="2"/>
  <c r="AH651" i="2"/>
  <c r="AF651" i="2"/>
  <c r="AD651" i="2"/>
  <c r="AB651" i="2"/>
  <c r="Z651" i="2"/>
  <c r="X651" i="2"/>
  <c r="AH581" i="2"/>
  <c r="AF581" i="2"/>
  <c r="AD581" i="2"/>
  <c r="AB581" i="2"/>
  <c r="Z581" i="2"/>
  <c r="X581" i="2"/>
  <c r="AH510" i="2"/>
  <c r="AF510" i="2"/>
  <c r="AD510" i="2"/>
  <c r="AB510" i="2"/>
  <c r="Z510" i="2"/>
  <c r="X510" i="2"/>
  <c r="AH443" i="2"/>
  <c r="AF443" i="2"/>
  <c r="AD443" i="2"/>
  <c r="AB443" i="2"/>
  <c r="Z443" i="2"/>
  <c r="X443" i="2"/>
  <c r="AH372" i="2"/>
  <c r="AF372" i="2"/>
  <c r="AD372" i="2"/>
  <c r="AB372" i="2"/>
  <c r="Z372" i="2"/>
  <c r="X372" i="2"/>
  <c r="AH303" i="2"/>
  <c r="AF303" i="2"/>
  <c r="AD303" i="2"/>
  <c r="AB303" i="2"/>
  <c r="Z303" i="2"/>
  <c r="X303" i="2"/>
  <c r="AH234" i="2"/>
  <c r="AF234" i="2"/>
  <c r="AD234" i="2"/>
  <c r="AB234" i="2"/>
  <c r="Z234" i="2"/>
  <c r="X234" i="2"/>
  <c r="AH96" i="2"/>
  <c r="AF96" i="2"/>
  <c r="AD96" i="2"/>
  <c r="AB96" i="2"/>
  <c r="Z96" i="2"/>
  <c r="X96" i="2"/>
  <c r="AH25" i="2"/>
  <c r="AF25" i="2"/>
  <c r="AD25" i="2"/>
  <c r="AB25" i="2"/>
  <c r="Z25" i="2"/>
  <c r="X25" i="2"/>
  <c r="H17" i="2"/>
  <c r="Q17" i="2"/>
  <c r="M4" i="2"/>
  <c r="J17" i="2"/>
  <c r="L17" i="2"/>
  <c r="M17" i="2"/>
  <c r="H18" i="2"/>
  <c r="Q18" i="2"/>
  <c r="M5" i="2"/>
  <c r="J18" i="2"/>
  <c r="L18" i="2"/>
  <c r="M18" i="2"/>
  <c r="H19" i="2"/>
  <c r="Q19" i="2"/>
  <c r="H20" i="2"/>
  <c r="Q20" i="2"/>
  <c r="H23" i="2"/>
  <c r="Q23" i="2"/>
  <c r="H24" i="2"/>
  <c r="Q24" i="2"/>
  <c r="H25" i="2"/>
  <c r="Q25" i="2"/>
  <c r="H26" i="2"/>
  <c r="Q26" i="2"/>
  <c r="H27" i="2"/>
  <c r="Q27" i="2"/>
  <c r="M6" i="2"/>
  <c r="J19" i="2"/>
  <c r="L19" i="2"/>
  <c r="M19" i="2"/>
  <c r="M9" i="2"/>
  <c r="J20" i="2"/>
  <c r="L20" i="2"/>
  <c r="M20" i="2"/>
  <c r="J23" i="2"/>
  <c r="L23" i="2"/>
  <c r="M23" i="2"/>
  <c r="J24" i="2"/>
  <c r="L24" i="2"/>
  <c r="M24" i="2"/>
  <c r="K25" i="2"/>
  <c r="L25" i="2"/>
  <c r="M25" i="2"/>
  <c r="J26" i="2"/>
  <c r="K26" i="2"/>
  <c r="L26" i="2"/>
  <c r="M26" i="2"/>
  <c r="K27" i="2"/>
  <c r="L27" i="2"/>
  <c r="M27" i="2"/>
  <c r="M55" i="2"/>
  <c r="M556" i="2"/>
  <c r="M558" i="2"/>
  <c r="J575" i="2"/>
  <c r="J704" i="7"/>
  <c r="M680" i="7"/>
  <c r="M685" i="7"/>
  <c r="J708" i="7"/>
  <c r="J707" i="7"/>
  <c r="J706" i="7"/>
  <c r="M679" i="7"/>
  <c r="J705" i="7"/>
  <c r="M681" i="7"/>
  <c r="J703" i="7"/>
  <c r="J576" i="2"/>
  <c r="M557" i="2"/>
  <c r="M561" i="2"/>
  <c r="M562" i="2"/>
  <c r="J580" i="2"/>
  <c r="J579" i="2"/>
  <c r="J578" i="2"/>
  <c r="J577" i="2"/>
  <c r="M448" i="11"/>
  <c r="M449" i="11"/>
  <c r="M453" i="11" s="1"/>
  <c r="J475" i="11"/>
  <c r="J476" i="11"/>
  <c r="M374" i="11"/>
  <c r="J399" i="11"/>
  <c r="M375" i="11"/>
  <c r="M379" i="11" s="1"/>
  <c r="J390" i="11" s="1"/>
  <c r="J401" i="11"/>
  <c r="M300" i="11"/>
  <c r="J324" i="11"/>
  <c r="J331" i="11"/>
  <c r="M303" i="11"/>
  <c r="J327" i="11" s="1"/>
  <c r="J328" i="11"/>
  <c r="M301" i="11"/>
  <c r="M306" i="11" s="1"/>
  <c r="J330" i="11"/>
  <c r="M226" i="11"/>
  <c r="M228" i="11" s="1"/>
  <c r="M227" i="11"/>
  <c r="M152" i="11"/>
  <c r="M153" i="11"/>
  <c r="J170" i="11" s="1"/>
  <c r="M78" i="11"/>
  <c r="M80" i="11"/>
  <c r="J101" i="11" s="1"/>
  <c r="M79" i="11"/>
  <c r="M4" i="11"/>
  <c r="M6" i="11" s="1"/>
  <c r="J27" i="11" s="1"/>
  <c r="K27" i="11"/>
  <c r="M5" i="11"/>
  <c r="J18" i="11" s="1"/>
  <c r="M1055" i="7"/>
  <c r="M1060" i="7"/>
  <c r="J1088" i="7"/>
  <c r="J1089" i="7"/>
  <c r="J1087" i="7"/>
  <c r="M1054" i="7"/>
  <c r="M1056" i="7"/>
  <c r="J1081" i="7"/>
  <c r="J1082" i="7"/>
  <c r="J1083" i="7"/>
  <c r="J1085" i="7"/>
  <c r="M1111" i="7"/>
  <c r="M979" i="7"/>
  <c r="M981" i="7"/>
  <c r="J1004" i="7"/>
  <c r="K1004" i="7"/>
  <c r="J1007" i="7"/>
  <c r="J1005" i="7"/>
  <c r="J1006" i="7"/>
  <c r="J1008" i="7"/>
  <c r="M980" i="7"/>
  <c r="M985" i="7"/>
  <c r="J1009" i="7"/>
  <c r="J1010" i="7"/>
  <c r="M1036" i="7"/>
  <c r="M905" i="7"/>
  <c r="M910" i="7"/>
  <c r="J938" i="7"/>
  <c r="J939" i="7"/>
  <c r="M904" i="7"/>
  <c r="M906" i="7"/>
  <c r="J931" i="7"/>
  <c r="J932" i="7"/>
  <c r="J933" i="7"/>
  <c r="J934" i="7"/>
  <c r="J936" i="7"/>
  <c r="J937" i="7"/>
  <c r="M961" i="7"/>
  <c r="O961" i="7" s="1"/>
  <c r="O969" i="7" s="1"/>
  <c r="M829" i="7"/>
  <c r="M831" i="7"/>
  <c r="J854" i="7"/>
  <c r="K854" i="7"/>
  <c r="J857" i="7"/>
  <c r="J855" i="7"/>
  <c r="J856" i="7"/>
  <c r="J858" i="7"/>
  <c r="M830" i="7"/>
  <c r="M835" i="7"/>
  <c r="J859" i="7"/>
  <c r="J860" i="7"/>
  <c r="M886" i="7"/>
  <c r="M754" i="7"/>
  <c r="M755" i="7"/>
  <c r="M759" i="7"/>
  <c r="M758" i="7"/>
  <c r="M756" i="7"/>
  <c r="J779" i="7"/>
  <c r="J781" i="7"/>
  <c r="J780" i="7"/>
  <c r="J782" i="7"/>
  <c r="J783" i="7"/>
  <c r="M811" i="7"/>
  <c r="K703" i="7"/>
  <c r="K706" i="7"/>
  <c r="M736" i="7"/>
  <c r="M604" i="7"/>
  <c r="M606" i="7"/>
  <c r="J628" i="7"/>
  <c r="K628" i="7"/>
  <c r="M605" i="7"/>
  <c r="J631" i="7"/>
  <c r="J629" i="7"/>
  <c r="M609" i="7"/>
  <c r="J630" i="7"/>
  <c r="M661" i="7"/>
  <c r="M529" i="7"/>
  <c r="M531" i="7"/>
  <c r="J553" i="7"/>
  <c r="K553" i="7"/>
  <c r="M530" i="7"/>
  <c r="M535" i="7"/>
  <c r="J558" i="7"/>
  <c r="J554" i="7"/>
  <c r="J555" i="7"/>
  <c r="J556" i="7"/>
  <c r="J557" i="7"/>
  <c r="M586" i="7"/>
  <c r="M454" i="7"/>
  <c r="M456" i="7"/>
  <c r="J477" i="7"/>
  <c r="M455" i="7"/>
  <c r="M460" i="7"/>
  <c r="J480" i="7"/>
  <c r="J478" i="7"/>
  <c r="J479" i="7"/>
  <c r="M511" i="7"/>
  <c r="M304" i="7"/>
  <c r="M306" i="7"/>
  <c r="J327" i="7"/>
  <c r="K327" i="7"/>
  <c r="M305" i="7"/>
  <c r="M310" i="7"/>
  <c r="J330" i="7"/>
  <c r="K330" i="7"/>
  <c r="J328" i="7"/>
  <c r="J329" i="7"/>
  <c r="K329" i="7"/>
  <c r="M361" i="7"/>
  <c r="M289" i="7"/>
  <c r="M229" i="7"/>
  <c r="M231" i="7"/>
  <c r="J252" i="7"/>
  <c r="K252" i="7"/>
  <c r="J253" i="7"/>
  <c r="M230" i="7"/>
  <c r="M234" i="7"/>
  <c r="J254" i="7"/>
  <c r="K254" i="7"/>
  <c r="J255" i="7"/>
  <c r="M286" i="7"/>
  <c r="M154" i="7"/>
  <c r="M156" i="7"/>
  <c r="J177" i="7"/>
  <c r="K177" i="7"/>
  <c r="M155" i="7"/>
  <c r="M159" i="7"/>
  <c r="J178" i="7"/>
  <c r="M211" i="7"/>
  <c r="M139" i="7"/>
  <c r="M79" i="7"/>
  <c r="M81" i="7"/>
  <c r="J102" i="7"/>
  <c r="K102" i="7"/>
  <c r="M80" i="7"/>
  <c r="M84" i="7"/>
  <c r="J105" i="7"/>
  <c r="J103" i="7"/>
  <c r="J104" i="7"/>
  <c r="K104" i="7"/>
  <c r="M136" i="7"/>
  <c r="L4" i="10"/>
  <c r="L6" i="10"/>
  <c r="I21" i="10"/>
  <c r="I22" i="10"/>
  <c r="L5" i="10"/>
  <c r="L9" i="10"/>
  <c r="I23" i="10"/>
  <c r="I24" i="10"/>
  <c r="I25" i="10"/>
  <c r="L51" i="10"/>
  <c r="L66" i="6"/>
  <c r="L68" i="6"/>
  <c r="I83" i="6"/>
  <c r="I84" i="6"/>
  <c r="L67" i="6"/>
  <c r="L71" i="6"/>
  <c r="I85" i="6"/>
  <c r="I86" i="6"/>
  <c r="L110" i="6"/>
  <c r="L4" i="6"/>
  <c r="L6" i="6"/>
  <c r="I21" i="6"/>
  <c r="I22" i="6"/>
  <c r="L5" i="6"/>
  <c r="L9" i="6"/>
  <c r="I23" i="6"/>
  <c r="I24" i="6"/>
  <c r="I25" i="6"/>
  <c r="L48" i="6"/>
  <c r="L67" i="5"/>
  <c r="L69" i="5"/>
  <c r="I85" i="5"/>
  <c r="I86" i="5"/>
  <c r="L68" i="5"/>
  <c r="L72" i="5"/>
  <c r="I87" i="5"/>
  <c r="I88" i="5"/>
  <c r="I89" i="5"/>
  <c r="L112" i="5"/>
  <c r="L4" i="5"/>
  <c r="L6" i="5"/>
  <c r="I20" i="5"/>
  <c r="L5" i="5"/>
  <c r="L9" i="5"/>
  <c r="I21" i="5"/>
  <c r="I22" i="5"/>
  <c r="L49" i="5"/>
  <c r="M901" i="2"/>
  <c r="M903" i="2"/>
  <c r="J921" i="2"/>
  <c r="J922" i="2"/>
  <c r="J923" i="2"/>
  <c r="M902" i="2"/>
  <c r="M906" i="2"/>
  <c r="M907" i="2"/>
  <c r="J924" i="2"/>
  <c r="J925" i="2"/>
  <c r="J926" i="2"/>
  <c r="J927" i="2"/>
  <c r="M952" i="2"/>
  <c r="M832" i="2"/>
  <c r="M834" i="2"/>
  <c r="J852" i="2"/>
  <c r="J858" i="2"/>
  <c r="J853" i="2"/>
  <c r="J854" i="2"/>
  <c r="J855" i="2"/>
  <c r="J856" i="2"/>
  <c r="M833" i="2"/>
  <c r="M838" i="2"/>
  <c r="J857" i="2"/>
  <c r="M883" i="2"/>
  <c r="M763" i="2"/>
  <c r="M765" i="2"/>
  <c r="J783" i="2"/>
  <c r="J784" i="2"/>
  <c r="J785" i="2"/>
  <c r="M768" i="2"/>
  <c r="J786" i="2"/>
  <c r="J787" i="2"/>
  <c r="M764" i="2"/>
  <c r="M769" i="2"/>
  <c r="J788" i="2"/>
  <c r="J789" i="2"/>
  <c r="J790" i="2"/>
  <c r="J791" i="2"/>
  <c r="M814" i="2"/>
  <c r="K721" i="2"/>
  <c r="M748" i="2"/>
  <c r="M694" i="2"/>
  <c r="M696" i="2"/>
  <c r="J714" i="2"/>
  <c r="J720" i="2"/>
  <c r="J715" i="2"/>
  <c r="J716" i="2"/>
  <c r="J717" i="2"/>
  <c r="J718" i="2"/>
  <c r="M695" i="2"/>
  <c r="M700" i="2"/>
  <c r="J719" i="2"/>
  <c r="M745" i="2"/>
  <c r="K651" i="2"/>
  <c r="M679" i="2"/>
  <c r="M625" i="2"/>
  <c r="M626" i="2"/>
  <c r="M629" i="2"/>
  <c r="M627" i="2"/>
  <c r="J646" i="2"/>
  <c r="J650" i="2"/>
  <c r="J647" i="2"/>
  <c r="M630" i="2"/>
  <c r="J648" i="2"/>
  <c r="J649" i="2"/>
  <c r="M676" i="2"/>
  <c r="K581" i="2"/>
  <c r="M610" i="2"/>
  <c r="M607" i="2"/>
  <c r="M487" i="2"/>
  <c r="M489" i="2"/>
  <c r="J502" i="2"/>
  <c r="M488" i="2"/>
  <c r="M492" i="2"/>
  <c r="J503" i="2"/>
  <c r="M542" i="2"/>
  <c r="K510" i="2"/>
  <c r="M541" i="2"/>
  <c r="J506" i="2"/>
  <c r="J509" i="2"/>
  <c r="J507" i="2"/>
  <c r="J508" i="2"/>
  <c r="M538" i="2"/>
  <c r="K443" i="2"/>
  <c r="M418" i="2"/>
  <c r="J437" i="2"/>
  <c r="M419" i="2"/>
  <c r="M423" i="2"/>
  <c r="M424" i="2"/>
  <c r="J442" i="2"/>
  <c r="M420" i="2"/>
  <c r="J438" i="2"/>
  <c r="J439" i="2"/>
  <c r="J440" i="2"/>
  <c r="J441" i="2"/>
  <c r="M349" i="2"/>
  <c r="M351" i="2"/>
  <c r="J364" i="2"/>
  <c r="M350" i="2"/>
  <c r="M354" i="2"/>
  <c r="J365" i="2"/>
  <c r="M404" i="2"/>
  <c r="J368" i="2"/>
  <c r="J371" i="2"/>
  <c r="J369" i="2"/>
  <c r="J370" i="2"/>
  <c r="M400" i="2"/>
  <c r="M280" i="2"/>
  <c r="M282" i="2"/>
  <c r="J295" i="2"/>
  <c r="M281" i="2"/>
  <c r="M285" i="2"/>
  <c r="J296" i="2"/>
  <c r="M335" i="2"/>
  <c r="K303" i="2"/>
  <c r="M334" i="2"/>
  <c r="J299" i="2"/>
  <c r="J302" i="2"/>
  <c r="J300" i="2"/>
  <c r="J301" i="2"/>
  <c r="M331" i="2"/>
  <c r="M211" i="2"/>
  <c r="M213" i="2"/>
  <c r="J226" i="2"/>
  <c r="J227" i="2"/>
  <c r="M266" i="2"/>
  <c r="K234" i="2"/>
  <c r="M265" i="2"/>
  <c r="J230" i="2"/>
  <c r="M212" i="2"/>
  <c r="M217" i="2"/>
  <c r="J233" i="2"/>
  <c r="J231" i="2"/>
  <c r="J232" i="2"/>
  <c r="M262" i="2"/>
  <c r="J224" i="2"/>
  <c r="M142" i="2"/>
  <c r="J155" i="2"/>
  <c r="J157" i="2"/>
  <c r="M143" i="2"/>
  <c r="M147" i="2"/>
  <c r="J158" i="2"/>
  <c r="M197" i="2"/>
  <c r="K163" i="2"/>
  <c r="M153" i="2"/>
  <c r="M144" i="2"/>
  <c r="J161" i="2"/>
  <c r="J162" i="2"/>
  <c r="M192" i="2"/>
  <c r="K181" i="2"/>
  <c r="J181" i="2"/>
  <c r="J159" i="2"/>
  <c r="J156" i="2"/>
  <c r="M73" i="2"/>
  <c r="M75" i="2"/>
  <c r="J88" i="2"/>
  <c r="M78" i="2"/>
  <c r="J89" i="2"/>
  <c r="M128" i="2"/>
  <c r="K96" i="2"/>
  <c r="K97" i="2"/>
  <c r="M127" i="2"/>
  <c r="M84" i="2"/>
  <c r="M125" i="2"/>
  <c r="J92" i="2"/>
  <c r="M74" i="2"/>
  <c r="M79" i="2"/>
  <c r="J95" i="2"/>
  <c r="J93" i="2"/>
  <c r="J94" i="2"/>
  <c r="K113" i="2"/>
  <c r="K112" i="2"/>
  <c r="J113" i="2"/>
  <c r="J112" i="2"/>
  <c r="J100" i="2"/>
  <c r="J99" i="2"/>
  <c r="J97" i="2"/>
  <c r="J90" i="2"/>
  <c r="J87" i="2"/>
  <c r="J86" i="2"/>
  <c r="M59" i="2"/>
  <c r="M15" i="2"/>
  <c r="M56" i="2"/>
  <c r="J574" i="2"/>
  <c r="J573" i="2"/>
  <c r="J572" i="2"/>
  <c r="J571" i="2"/>
  <c r="J570" i="2"/>
  <c r="J569" i="2"/>
  <c r="J396" i="11"/>
  <c r="J392" i="11"/>
  <c r="J466" i="11"/>
  <c r="J101" i="6"/>
  <c r="I101" i="6"/>
  <c r="I80" i="6"/>
  <c r="I84" i="5"/>
  <c r="Y84" i="5"/>
  <c r="G84" i="5"/>
  <c r="I83" i="5"/>
  <c r="G83" i="5"/>
  <c r="K83" i="5"/>
  <c r="L83" i="5" s="1"/>
  <c r="O83" i="5"/>
  <c r="P83" i="5"/>
  <c r="E83" i="5"/>
  <c r="J65" i="5"/>
  <c r="L22" i="1"/>
  <c r="L65" i="5"/>
  <c r="M22" i="1"/>
  <c r="V22" i="1" s="1"/>
  <c r="N22" i="1"/>
  <c r="P22" i="1" s="1"/>
  <c r="N21" i="1"/>
  <c r="L2" i="5"/>
  <c r="M21" i="1"/>
  <c r="V21" i="1" s="1"/>
  <c r="J2" i="5"/>
  <c r="L21" i="1"/>
  <c r="I22" i="1"/>
  <c r="I21" i="1"/>
  <c r="H31" i="11"/>
  <c r="L31" i="11" s="1"/>
  <c r="M31" i="11" s="1"/>
  <c r="Q31" i="11"/>
  <c r="V181" i="2"/>
  <c r="J31" i="11"/>
  <c r="J30" i="11"/>
  <c r="J29" i="11"/>
  <c r="J699" i="7"/>
  <c r="J549" i="7"/>
  <c r="J99" i="7"/>
  <c r="I31" i="6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383" i="3"/>
  <c r="N50" i="1"/>
  <c r="O50" i="1" s="1"/>
  <c r="N51" i="1"/>
  <c r="O51" i="1" s="1"/>
  <c r="N52" i="1"/>
  <c r="N53" i="1"/>
  <c r="O53" i="1" s="1"/>
  <c r="N54" i="1"/>
  <c r="O54" i="1" s="1"/>
  <c r="N55" i="1"/>
  <c r="O55" i="1" s="1"/>
  <c r="N49" i="1"/>
  <c r="O49" i="1" s="1"/>
  <c r="I50" i="1"/>
  <c r="J50" i="1" s="1"/>
  <c r="I51" i="1"/>
  <c r="I52" i="1"/>
  <c r="I53" i="1"/>
  <c r="I54" i="1"/>
  <c r="I55" i="1"/>
  <c r="I49" i="1"/>
  <c r="J49" i="1" s="1"/>
  <c r="N46" i="1"/>
  <c r="R46" i="1"/>
  <c r="N47" i="1"/>
  <c r="O47" i="1" s="1"/>
  <c r="R47" i="1"/>
  <c r="I46" i="1"/>
  <c r="J46" i="1"/>
  <c r="I47" i="1"/>
  <c r="J47" i="1"/>
  <c r="N34" i="1"/>
  <c r="P34" i="1" s="1"/>
  <c r="N35" i="1"/>
  <c r="O35" i="1" s="1"/>
  <c r="N36" i="1"/>
  <c r="O36" i="1" s="1"/>
  <c r="N37" i="1"/>
  <c r="O37" i="1" s="1"/>
  <c r="N38" i="1"/>
  <c r="P38" i="1" s="1"/>
  <c r="N39" i="1"/>
  <c r="O39" i="1" s="1"/>
  <c r="N40" i="1"/>
  <c r="O40" i="1" s="1"/>
  <c r="N41" i="1"/>
  <c r="N42" i="1"/>
  <c r="O42" i="1" s="1"/>
  <c r="Q42" i="1" s="1"/>
  <c r="N43" i="1"/>
  <c r="O43" i="1" s="1"/>
  <c r="N44" i="1"/>
  <c r="O44" i="1" s="1"/>
  <c r="N45" i="1"/>
  <c r="O45" i="1" s="1"/>
  <c r="N33" i="1"/>
  <c r="O33" i="1" s="1"/>
  <c r="I34" i="1"/>
  <c r="I35" i="1"/>
  <c r="I36" i="1"/>
  <c r="I37" i="1"/>
  <c r="I38" i="1"/>
  <c r="I39" i="1"/>
  <c r="I40" i="1"/>
  <c r="I41" i="1"/>
  <c r="I42" i="1"/>
  <c r="I43" i="1"/>
  <c r="I44" i="1"/>
  <c r="I45" i="1"/>
  <c r="I33" i="1"/>
  <c r="I30" i="1"/>
  <c r="I31" i="1"/>
  <c r="N30" i="1"/>
  <c r="N31" i="1"/>
  <c r="P31" i="1" s="1"/>
  <c r="N29" i="1"/>
  <c r="I29" i="1"/>
  <c r="N25" i="1"/>
  <c r="O25" i="1" s="1"/>
  <c r="N26" i="1"/>
  <c r="O26" i="1" s="1"/>
  <c r="N27" i="1"/>
  <c r="P27" i="1" s="1"/>
  <c r="N24" i="1"/>
  <c r="O24" i="1" s="1"/>
  <c r="I25" i="1"/>
  <c r="I26" i="1"/>
  <c r="I27" i="1"/>
  <c r="I24" i="1"/>
  <c r="R22" i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N17" i="1"/>
  <c r="O17" i="1" s="1"/>
  <c r="N18" i="1"/>
  <c r="O18" i="1" s="1"/>
  <c r="N19" i="1"/>
  <c r="O19" i="1" s="1"/>
  <c r="N6" i="1"/>
  <c r="R8" i="1"/>
  <c r="R9" i="1"/>
  <c r="R10" i="1"/>
  <c r="R11" i="1"/>
  <c r="R12" i="1"/>
  <c r="R13" i="1"/>
  <c r="R14" i="1"/>
  <c r="R15" i="1"/>
  <c r="R16" i="1"/>
  <c r="R17" i="1"/>
  <c r="R18" i="1"/>
  <c r="R19" i="1"/>
  <c r="I8" i="1"/>
  <c r="I9" i="1"/>
  <c r="I10" i="1"/>
  <c r="I11" i="1"/>
  <c r="I12" i="1"/>
  <c r="I13" i="1"/>
  <c r="I14" i="1"/>
  <c r="I15" i="1"/>
  <c r="I16" i="1"/>
  <c r="I17" i="1"/>
  <c r="I18" i="1"/>
  <c r="I19" i="1"/>
  <c r="I7" i="1"/>
  <c r="I6" i="1"/>
  <c r="G81" i="6"/>
  <c r="G80" i="6"/>
  <c r="G79" i="6"/>
  <c r="X101" i="6"/>
  <c r="W101" i="6"/>
  <c r="W85" i="6"/>
  <c r="W84" i="6"/>
  <c r="W83" i="6"/>
  <c r="W80" i="6"/>
  <c r="U101" i="6"/>
  <c r="V101" i="6"/>
  <c r="U85" i="6"/>
  <c r="U84" i="6"/>
  <c r="U83" i="6"/>
  <c r="U80" i="6"/>
  <c r="K942" i="7"/>
  <c r="K943" i="7"/>
  <c r="K940" i="7"/>
  <c r="K1092" i="7"/>
  <c r="K1093" i="7"/>
  <c r="K1091" i="7"/>
  <c r="K1090" i="7"/>
  <c r="H1076" i="7"/>
  <c r="Q1076" i="7"/>
  <c r="V1072" i="7"/>
  <c r="X1072" i="7"/>
  <c r="Z1072" i="7"/>
  <c r="AB1072" i="7"/>
  <c r="AD1072" i="7"/>
  <c r="AF1072" i="7"/>
  <c r="AH1072" i="7"/>
  <c r="AJ1072" i="7"/>
  <c r="K1011" i="7"/>
  <c r="M1039" i="7"/>
  <c r="N1123" i="7"/>
  <c r="N1122" i="7"/>
  <c r="N1116" i="7"/>
  <c r="K1116" i="7"/>
  <c r="N1115" i="7"/>
  <c r="K1115" i="7"/>
  <c r="N1114" i="7"/>
  <c r="K1114" i="7"/>
  <c r="N1113" i="7"/>
  <c r="K1113" i="7"/>
  <c r="N1112" i="7"/>
  <c r="K1112" i="7"/>
  <c r="N1111" i="7"/>
  <c r="K1111" i="7"/>
  <c r="N1110" i="7"/>
  <c r="K1110" i="7"/>
  <c r="M1108" i="7"/>
  <c r="N1107" i="7"/>
  <c r="O1107" i="7"/>
  <c r="O1108" i="7"/>
  <c r="K1107" i="7"/>
  <c r="AK1104" i="7"/>
  <c r="AJ1104" i="7"/>
  <c r="AI1104" i="7"/>
  <c r="AH1104" i="7"/>
  <c r="AG1104" i="7"/>
  <c r="AF1104" i="7"/>
  <c r="AE1104" i="7"/>
  <c r="AD1104" i="7"/>
  <c r="AC1104" i="7"/>
  <c r="AB1104" i="7"/>
  <c r="AA1104" i="7"/>
  <c r="Z1104" i="7"/>
  <c r="Y1104" i="7"/>
  <c r="X1104" i="7"/>
  <c r="W1104" i="7"/>
  <c r="V1104" i="7"/>
  <c r="J1104" i="7"/>
  <c r="AK1103" i="7"/>
  <c r="AJ1103" i="7"/>
  <c r="AI1103" i="7"/>
  <c r="AH1103" i="7"/>
  <c r="AG1103" i="7"/>
  <c r="AF1103" i="7"/>
  <c r="AE1103" i="7"/>
  <c r="AD1103" i="7"/>
  <c r="AC1103" i="7"/>
  <c r="AB1103" i="7"/>
  <c r="AA1103" i="7"/>
  <c r="Z1103" i="7"/>
  <c r="Y1103" i="7"/>
  <c r="X1103" i="7"/>
  <c r="W1103" i="7"/>
  <c r="V1103" i="7"/>
  <c r="AK1101" i="7"/>
  <c r="AJ1101" i="7"/>
  <c r="AI1101" i="7"/>
  <c r="AH1101" i="7"/>
  <c r="AG1101" i="7"/>
  <c r="AF1101" i="7"/>
  <c r="AE1101" i="7"/>
  <c r="AD1101" i="7"/>
  <c r="AC1101" i="7"/>
  <c r="AB1101" i="7"/>
  <c r="AA1101" i="7"/>
  <c r="Z1101" i="7"/>
  <c r="Y1101" i="7"/>
  <c r="X1101" i="7"/>
  <c r="W1101" i="7"/>
  <c r="K1102" i="7"/>
  <c r="V1101" i="7"/>
  <c r="AK1099" i="7"/>
  <c r="AJ1099" i="7"/>
  <c r="AI1099" i="7"/>
  <c r="AH1099" i="7"/>
  <c r="AG1099" i="7"/>
  <c r="AF1099" i="7"/>
  <c r="AE1099" i="7"/>
  <c r="AD1099" i="7"/>
  <c r="AC1099" i="7"/>
  <c r="AB1099" i="7"/>
  <c r="AA1099" i="7"/>
  <c r="Z1099" i="7"/>
  <c r="Y1099" i="7"/>
  <c r="X1099" i="7"/>
  <c r="W1099" i="7"/>
  <c r="V1099" i="7"/>
  <c r="AH1093" i="7"/>
  <c r="AF1093" i="7"/>
  <c r="AD1093" i="7"/>
  <c r="AB1093" i="7"/>
  <c r="Z1093" i="7"/>
  <c r="X1093" i="7"/>
  <c r="V1093" i="7"/>
  <c r="J1093" i="7"/>
  <c r="H1093" i="7"/>
  <c r="Q1093" i="7"/>
  <c r="AJ1092" i="7"/>
  <c r="AH1092" i="7"/>
  <c r="AF1092" i="7"/>
  <c r="AD1092" i="7"/>
  <c r="AB1092" i="7"/>
  <c r="Z1092" i="7"/>
  <c r="X1092" i="7"/>
  <c r="V1092" i="7"/>
  <c r="J1092" i="7"/>
  <c r="H1092" i="7"/>
  <c r="Q1092" i="7"/>
  <c r="AJ1091" i="7"/>
  <c r="AH1091" i="7"/>
  <c r="AF1091" i="7"/>
  <c r="AD1091" i="7"/>
  <c r="AB1091" i="7"/>
  <c r="Z1091" i="7"/>
  <c r="X1091" i="7"/>
  <c r="V1091" i="7"/>
  <c r="J1091" i="7"/>
  <c r="H1091" i="7"/>
  <c r="L1091" i="7"/>
  <c r="M1091" i="7" s="1"/>
  <c r="O1091" i="7" s="1"/>
  <c r="AJ1090" i="7"/>
  <c r="AH1090" i="7"/>
  <c r="AF1090" i="7"/>
  <c r="AD1090" i="7"/>
  <c r="AB1090" i="7"/>
  <c r="Z1090" i="7"/>
  <c r="X1090" i="7"/>
  <c r="V1090" i="7"/>
  <c r="J1090" i="7"/>
  <c r="H1090" i="7"/>
  <c r="L1090" i="7"/>
  <c r="M1090" i="7" s="1"/>
  <c r="AJ1089" i="7"/>
  <c r="AH1089" i="7"/>
  <c r="AF1089" i="7"/>
  <c r="AD1089" i="7"/>
  <c r="AB1089" i="7"/>
  <c r="Z1089" i="7"/>
  <c r="X1089" i="7"/>
  <c r="V1089" i="7"/>
  <c r="AJ1088" i="7"/>
  <c r="AH1088" i="7"/>
  <c r="AF1088" i="7"/>
  <c r="AD1088" i="7"/>
  <c r="AB1088" i="7"/>
  <c r="Z1088" i="7"/>
  <c r="X1088" i="7"/>
  <c r="V1088" i="7"/>
  <c r="AJ1086" i="7"/>
  <c r="AH1086" i="7"/>
  <c r="AF1086" i="7"/>
  <c r="AD1086" i="7"/>
  <c r="AB1086" i="7"/>
  <c r="Z1086" i="7"/>
  <c r="X1086" i="7"/>
  <c r="V1086" i="7"/>
  <c r="AJ1084" i="7"/>
  <c r="AH1084" i="7"/>
  <c r="AF1084" i="7"/>
  <c r="AD1084" i="7"/>
  <c r="AB1084" i="7"/>
  <c r="Z1084" i="7"/>
  <c r="X1084" i="7"/>
  <c r="V1084" i="7"/>
  <c r="AJ1083" i="7"/>
  <c r="AH1083" i="7"/>
  <c r="AF1083" i="7"/>
  <c r="AD1083" i="7"/>
  <c r="AB1083" i="7"/>
  <c r="Z1083" i="7"/>
  <c r="X1083" i="7"/>
  <c r="V1083" i="7"/>
  <c r="AJ1082" i="7"/>
  <c r="AH1082" i="7"/>
  <c r="AF1082" i="7"/>
  <c r="AD1082" i="7"/>
  <c r="AB1082" i="7"/>
  <c r="Z1082" i="7"/>
  <c r="X1082" i="7"/>
  <c r="V1082" i="7"/>
  <c r="AJ1081" i="7"/>
  <c r="AH1081" i="7"/>
  <c r="AF1081" i="7"/>
  <c r="AD1081" i="7"/>
  <c r="AB1081" i="7"/>
  <c r="Z1081" i="7"/>
  <c r="X1081" i="7"/>
  <c r="V1081" i="7"/>
  <c r="H1081" i="7"/>
  <c r="H1080" i="7"/>
  <c r="Q1080" i="7"/>
  <c r="AJ1078" i="7"/>
  <c r="AH1078" i="7"/>
  <c r="AF1078" i="7"/>
  <c r="AD1078" i="7"/>
  <c r="AB1078" i="7"/>
  <c r="Z1078" i="7"/>
  <c r="X1078" i="7"/>
  <c r="V1078" i="7"/>
  <c r="AJ1077" i="7"/>
  <c r="AH1077" i="7"/>
  <c r="AF1077" i="7"/>
  <c r="AD1077" i="7"/>
  <c r="AB1077" i="7"/>
  <c r="Z1077" i="7"/>
  <c r="X1077" i="7"/>
  <c r="V1077" i="7"/>
  <c r="J1077" i="7"/>
  <c r="H1077" i="7"/>
  <c r="Q1077" i="7"/>
  <c r="AJ1075" i="7"/>
  <c r="AH1075" i="7"/>
  <c r="AF1075" i="7"/>
  <c r="AD1075" i="7"/>
  <c r="AB1075" i="7"/>
  <c r="Z1075" i="7"/>
  <c r="X1075" i="7"/>
  <c r="V1075" i="7"/>
  <c r="AJ1074" i="7"/>
  <c r="AH1074" i="7"/>
  <c r="AF1074" i="7"/>
  <c r="AD1074" i="7"/>
  <c r="AB1074" i="7"/>
  <c r="Z1074" i="7"/>
  <c r="X1074" i="7"/>
  <c r="V1074" i="7"/>
  <c r="H1074" i="7"/>
  <c r="L1074" i="7"/>
  <c r="AJ1071" i="7"/>
  <c r="AH1071" i="7"/>
  <c r="AF1071" i="7"/>
  <c r="AD1071" i="7"/>
  <c r="AB1071" i="7"/>
  <c r="Z1071" i="7"/>
  <c r="X1071" i="7"/>
  <c r="V1071" i="7"/>
  <c r="H1071" i="7"/>
  <c r="F1071" i="7"/>
  <c r="AJ1068" i="7"/>
  <c r="AH1068" i="7"/>
  <c r="AF1068" i="7"/>
  <c r="AD1068" i="7"/>
  <c r="AB1068" i="7"/>
  <c r="Z1068" i="7"/>
  <c r="X1068" i="7"/>
  <c r="V1068" i="7"/>
  <c r="H1067" i="7"/>
  <c r="Q1067" i="7"/>
  <c r="M1065" i="7"/>
  <c r="M1113" i="7"/>
  <c r="M1064" i="7"/>
  <c r="J1067" i="7"/>
  <c r="M1052" i="7"/>
  <c r="M47" i="1"/>
  <c r="K1052" i="7"/>
  <c r="L47" i="1"/>
  <c r="B1052" i="7"/>
  <c r="N1048" i="7"/>
  <c r="N1047" i="7"/>
  <c r="N1041" i="7"/>
  <c r="K1041" i="7"/>
  <c r="N1040" i="7"/>
  <c r="K1040" i="7"/>
  <c r="N1039" i="7"/>
  <c r="K1039" i="7"/>
  <c r="N1038" i="7"/>
  <c r="K1038" i="7"/>
  <c r="N1037" i="7"/>
  <c r="K1037" i="7"/>
  <c r="N1036" i="7"/>
  <c r="K1036" i="7"/>
  <c r="N1035" i="7"/>
  <c r="K1035" i="7"/>
  <c r="M1033" i="7"/>
  <c r="N1032" i="7"/>
  <c r="O1032" i="7"/>
  <c r="O1033" i="7"/>
  <c r="K1032" i="7"/>
  <c r="AK1027" i="7"/>
  <c r="AJ1027" i="7"/>
  <c r="AI1027" i="7"/>
  <c r="AH1027" i="7"/>
  <c r="AG1027" i="7"/>
  <c r="AF1027" i="7"/>
  <c r="AE1027" i="7"/>
  <c r="AD1027" i="7"/>
  <c r="AC1027" i="7"/>
  <c r="AB1027" i="7"/>
  <c r="AA1027" i="7"/>
  <c r="Z1027" i="7"/>
  <c r="Y1027" i="7"/>
  <c r="X1027" i="7"/>
  <c r="W1027" i="7"/>
  <c r="V1027" i="7"/>
  <c r="J1027" i="7"/>
  <c r="AK1026" i="7"/>
  <c r="AJ1026" i="7"/>
  <c r="AI1026" i="7"/>
  <c r="AH1026" i="7"/>
  <c r="AG1026" i="7"/>
  <c r="AF1026" i="7"/>
  <c r="AE1026" i="7"/>
  <c r="AD1026" i="7"/>
  <c r="AC1026" i="7"/>
  <c r="AB1026" i="7"/>
  <c r="AA1026" i="7"/>
  <c r="Z1026" i="7"/>
  <c r="Y1026" i="7"/>
  <c r="X1026" i="7"/>
  <c r="W1026" i="7"/>
  <c r="V1026" i="7"/>
  <c r="AK1025" i="7"/>
  <c r="AJ1025" i="7"/>
  <c r="AI1025" i="7"/>
  <c r="AH1025" i="7"/>
  <c r="AG1025" i="7"/>
  <c r="AF1025" i="7"/>
  <c r="AE1025" i="7"/>
  <c r="AD1025" i="7"/>
  <c r="AC1025" i="7"/>
  <c r="AB1025" i="7"/>
  <c r="AA1025" i="7"/>
  <c r="Z1025" i="7"/>
  <c r="Y1025" i="7"/>
  <c r="X1025" i="7"/>
  <c r="W1025" i="7"/>
  <c r="K1025" i="7"/>
  <c r="V1025" i="7"/>
  <c r="AK1024" i="7"/>
  <c r="AJ1024" i="7"/>
  <c r="AI1024" i="7"/>
  <c r="AH1024" i="7"/>
  <c r="AG1024" i="7"/>
  <c r="AF1024" i="7"/>
  <c r="AE1024" i="7"/>
  <c r="AD1024" i="7"/>
  <c r="AC1024" i="7"/>
  <c r="AB1024" i="7"/>
  <c r="AA1024" i="7"/>
  <c r="Z1024" i="7"/>
  <c r="Y1024" i="7"/>
  <c r="X1024" i="7"/>
  <c r="W1024" i="7"/>
  <c r="V1024" i="7"/>
  <c r="AH1014" i="7"/>
  <c r="AF1014" i="7"/>
  <c r="AD1014" i="7"/>
  <c r="AB1014" i="7"/>
  <c r="Z1014" i="7"/>
  <c r="X1014" i="7"/>
  <c r="V1014" i="7"/>
  <c r="J1014" i="7"/>
  <c r="H1014" i="7"/>
  <c r="F1014" i="7"/>
  <c r="AJ1013" i="7"/>
  <c r="AH1013" i="7"/>
  <c r="AF1013" i="7"/>
  <c r="AD1013" i="7"/>
  <c r="AB1013" i="7"/>
  <c r="Z1013" i="7"/>
  <c r="X1013" i="7"/>
  <c r="V1013" i="7"/>
  <c r="J1013" i="7"/>
  <c r="H1013" i="7"/>
  <c r="Q1013" i="7"/>
  <c r="AJ1012" i="7"/>
  <c r="AH1012" i="7"/>
  <c r="AF1012" i="7"/>
  <c r="AD1012" i="7"/>
  <c r="AB1012" i="7"/>
  <c r="Z1012" i="7"/>
  <c r="X1012" i="7"/>
  <c r="V1012" i="7"/>
  <c r="J1012" i="7"/>
  <c r="H1012" i="7"/>
  <c r="AJ1011" i="7"/>
  <c r="AH1011" i="7"/>
  <c r="AF1011" i="7"/>
  <c r="AD1011" i="7"/>
  <c r="AB1011" i="7"/>
  <c r="Z1011" i="7"/>
  <c r="X1011" i="7"/>
  <c r="V1011" i="7"/>
  <c r="J1011" i="7"/>
  <c r="H1011" i="7"/>
  <c r="AJ1010" i="7"/>
  <c r="AH1010" i="7"/>
  <c r="AF1010" i="7"/>
  <c r="AD1010" i="7"/>
  <c r="AB1010" i="7"/>
  <c r="Z1010" i="7"/>
  <c r="X1010" i="7"/>
  <c r="V1010" i="7"/>
  <c r="AJ1009" i="7"/>
  <c r="AH1009" i="7"/>
  <c r="AF1009" i="7"/>
  <c r="AD1009" i="7"/>
  <c r="AB1009" i="7"/>
  <c r="Z1009" i="7"/>
  <c r="X1009" i="7"/>
  <c r="V1009" i="7"/>
  <c r="AJ1008" i="7"/>
  <c r="AH1008" i="7"/>
  <c r="AF1008" i="7"/>
  <c r="AD1008" i="7"/>
  <c r="AB1008" i="7"/>
  <c r="Z1008" i="7"/>
  <c r="X1008" i="7"/>
  <c r="V1008" i="7"/>
  <c r="AJ1007" i="7"/>
  <c r="AH1007" i="7"/>
  <c r="AF1007" i="7"/>
  <c r="AD1007" i="7"/>
  <c r="AB1007" i="7"/>
  <c r="Z1007" i="7"/>
  <c r="X1007" i="7"/>
  <c r="V1007" i="7"/>
  <c r="AJ1006" i="7"/>
  <c r="AH1006" i="7"/>
  <c r="AF1006" i="7"/>
  <c r="AD1006" i="7"/>
  <c r="AB1006" i="7"/>
  <c r="Z1006" i="7"/>
  <c r="X1006" i="7"/>
  <c r="V1006" i="7"/>
  <c r="AJ1005" i="7"/>
  <c r="AH1005" i="7"/>
  <c r="AF1005" i="7"/>
  <c r="AD1005" i="7"/>
  <c r="AB1005" i="7"/>
  <c r="Z1005" i="7"/>
  <c r="X1005" i="7"/>
  <c r="V1005" i="7"/>
  <c r="AJ1004" i="7"/>
  <c r="AH1004" i="7"/>
  <c r="AF1004" i="7"/>
  <c r="AD1004" i="7"/>
  <c r="AB1004" i="7"/>
  <c r="Z1004" i="7"/>
  <c r="X1004" i="7"/>
  <c r="V1004" i="7"/>
  <c r="H1004" i="7"/>
  <c r="H1005" i="7"/>
  <c r="P1005" i="7"/>
  <c r="H1003" i="7"/>
  <c r="Q1003" i="7"/>
  <c r="AJ1001" i="7"/>
  <c r="AH1001" i="7"/>
  <c r="AF1001" i="7"/>
  <c r="AD1001" i="7"/>
  <c r="AB1001" i="7"/>
  <c r="Z1001" i="7"/>
  <c r="X1001" i="7"/>
  <c r="V1001" i="7"/>
  <c r="AJ1000" i="7"/>
  <c r="AH1000" i="7"/>
  <c r="AF1000" i="7"/>
  <c r="AD1000" i="7"/>
  <c r="AB1000" i="7"/>
  <c r="Z1000" i="7"/>
  <c r="X1000" i="7"/>
  <c r="V1000" i="7"/>
  <c r="H1000" i="7"/>
  <c r="P1000" i="7"/>
  <c r="AJ999" i="7"/>
  <c r="AH999" i="7"/>
  <c r="AF999" i="7"/>
  <c r="AD999" i="7"/>
  <c r="AB999" i="7"/>
  <c r="Z999" i="7"/>
  <c r="X999" i="7"/>
  <c r="V999" i="7"/>
  <c r="H999" i="7"/>
  <c r="L999" i="7"/>
  <c r="M999" i="7" s="1"/>
  <c r="O999" i="7" s="1"/>
  <c r="AJ998" i="7"/>
  <c r="AH998" i="7"/>
  <c r="AF998" i="7"/>
  <c r="AD998" i="7"/>
  <c r="AB998" i="7"/>
  <c r="Z998" i="7"/>
  <c r="X998" i="7"/>
  <c r="V998" i="7"/>
  <c r="H998" i="7"/>
  <c r="F998" i="7"/>
  <c r="AJ997" i="7"/>
  <c r="AH997" i="7"/>
  <c r="AF997" i="7"/>
  <c r="AD997" i="7"/>
  <c r="AB997" i="7"/>
  <c r="Z997" i="7"/>
  <c r="X997" i="7"/>
  <c r="V997" i="7"/>
  <c r="AJ996" i="7"/>
  <c r="AH996" i="7"/>
  <c r="AF996" i="7"/>
  <c r="AD996" i="7"/>
  <c r="AB996" i="7"/>
  <c r="Z996" i="7"/>
  <c r="X996" i="7"/>
  <c r="V996" i="7"/>
  <c r="H996" i="7"/>
  <c r="Q996" i="7"/>
  <c r="AJ993" i="7"/>
  <c r="AH993" i="7"/>
  <c r="AF993" i="7"/>
  <c r="AD993" i="7"/>
  <c r="AB993" i="7"/>
  <c r="Z993" i="7"/>
  <c r="X993" i="7"/>
  <c r="V993" i="7"/>
  <c r="H992" i="7"/>
  <c r="Q992" i="7"/>
  <c r="M990" i="7"/>
  <c r="M1038" i="7"/>
  <c r="M989" i="7"/>
  <c r="J1003" i="7"/>
  <c r="M977" i="7"/>
  <c r="M46" i="1"/>
  <c r="K977" i="7"/>
  <c r="L46" i="1"/>
  <c r="K100" i="2"/>
  <c r="K165" i="2"/>
  <c r="K238" i="2"/>
  <c r="K307" i="2"/>
  <c r="K376" i="2"/>
  <c r="K514" i="2"/>
  <c r="O1052" i="7"/>
  <c r="M1122" i="7"/>
  <c r="M1123" i="7"/>
  <c r="O1123" i="7"/>
  <c r="V47" i="1"/>
  <c r="F1074" i="7"/>
  <c r="O977" i="7"/>
  <c r="M1047" i="7"/>
  <c r="M1041" i="7"/>
  <c r="O1041" i="7"/>
  <c r="V46" i="1"/>
  <c r="AC46" i="1" s="1"/>
  <c r="M1114" i="7"/>
  <c r="O1114" i="7"/>
  <c r="F1000" i="7"/>
  <c r="K1104" i="7"/>
  <c r="M1104" i="7"/>
  <c r="O1104" i="7"/>
  <c r="J1079" i="7"/>
  <c r="H1073" i="7"/>
  <c r="J1073" i="7"/>
  <c r="F996" i="7"/>
  <c r="F1013" i="7"/>
  <c r="J1076" i="7"/>
  <c r="J1102" i="7"/>
  <c r="M1102" i="7"/>
  <c r="O1102" i="7"/>
  <c r="J1100" i="7"/>
  <c r="Q1000" i="7"/>
  <c r="P1092" i="7"/>
  <c r="H1001" i="7"/>
  <c r="Q1001" i="7"/>
  <c r="J1001" i="7"/>
  <c r="H1079" i="7"/>
  <c r="L1079" i="7"/>
  <c r="M1079" i="7" s="1"/>
  <c r="P1091" i="7"/>
  <c r="P999" i="7"/>
  <c r="Q1091" i="7"/>
  <c r="H993" i="7"/>
  <c r="P993" i="7"/>
  <c r="Q999" i="7"/>
  <c r="J1024" i="7"/>
  <c r="J1025" i="7"/>
  <c r="M1025" i="7"/>
  <c r="O1025" i="7"/>
  <c r="M1037" i="7"/>
  <c r="O1037" i="7"/>
  <c r="J1068" i="7"/>
  <c r="J993" i="7"/>
  <c r="J997" i="7"/>
  <c r="P1081" i="7"/>
  <c r="P1090" i="7"/>
  <c r="H1068" i="7"/>
  <c r="Q1068" i="7"/>
  <c r="F1080" i="7"/>
  <c r="F1091" i="7"/>
  <c r="L1067" i="7"/>
  <c r="M1067" i="7"/>
  <c r="O1067" i="7" s="1"/>
  <c r="L1076" i="7"/>
  <c r="M1076" i="7" s="1"/>
  <c r="O1076" i="7" s="1"/>
  <c r="Q1081" i="7"/>
  <c r="J992" i="7"/>
  <c r="F999" i="7"/>
  <c r="L1003" i="7"/>
  <c r="M1003" i="7" s="1"/>
  <c r="M1035" i="7"/>
  <c r="O1035" i="7"/>
  <c r="L1071" i="7"/>
  <c r="M1071" i="7" s="1"/>
  <c r="P1074" i="7"/>
  <c r="L1077" i="7"/>
  <c r="M1077" i="7" s="1"/>
  <c r="L1092" i="7"/>
  <c r="M1092" i="7" s="1"/>
  <c r="O1113" i="7"/>
  <c r="P1076" i="7"/>
  <c r="Q1090" i="7"/>
  <c r="L1093" i="7"/>
  <c r="M1093" i="7" s="1"/>
  <c r="O1093" i="7" s="1"/>
  <c r="L1000" i="7"/>
  <c r="M1000" i="7" s="1"/>
  <c r="L992" i="7"/>
  <c r="M992" i="7" s="1"/>
  <c r="Q1071" i="7"/>
  <c r="Q1074" i="7"/>
  <c r="F1081" i="7"/>
  <c r="F1090" i="7"/>
  <c r="M1110" i="7"/>
  <c r="O1110" i="7"/>
  <c r="O1039" i="7"/>
  <c r="M1112" i="7"/>
  <c r="O1112" i="7"/>
  <c r="P1012" i="7"/>
  <c r="P1004" i="7"/>
  <c r="F1004" i="7"/>
  <c r="L1012" i="7"/>
  <c r="M1012" i="7" s="1"/>
  <c r="O1038" i="7"/>
  <c r="L996" i="7"/>
  <c r="M996" i="7" s="1"/>
  <c r="L998" i="7"/>
  <c r="M998" i="7" s="1"/>
  <c r="O998" i="7" s="1"/>
  <c r="Q1004" i="7"/>
  <c r="L1080" i="7"/>
  <c r="M1080" i="7" s="1"/>
  <c r="L1005" i="7"/>
  <c r="M1005" i="7" s="1"/>
  <c r="J998" i="7"/>
  <c r="K1027" i="7"/>
  <c r="M1027" i="7"/>
  <c r="O1027" i="7"/>
  <c r="P996" i="7"/>
  <c r="L1014" i="7"/>
  <c r="M1014" i="7" s="1"/>
  <c r="O1014" i="7" s="1"/>
  <c r="Q1005" i="7"/>
  <c r="Q1011" i="7"/>
  <c r="F1011" i="7"/>
  <c r="P1011" i="7"/>
  <c r="Q1012" i="7"/>
  <c r="P1014" i="7"/>
  <c r="K1026" i="7"/>
  <c r="L1004" i="7"/>
  <c r="H1006" i="7"/>
  <c r="L1011" i="7"/>
  <c r="M1011" i="7" s="1"/>
  <c r="L1013" i="7"/>
  <c r="M1013" i="7" s="1"/>
  <c r="Q1014" i="7"/>
  <c r="P998" i="7"/>
  <c r="H997" i="7"/>
  <c r="Q998" i="7"/>
  <c r="F1005" i="7"/>
  <c r="F1012" i="7"/>
  <c r="P1013" i="7"/>
  <c r="J1080" i="7"/>
  <c r="J1074" i="7"/>
  <c r="M1074" i="7"/>
  <c r="O1074" i="7" s="1"/>
  <c r="K1103" i="7"/>
  <c r="P1071" i="7"/>
  <c r="P1080" i="7"/>
  <c r="P992" i="7"/>
  <c r="P1003" i="7"/>
  <c r="P1067" i="7"/>
  <c r="F1076" i="7"/>
  <c r="P1077" i="7"/>
  <c r="L1081" i="7"/>
  <c r="M1081" i="7" s="1"/>
  <c r="F1092" i="7"/>
  <c r="P1093" i="7"/>
  <c r="H1082" i="7"/>
  <c r="F992" i="7"/>
  <c r="F1003" i="7"/>
  <c r="F1067" i="7"/>
  <c r="F1077" i="7"/>
  <c r="F1093" i="7"/>
  <c r="K859" i="2"/>
  <c r="M886" i="2"/>
  <c r="N964" i="2"/>
  <c r="N963" i="2"/>
  <c r="N958" i="2"/>
  <c r="K958" i="2"/>
  <c r="N957" i="2"/>
  <c r="K957" i="2"/>
  <c r="N956" i="2"/>
  <c r="K956" i="2"/>
  <c r="N955" i="2"/>
  <c r="K955" i="2"/>
  <c r="N954" i="2"/>
  <c r="K954" i="2"/>
  <c r="N953" i="2"/>
  <c r="K953" i="2"/>
  <c r="N952" i="2"/>
  <c r="K952" i="2"/>
  <c r="N951" i="2"/>
  <c r="K951" i="2"/>
  <c r="M949" i="2"/>
  <c r="N948" i="2"/>
  <c r="O948" i="2"/>
  <c r="O949" i="2"/>
  <c r="K948" i="2"/>
  <c r="AI943" i="2"/>
  <c r="AH943" i="2"/>
  <c r="AG943" i="2"/>
  <c r="AF943" i="2"/>
  <c r="AE943" i="2"/>
  <c r="AD943" i="2"/>
  <c r="AC943" i="2"/>
  <c r="AB943" i="2"/>
  <c r="AA943" i="2"/>
  <c r="Z943" i="2"/>
  <c r="Y943" i="2"/>
  <c r="X943" i="2"/>
  <c r="W943" i="2"/>
  <c r="V943" i="2"/>
  <c r="J943" i="2"/>
  <c r="AI942" i="2"/>
  <c r="AH942" i="2"/>
  <c r="AG942" i="2"/>
  <c r="AF942" i="2"/>
  <c r="AE942" i="2"/>
  <c r="AD942" i="2"/>
  <c r="AC942" i="2"/>
  <c r="AB942" i="2"/>
  <c r="AA942" i="2"/>
  <c r="Z942" i="2"/>
  <c r="Y942" i="2"/>
  <c r="X942" i="2"/>
  <c r="W942" i="2"/>
  <c r="V942" i="2"/>
  <c r="AI941" i="2"/>
  <c r="AH941" i="2"/>
  <c r="AG941" i="2"/>
  <c r="AF941" i="2"/>
  <c r="AE941" i="2"/>
  <c r="AD941" i="2"/>
  <c r="AC941" i="2"/>
  <c r="AB941" i="2"/>
  <c r="AA941" i="2"/>
  <c r="Z941" i="2"/>
  <c r="Y941" i="2"/>
  <c r="X941" i="2"/>
  <c r="W941" i="2"/>
  <c r="V941" i="2"/>
  <c r="J941" i="2"/>
  <c r="K941" i="2"/>
  <c r="AI940" i="2"/>
  <c r="AH940" i="2"/>
  <c r="AG940" i="2"/>
  <c r="AF940" i="2"/>
  <c r="AE940" i="2"/>
  <c r="AD940" i="2"/>
  <c r="AC940" i="2"/>
  <c r="AB940" i="2"/>
  <c r="AA940" i="2"/>
  <c r="Z940" i="2"/>
  <c r="Y940" i="2"/>
  <c r="X940" i="2"/>
  <c r="W940" i="2"/>
  <c r="V940" i="2"/>
  <c r="V932" i="2"/>
  <c r="J932" i="2"/>
  <c r="H932" i="2"/>
  <c r="V931" i="2"/>
  <c r="J931" i="2"/>
  <c r="K932" i="2"/>
  <c r="H931" i="2"/>
  <c r="Q931" i="2"/>
  <c r="V930" i="2"/>
  <c r="H930" i="2"/>
  <c r="Q930" i="2"/>
  <c r="V929" i="2"/>
  <c r="J929" i="2"/>
  <c r="H929" i="2"/>
  <c r="F929" i="2"/>
  <c r="V928" i="2"/>
  <c r="K928" i="2"/>
  <c r="M955" i="2"/>
  <c r="H928" i="2"/>
  <c r="Q928" i="2"/>
  <c r="AH927" i="2"/>
  <c r="AF927" i="2"/>
  <c r="AD927" i="2"/>
  <c r="AB927" i="2"/>
  <c r="Z927" i="2"/>
  <c r="X927" i="2"/>
  <c r="V927" i="2"/>
  <c r="AH926" i="2"/>
  <c r="AF926" i="2"/>
  <c r="AD926" i="2"/>
  <c r="AB926" i="2"/>
  <c r="Z926" i="2"/>
  <c r="X926" i="2"/>
  <c r="V926" i="2"/>
  <c r="AH925" i="2"/>
  <c r="AF925" i="2"/>
  <c r="AD925" i="2"/>
  <c r="AB925" i="2"/>
  <c r="Z925" i="2"/>
  <c r="X925" i="2"/>
  <c r="V925" i="2"/>
  <c r="AH924" i="2"/>
  <c r="AF924" i="2"/>
  <c r="AD924" i="2"/>
  <c r="AB924" i="2"/>
  <c r="Z924" i="2"/>
  <c r="X924" i="2"/>
  <c r="V924" i="2"/>
  <c r="AH923" i="2"/>
  <c r="AF923" i="2"/>
  <c r="AD923" i="2"/>
  <c r="AB923" i="2"/>
  <c r="Z923" i="2"/>
  <c r="X923" i="2"/>
  <c r="V923" i="2"/>
  <c r="AH922" i="2"/>
  <c r="AF922" i="2"/>
  <c r="AD922" i="2"/>
  <c r="AB922" i="2"/>
  <c r="Z922" i="2"/>
  <c r="X922" i="2"/>
  <c r="V922" i="2"/>
  <c r="AH921" i="2"/>
  <c r="AF921" i="2"/>
  <c r="AD921" i="2"/>
  <c r="AB921" i="2"/>
  <c r="Z921" i="2"/>
  <c r="X921" i="2"/>
  <c r="V921" i="2"/>
  <c r="H921" i="2"/>
  <c r="H922" i="2"/>
  <c r="P922" i="2"/>
  <c r="H920" i="2"/>
  <c r="L920" i="2"/>
  <c r="AH919" i="2"/>
  <c r="AF919" i="2"/>
  <c r="AD919" i="2"/>
  <c r="AB919" i="2"/>
  <c r="Z919" i="2"/>
  <c r="X919" i="2"/>
  <c r="V919" i="2"/>
  <c r="H919" i="2"/>
  <c r="L919" i="2"/>
  <c r="AH918" i="2"/>
  <c r="AF918" i="2"/>
  <c r="AD918" i="2"/>
  <c r="AB918" i="2"/>
  <c r="Z918" i="2"/>
  <c r="X918" i="2"/>
  <c r="V918" i="2"/>
  <c r="H918" i="2"/>
  <c r="L918" i="2"/>
  <c r="AH917" i="2"/>
  <c r="AF917" i="2"/>
  <c r="AD917" i="2"/>
  <c r="AB917" i="2"/>
  <c r="Z917" i="2"/>
  <c r="X917" i="2"/>
  <c r="V917" i="2"/>
  <c r="AH916" i="2"/>
  <c r="AF916" i="2"/>
  <c r="AD916" i="2"/>
  <c r="AB916" i="2"/>
  <c r="Z916" i="2"/>
  <c r="X916" i="2"/>
  <c r="V916" i="2"/>
  <c r="H916" i="2"/>
  <c r="L916" i="2"/>
  <c r="AH915" i="2"/>
  <c r="AF915" i="2"/>
  <c r="AD915" i="2"/>
  <c r="AB915" i="2"/>
  <c r="Z915" i="2"/>
  <c r="X915" i="2"/>
  <c r="V915" i="2"/>
  <c r="H914" i="2"/>
  <c r="M912" i="2"/>
  <c r="M953" i="2"/>
  <c r="M911" i="2"/>
  <c r="J920" i="2"/>
  <c r="M899" i="2"/>
  <c r="M19" i="1"/>
  <c r="K899" i="2"/>
  <c r="L19" i="1"/>
  <c r="B899" i="2"/>
  <c r="N895" i="2"/>
  <c r="N894" i="2"/>
  <c r="N889" i="2"/>
  <c r="K889" i="2"/>
  <c r="N888" i="2"/>
  <c r="K888" i="2"/>
  <c r="N887" i="2"/>
  <c r="K887" i="2"/>
  <c r="N886" i="2"/>
  <c r="K886" i="2"/>
  <c r="N885" i="2"/>
  <c r="K885" i="2"/>
  <c r="N884" i="2"/>
  <c r="K884" i="2"/>
  <c r="N883" i="2"/>
  <c r="K883" i="2"/>
  <c r="N882" i="2"/>
  <c r="K882" i="2"/>
  <c r="M880" i="2"/>
  <c r="N879" i="2"/>
  <c r="O879" i="2"/>
  <c r="O880" i="2"/>
  <c r="K879" i="2"/>
  <c r="AI874" i="2"/>
  <c r="AH874" i="2"/>
  <c r="AG874" i="2"/>
  <c r="AF874" i="2"/>
  <c r="AE874" i="2"/>
  <c r="AD874" i="2"/>
  <c r="AC874" i="2"/>
  <c r="AB874" i="2"/>
  <c r="AA874" i="2"/>
  <c r="Z874" i="2"/>
  <c r="Y874" i="2"/>
  <c r="X874" i="2"/>
  <c r="W874" i="2"/>
  <c r="V874" i="2"/>
  <c r="J874" i="2"/>
  <c r="AI873" i="2"/>
  <c r="AH873" i="2"/>
  <c r="AG873" i="2"/>
  <c r="AF873" i="2"/>
  <c r="AE873" i="2"/>
  <c r="AD873" i="2"/>
  <c r="AC873" i="2"/>
  <c r="AB873" i="2"/>
  <c r="AA873" i="2"/>
  <c r="Z873" i="2"/>
  <c r="Y873" i="2"/>
  <c r="X873" i="2"/>
  <c r="W873" i="2"/>
  <c r="V873" i="2"/>
  <c r="AI872" i="2"/>
  <c r="AH872" i="2"/>
  <c r="AG872" i="2"/>
  <c r="AF872" i="2"/>
  <c r="AE872" i="2"/>
  <c r="AD872" i="2"/>
  <c r="AC872" i="2"/>
  <c r="AB872" i="2"/>
  <c r="AA872" i="2"/>
  <c r="Z872" i="2"/>
  <c r="Y872" i="2"/>
  <c r="X872" i="2"/>
  <c r="W872" i="2"/>
  <c r="K872" i="2"/>
  <c r="V872" i="2"/>
  <c r="AI871" i="2"/>
  <c r="AH871" i="2"/>
  <c r="AG871" i="2"/>
  <c r="AF871" i="2"/>
  <c r="AE871" i="2"/>
  <c r="AD871" i="2"/>
  <c r="AC871" i="2"/>
  <c r="AB871" i="2"/>
  <c r="AA871" i="2"/>
  <c r="Z871" i="2"/>
  <c r="Y871" i="2"/>
  <c r="X871" i="2"/>
  <c r="W871" i="2"/>
  <c r="V871" i="2"/>
  <c r="V863" i="2"/>
  <c r="J863" i="2"/>
  <c r="H863" i="2"/>
  <c r="V862" i="2"/>
  <c r="J862" i="2"/>
  <c r="H862" i="2"/>
  <c r="F862" i="2"/>
  <c r="V861" i="2"/>
  <c r="H861" i="2"/>
  <c r="P861" i="2"/>
  <c r="V860" i="2"/>
  <c r="J860" i="2"/>
  <c r="H860" i="2"/>
  <c r="L860" i="2"/>
  <c r="M860" i="2" s="1"/>
  <c r="O860" i="2" s="1"/>
  <c r="V859" i="2"/>
  <c r="H859" i="2"/>
  <c r="F859" i="2"/>
  <c r="AH858" i="2"/>
  <c r="AF858" i="2"/>
  <c r="AD858" i="2"/>
  <c r="AB858" i="2"/>
  <c r="Z858" i="2"/>
  <c r="X858" i="2"/>
  <c r="V858" i="2"/>
  <c r="AH857" i="2"/>
  <c r="AF857" i="2"/>
  <c r="AD857" i="2"/>
  <c r="AB857" i="2"/>
  <c r="Z857" i="2"/>
  <c r="X857" i="2"/>
  <c r="V857" i="2"/>
  <c r="AH856" i="2"/>
  <c r="AF856" i="2"/>
  <c r="AD856" i="2"/>
  <c r="AB856" i="2"/>
  <c r="Z856" i="2"/>
  <c r="X856" i="2"/>
  <c r="V856" i="2"/>
  <c r="AH855" i="2"/>
  <c r="AF855" i="2"/>
  <c r="AD855" i="2"/>
  <c r="AB855" i="2"/>
  <c r="Z855" i="2"/>
  <c r="X855" i="2"/>
  <c r="V855" i="2"/>
  <c r="AH854" i="2"/>
  <c r="AF854" i="2"/>
  <c r="AD854" i="2"/>
  <c r="AB854" i="2"/>
  <c r="Z854" i="2"/>
  <c r="X854" i="2"/>
  <c r="V854" i="2"/>
  <c r="AH853" i="2"/>
  <c r="AF853" i="2"/>
  <c r="AD853" i="2"/>
  <c r="AB853" i="2"/>
  <c r="Z853" i="2"/>
  <c r="X853" i="2"/>
  <c r="V853" i="2"/>
  <c r="AH852" i="2"/>
  <c r="AF852" i="2"/>
  <c r="AD852" i="2"/>
  <c r="AB852" i="2"/>
  <c r="Z852" i="2"/>
  <c r="X852" i="2"/>
  <c r="V852" i="2"/>
  <c r="H852" i="2"/>
  <c r="F852" i="2"/>
  <c r="H851" i="2"/>
  <c r="F851" i="2"/>
  <c r="AH850" i="2"/>
  <c r="AF850" i="2"/>
  <c r="AD850" i="2"/>
  <c r="AB850" i="2"/>
  <c r="Z850" i="2"/>
  <c r="X850" i="2"/>
  <c r="V850" i="2"/>
  <c r="J850" i="2"/>
  <c r="H850" i="2"/>
  <c r="Q850" i="2"/>
  <c r="AH849" i="2"/>
  <c r="AF849" i="2"/>
  <c r="AD849" i="2"/>
  <c r="AB849" i="2"/>
  <c r="Z849" i="2"/>
  <c r="X849" i="2"/>
  <c r="V849" i="2"/>
  <c r="H849" i="2"/>
  <c r="F849" i="2"/>
  <c r="AH848" i="2"/>
  <c r="AF848" i="2"/>
  <c r="AD848" i="2"/>
  <c r="AB848" i="2"/>
  <c r="Z848" i="2"/>
  <c r="X848" i="2"/>
  <c r="V848" i="2"/>
  <c r="AH847" i="2"/>
  <c r="AF847" i="2"/>
  <c r="AD847" i="2"/>
  <c r="AB847" i="2"/>
  <c r="Z847" i="2"/>
  <c r="X847" i="2"/>
  <c r="V847" i="2"/>
  <c r="H847" i="2"/>
  <c r="F847" i="2"/>
  <c r="AH846" i="2"/>
  <c r="AF846" i="2"/>
  <c r="AD846" i="2"/>
  <c r="AB846" i="2"/>
  <c r="Z846" i="2"/>
  <c r="X846" i="2"/>
  <c r="V846" i="2"/>
  <c r="H845" i="2"/>
  <c r="M843" i="2"/>
  <c r="M885" i="2"/>
  <c r="M842" i="2"/>
  <c r="J845" i="2"/>
  <c r="M830" i="2"/>
  <c r="M18" i="1"/>
  <c r="K830" i="2"/>
  <c r="L18" i="1"/>
  <c r="B224" i="11"/>
  <c r="B150" i="11"/>
  <c r="B76" i="11"/>
  <c r="B902" i="7"/>
  <c r="B227" i="7"/>
  <c r="B752" i="7"/>
  <c r="B677" i="7"/>
  <c r="B602" i="7"/>
  <c r="B527" i="7"/>
  <c r="B452" i="7"/>
  <c r="B377" i="7"/>
  <c r="B302" i="7"/>
  <c r="B761" i="2"/>
  <c r="W495" i="11"/>
  <c r="AE494" i="11"/>
  <c r="AC494" i="11"/>
  <c r="AA494" i="11"/>
  <c r="Y494" i="11"/>
  <c r="W494" i="11"/>
  <c r="AD494" i="11"/>
  <c r="AB494" i="11"/>
  <c r="Z494" i="11"/>
  <c r="X494" i="11"/>
  <c r="V494" i="11"/>
  <c r="J493" i="11"/>
  <c r="AD493" i="11"/>
  <c r="AB493" i="11"/>
  <c r="Z493" i="11"/>
  <c r="X493" i="11"/>
  <c r="V493" i="11"/>
  <c r="AD478" i="11"/>
  <c r="AD477" i="11"/>
  <c r="AD476" i="11"/>
  <c r="AB478" i="11"/>
  <c r="AB477" i="11"/>
  <c r="AB476" i="11"/>
  <c r="Z478" i="11"/>
  <c r="Z477" i="11"/>
  <c r="Z476" i="11"/>
  <c r="X478" i="11"/>
  <c r="X477" i="11"/>
  <c r="X476" i="11"/>
  <c r="V478" i="11"/>
  <c r="V477" i="11"/>
  <c r="V476" i="11"/>
  <c r="AD475" i="11"/>
  <c r="AD474" i="11"/>
  <c r="AD473" i="11"/>
  <c r="AB475" i="11"/>
  <c r="AB474" i="11"/>
  <c r="AB473" i="11"/>
  <c r="Z475" i="11"/>
  <c r="Z474" i="11"/>
  <c r="Z473" i="11"/>
  <c r="X475" i="11"/>
  <c r="X474" i="11"/>
  <c r="X473" i="11"/>
  <c r="V475" i="11"/>
  <c r="V474" i="11"/>
  <c r="V473" i="11"/>
  <c r="AD472" i="11"/>
  <c r="AB472" i="11"/>
  <c r="Z472" i="11"/>
  <c r="X472" i="11"/>
  <c r="V472" i="11"/>
  <c r="H467" i="11"/>
  <c r="Q467" i="11" s="1"/>
  <c r="J462" i="11"/>
  <c r="AD419" i="11"/>
  <c r="AB419" i="11"/>
  <c r="Z419" i="11"/>
  <c r="X419" i="11"/>
  <c r="V419" i="11"/>
  <c r="AD402" i="11"/>
  <c r="AD401" i="11"/>
  <c r="AD400" i="11"/>
  <c r="AD399" i="11"/>
  <c r="AB402" i="11"/>
  <c r="AB401" i="11"/>
  <c r="AB400" i="11"/>
  <c r="AB399" i="11"/>
  <c r="Z402" i="11"/>
  <c r="Z401" i="11"/>
  <c r="Z400" i="11"/>
  <c r="Z399" i="11"/>
  <c r="X402" i="11"/>
  <c r="X401" i="11"/>
  <c r="X400" i="11"/>
  <c r="X399" i="11"/>
  <c r="V402" i="11"/>
  <c r="V401" i="11"/>
  <c r="V400" i="11"/>
  <c r="V399" i="11"/>
  <c r="J388" i="11"/>
  <c r="AD331" i="11"/>
  <c r="AD330" i="11"/>
  <c r="AD329" i="11"/>
  <c r="AD328" i="11"/>
  <c r="AB331" i="11"/>
  <c r="AB330" i="11"/>
  <c r="AB329" i="11"/>
  <c r="AB328" i="11"/>
  <c r="Z331" i="11"/>
  <c r="Z330" i="11"/>
  <c r="Z329" i="11"/>
  <c r="Z328" i="11"/>
  <c r="X331" i="11"/>
  <c r="X330" i="11"/>
  <c r="X329" i="11"/>
  <c r="X328" i="11"/>
  <c r="V331" i="11"/>
  <c r="V330" i="11"/>
  <c r="V329" i="11"/>
  <c r="V328" i="11"/>
  <c r="AD327" i="11"/>
  <c r="AD326" i="11"/>
  <c r="AD325" i="11"/>
  <c r="AD324" i="11"/>
  <c r="AB327" i="11"/>
  <c r="AB326" i="11"/>
  <c r="AB325" i="11"/>
  <c r="AB324" i="11"/>
  <c r="Z327" i="11"/>
  <c r="Z326" i="11"/>
  <c r="Z325" i="11"/>
  <c r="Z324" i="11"/>
  <c r="X327" i="11"/>
  <c r="X326" i="11"/>
  <c r="X325" i="11"/>
  <c r="X324" i="11"/>
  <c r="V327" i="11"/>
  <c r="V326" i="11"/>
  <c r="V325" i="11"/>
  <c r="V324" i="11"/>
  <c r="AD251" i="11"/>
  <c r="AD250" i="11"/>
  <c r="AD249" i="11"/>
  <c r="AD248" i="11"/>
  <c r="AB251" i="11"/>
  <c r="AB250" i="11"/>
  <c r="AB249" i="11"/>
  <c r="AB248" i="11"/>
  <c r="Z251" i="11"/>
  <c r="Z250" i="11"/>
  <c r="Z249" i="11"/>
  <c r="Z248" i="11"/>
  <c r="X251" i="11"/>
  <c r="X250" i="11"/>
  <c r="X249" i="11"/>
  <c r="X248" i="11"/>
  <c r="V251" i="11"/>
  <c r="V250" i="11"/>
  <c r="V249" i="11"/>
  <c r="V248" i="11"/>
  <c r="H246" i="11"/>
  <c r="F246" i="11" s="1"/>
  <c r="V246" i="11"/>
  <c r="X246" i="11"/>
  <c r="Z246" i="11"/>
  <c r="AB246" i="11"/>
  <c r="AD246" i="11"/>
  <c r="V247" i="11"/>
  <c r="X247" i="11"/>
  <c r="Z247" i="11"/>
  <c r="AB247" i="11"/>
  <c r="AD247" i="11"/>
  <c r="H257" i="11"/>
  <c r="Q257" i="11" s="1"/>
  <c r="F257" i="11"/>
  <c r="V257" i="11"/>
  <c r="J257" i="11"/>
  <c r="X257" i="11"/>
  <c r="Z257" i="11"/>
  <c r="AB257" i="11"/>
  <c r="AD257" i="11"/>
  <c r="AD244" i="11"/>
  <c r="AB244" i="11"/>
  <c r="Z244" i="11"/>
  <c r="AF197" i="11"/>
  <c r="AF124" i="11"/>
  <c r="AF123" i="11"/>
  <c r="AD179" i="11"/>
  <c r="AB179" i="11"/>
  <c r="Z179" i="11"/>
  <c r="X179" i="11"/>
  <c r="V179" i="11"/>
  <c r="AF178" i="11"/>
  <c r="J178" i="11"/>
  <c r="AD178" i="11"/>
  <c r="AB178" i="11"/>
  <c r="Z178" i="11"/>
  <c r="X178" i="11"/>
  <c r="V178" i="11"/>
  <c r="AF177" i="11"/>
  <c r="J177" i="11"/>
  <c r="AD177" i="11"/>
  <c r="AB177" i="11"/>
  <c r="Z177" i="11"/>
  <c r="X177" i="11"/>
  <c r="V177" i="11"/>
  <c r="AF176" i="11"/>
  <c r="AD176" i="11"/>
  <c r="AB176" i="11"/>
  <c r="Z176" i="11"/>
  <c r="X176" i="11"/>
  <c r="V176" i="11"/>
  <c r="AF175" i="11"/>
  <c r="AD175" i="11"/>
  <c r="AB175" i="11"/>
  <c r="Z175" i="11"/>
  <c r="X175" i="11"/>
  <c r="V175" i="11"/>
  <c r="AF171" i="11"/>
  <c r="AD171" i="11"/>
  <c r="AB171" i="11"/>
  <c r="Z171" i="11"/>
  <c r="X171" i="11"/>
  <c r="V171" i="11"/>
  <c r="AF170" i="11"/>
  <c r="AD170" i="11"/>
  <c r="AB170" i="11"/>
  <c r="Z170" i="11"/>
  <c r="X170" i="11"/>
  <c r="V170" i="11"/>
  <c r="AF169" i="11"/>
  <c r="AD169" i="11"/>
  <c r="AB169" i="11"/>
  <c r="Z169" i="11"/>
  <c r="X169" i="11"/>
  <c r="V169" i="11"/>
  <c r="K179" i="11"/>
  <c r="J179" i="11"/>
  <c r="M179" i="11" s="1"/>
  <c r="O179" i="11" s="1"/>
  <c r="AF102" i="11"/>
  <c r="AD102" i="11"/>
  <c r="AB102" i="11"/>
  <c r="Z102" i="11"/>
  <c r="X102" i="11"/>
  <c r="V102" i="11"/>
  <c r="AF101" i="11"/>
  <c r="AD101" i="11"/>
  <c r="AB101" i="11"/>
  <c r="Z101" i="11"/>
  <c r="X101" i="11"/>
  <c r="V101" i="11"/>
  <c r="AF28" i="11"/>
  <c r="AF27" i="11"/>
  <c r="AD28" i="11"/>
  <c r="AD27" i="11"/>
  <c r="AB28" i="11"/>
  <c r="AB27" i="11"/>
  <c r="Z28" i="11"/>
  <c r="Z27" i="11"/>
  <c r="X28" i="11"/>
  <c r="X27" i="11"/>
  <c r="V28" i="11"/>
  <c r="V27" i="11"/>
  <c r="AJ800" i="7"/>
  <c r="AI800" i="7"/>
  <c r="AH800" i="7"/>
  <c r="AG800" i="7"/>
  <c r="AF800" i="7"/>
  <c r="AE800" i="7"/>
  <c r="AD800" i="7"/>
  <c r="AC800" i="7"/>
  <c r="AB800" i="7"/>
  <c r="AA800" i="7"/>
  <c r="Z800" i="7"/>
  <c r="Y800" i="7"/>
  <c r="X800" i="7"/>
  <c r="W800" i="7"/>
  <c r="K800" i="7"/>
  <c r="V800" i="7"/>
  <c r="AJ799" i="7"/>
  <c r="AI799" i="7"/>
  <c r="AH799" i="7"/>
  <c r="AG799" i="7"/>
  <c r="AF799" i="7"/>
  <c r="AE799" i="7"/>
  <c r="AD799" i="7"/>
  <c r="AC799" i="7"/>
  <c r="AB799" i="7"/>
  <c r="AA799" i="7"/>
  <c r="Z799" i="7"/>
  <c r="Y799" i="7"/>
  <c r="X799" i="7"/>
  <c r="W799" i="7"/>
  <c r="V799" i="7"/>
  <c r="AJ782" i="7"/>
  <c r="AH782" i="7"/>
  <c r="AF782" i="7"/>
  <c r="AD782" i="7"/>
  <c r="AB782" i="7"/>
  <c r="Z782" i="7"/>
  <c r="X782" i="7"/>
  <c r="V782" i="7"/>
  <c r="AJ781" i="7"/>
  <c r="AH781" i="7"/>
  <c r="AF781" i="7"/>
  <c r="AD781" i="7"/>
  <c r="AB781" i="7"/>
  <c r="Z781" i="7"/>
  <c r="X781" i="7"/>
  <c r="V781" i="7"/>
  <c r="AJ780" i="7"/>
  <c r="AH780" i="7"/>
  <c r="AF780" i="7"/>
  <c r="AD780" i="7"/>
  <c r="AB780" i="7"/>
  <c r="Z780" i="7"/>
  <c r="X780" i="7"/>
  <c r="V780" i="7"/>
  <c r="AJ779" i="7"/>
  <c r="AH779" i="7"/>
  <c r="AF779" i="7"/>
  <c r="AD779" i="7"/>
  <c r="AB779" i="7"/>
  <c r="Z779" i="7"/>
  <c r="X779" i="7"/>
  <c r="V779" i="7"/>
  <c r="AJ776" i="7"/>
  <c r="AH776" i="7"/>
  <c r="AF776" i="7"/>
  <c r="AD776" i="7"/>
  <c r="AB776" i="7"/>
  <c r="Z776" i="7"/>
  <c r="X776" i="7"/>
  <c r="V776" i="7"/>
  <c r="AJ775" i="7"/>
  <c r="AH775" i="7"/>
  <c r="AF775" i="7"/>
  <c r="AD775" i="7"/>
  <c r="AB775" i="7"/>
  <c r="Z775" i="7"/>
  <c r="X775" i="7"/>
  <c r="V775" i="7"/>
  <c r="AJ773" i="7"/>
  <c r="AH773" i="7"/>
  <c r="AF773" i="7"/>
  <c r="AD773" i="7"/>
  <c r="AB773" i="7"/>
  <c r="Z773" i="7"/>
  <c r="X773" i="7"/>
  <c r="V773" i="7"/>
  <c r="AJ772" i="7"/>
  <c r="AH772" i="7"/>
  <c r="AF772" i="7"/>
  <c r="AD772" i="7"/>
  <c r="AB772" i="7"/>
  <c r="Z772" i="7"/>
  <c r="X772" i="7"/>
  <c r="V772" i="7"/>
  <c r="AJ771" i="7"/>
  <c r="AH771" i="7"/>
  <c r="AF771" i="7"/>
  <c r="AD771" i="7"/>
  <c r="AB771" i="7"/>
  <c r="Z771" i="7"/>
  <c r="X771" i="7"/>
  <c r="V771" i="7"/>
  <c r="AJ650" i="7"/>
  <c r="AH650" i="7"/>
  <c r="AF650" i="7"/>
  <c r="AD650" i="7"/>
  <c r="AB650" i="7"/>
  <c r="Z650" i="7"/>
  <c r="X650" i="7"/>
  <c r="V650" i="7"/>
  <c r="AI650" i="7"/>
  <c r="AG650" i="7"/>
  <c r="AE650" i="7"/>
  <c r="AC650" i="7"/>
  <c r="AA650" i="7"/>
  <c r="Y650" i="7"/>
  <c r="W650" i="7"/>
  <c r="AJ649" i="7"/>
  <c r="AI649" i="7"/>
  <c r="AH649" i="7"/>
  <c r="AG649" i="7"/>
  <c r="AF649" i="7"/>
  <c r="AE649" i="7"/>
  <c r="AD649" i="7"/>
  <c r="AC649" i="7"/>
  <c r="AB649" i="7"/>
  <c r="AA649" i="7"/>
  <c r="Z649" i="7"/>
  <c r="Y649" i="7"/>
  <c r="X649" i="7"/>
  <c r="W649" i="7"/>
  <c r="V649" i="7"/>
  <c r="AJ631" i="7"/>
  <c r="AH631" i="7"/>
  <c r="AF631" i="7"/>
  <c r="AD631" i="7"/>
  <c r="AB631" i="7"/>
  <c r="Z631" i="7"/>
  <c r="X631" i="7"/>
  <c r="V631" i="7"/>
  <c r="AJ630" i="7"/>
  <c r="AH630" i="7"/>
  <c r="AF630" i="7"/>
  <c r="AD630" i="7"/>
  <c r="AB630" i="7"/>
  <c r="Z630" i="7"/>
  <c r="X630" i="7"/>
  <c r="V630" i="7"/>
  <c r="AJ629" i="7"/>
  <c r="AH629" i="7"/>
  <c r="AF629" i="7"/>
  <c r="AD629" i="7"/>
  <c r="AB629" i="7"/>
  <c r="Z629" i="7"/>
  <c r="X629" i="7"/>
  <c r="V629" i="7"/>
  <c r="AJ628" i="7"/>
  <c r="AH628" i="7"/>
  <c r="AF628" i="7"/>
  <c r="AD628" i="7"/>
  <c r="AB628" i="7"/>
  <c r="Z628" i="7"/>
  <c r="X628" i="7"/>
  <c r="V628" i="7"/>
  <c r="AJ626" i="7"/>
  <c r="AH626" i="7"/>
  <c r="AF626" i="7"/>
  <c r="AD626" i="7"/>
  <c r="AB626" i="7"/>
  <c r="Z626" i="7"/>
  <c r="X626" i="7"/>
  <c r="V626" i="7"/>
  <c r="AJ625" i="7"/>
  <c r="AH625" i="7"/>
  <c r="AF625" i="7"/>
  <c r="AD625" i="7"/>
  <c r="AB625" i="7"/>
  <c r="Z625" i="7"/>
  <c r="X625" i="7"/>
  <c r="V625" i="7"/>
  <c r="AJ622" i="7"/>
  <c r="AH622" i="7"/>
  <c r="AF622" i="7"/>
  <c r="AD622" i="7"/>
  <c r="AB622" i="7"/>
  <c r="Z622" i="7"/>
  <c r="X622" i="7"/>
  <c r="V622" i="7"/>
  <c r="AJ621" i="7"/>
  <c r="AH621" i="7"/>
  <c r="AF621" i="7"/>
  <c r="AD621" i="7"/>
  <c r="AB621" i="7"/>
  <c r="Z621" i="7"/>
  <c r="X621" i="7"/>
  <c r="V621" i="7"/>
  <c r="AJ623" i="7"/>
  <c r="AH623" i="7"/>
  <c r="AF623" i="7"/>
  <c r="AD623" i="7"/>
  <c r="AB623" i="7"/>
  <c r="Z623" i="7"/>
  <c r="X623" i="7"/>
  <c r="V623" i="7"/>
  <c r="AJ624" i="7"/>
  <c r="AH624" i="7"/>
  <c r="AF624" i="7"/>
  <c r="AD624" i="7"/>
  <c r="AB624" i="7"/>
  <c r="Z624" i="7"/>
  <c r="X624" i="7"/>
  <c r="V624" i="7"/>
  <c r="AJ350" i="7"/>
  <c r="AH350" i="7"/>
  <c r="AF350" i="7"/>
  <c r="AD350" i="7"/>
  <c r="AB350" i="7"/>
  <c r="Z350" i="7"/>
  <c r="X350" i="7"/>
  <c r="V350" i="7"/>
  <c r="AK350" i="7"/>
  <c r="AI350" i="7"/>
  <c r="AG350" i="7"/>
  <c r="AE350" i="7"/>
  <c r="AC350" i="7"/>
  <c r="AA350" i="7"/>
  <c r="Y350" i="7"/>
  <c r="W350" i="7"/>
  <c r="AK349" i="7"/>
  <c r="AJ349" i="7"/>
  <c r="AI349" i="7"/>
  <c r="AH349" i="7"/>
  <c r="AG349" i="7"/>
  <c r="AF349" i="7"/>
  <c r="AE349" i="7"/>
  <c r="AD349" i="7"/>
  <c r="AC349" i="7"/>
  <c r="AB349" i="7"/>
  <c r="AA349" i="7"/>
  <c r="Z349" i="7"/>
  <c r="Y349" i="7"/>
  <c r="X349" i="7"/>
  <c r="W349" i="7"/>
  <c r="V349" i="7"/>
  <c r="AJ330" i="7"/>
  <c r="AH330" i="7"/>
  <c r="AF330" i="7"/>
  <c r="AD330" i="7"/>
  <c r="AB330" i="7"/>
  <c r="Z330" i="7"/>
  <c r="X330" i="7"/>
  <c r="V330" i="7"/>
  <c r="AJ329" i="7"/>
  <c r="AH329" i="7"/>
  <c r="AF329" i="7"/>
  <c r="AD329" i="7"/>
  <c r="AB329" i="7"/>
  <c r="Z329" i="7"/>
  <c r="X329" i="7"/>
  <c r="V329" i="7"/>
  <c r="AJ328" i="7"/>
  <c r="AH328" i="7"/>
  <c r="AF328" i="7"/>
  <c r="AD328" i="7"/>
  <c r="AB328" i="7"/>
  <c r="Z328" i="7"/>
  <c r="X328" i="7"/>
  <c r="V328" i="7"/>
  <c r="AJ327" i="7"/>
  <c r="AH327" i="7"/>
  <c r="AF327" i="7"/>
  <c r="AD327" i="7"/>
  <c r="AB327" i="7"/>
  <c r="Z327" i="7"/>
  <c r="X327" i="7"/>
  <c r="V327" i="7"/>
  <c r="AJ325" i="7"/>
  <c r="AH325" i="7"/>
  <c r="AF325" i="7"/>
  <c r="AD325" i="7"/>
  <c r="AB325" i="7"/>
  <c r="Z325" i="7"/>
  <c r="X325" i="7"/>
  <c r="V325" i="7"/>
  <c r="AJ324" i="7"/>
  <c r="AH324" i="7"/>
  <c r="AF324" i="7"/>
  <c r="AD324" i="7"/>
  <c r="AB324" i="7"/>
  <c r="Z324" i="7"/>
  <c r="X324" i="7"/>
  <c r="V324" i="7"/>
  <c r="AJ323" i="7"/>
  <c r="AH323" i="7"/>
  <c r="AF323" i="7"/>
  <c r="AD323" i="7"/>
  <c r="AB323" i="7"/>
  <c r="Z323" i="7"/>
  <c r="X323" i="7"/>
  <c r="V323" i="7"/>
  <c r="AJ322" i="7"/>
  <c r="AH322" i="7"/>
  <c r="AF322" i="7"/>
  <c r="AD322" i="7"/>
  <c r="AB322" i="7"/>
  <c r="Z322" i="7"/>
  <c r="X322" i="7"/>
  <c r="V322" i="7"/>
  <c r="AJ321" i="7"/>
  <c r="AH321" i="7"/>
  <c r="AF321" i="7"/>
  <c r="AD321" i="7"/>
  <c r="AB321" i="7"/>
  <c r="Z321" i="7"/>
  <c r="X321" i="7"/>
  <c r="V321" i="7"/>
  <c r="AK500" i="7"/>
  <c r="AI500" i="7"/>
  <c r="AG500" i="7"/>
  <c r="AE500" i="7"/>
  <c r="AC500" i="7"/>
  <c r="AA500" i="7"/>
  <c r="Y500" i="7"/>
  <c r="W500" i="7"/>
  <c r="AJ500" i="7"/>
  <c r="AH500" i="7"/>
  <c r="AF500" i="7"/>
  <c r="AD500" i="7"/>
  <c r="AB500" i="7"/>
  <c r="Z500" i="7"/>
  <c r="X500" i="7"/>
  <c r="V500" i="7"/>
  <c r="AK499" i="7"/>
  <c r="AI499" i="7"/>
  <c r="AG499" i="7"/>
  <c r="AE499" i="7"/>
  <c r="AC499" i="7"/>
  <c r="AA499" i="7"/>
  <c r="Y499" i="7"/>
  <c r="W499" i="7"/>
  <c r="AJ499" i="7"/>
  <c r="AH499" i="7"/>
  <c r="AF499" i="7"/>
  <c r="AD499" i="7"/>
  <c r="AB499" i="7"/>
  <c r="Z499" i="7"/>
  <c r="X499" i="7"/>
  <c r="V499" i="7"/>
  <c r="J499" i="7"/>
  <c r="AJ480" i="7"/>
  <c r="AH480" i="7"/>
  <c r="AF480" i="7"/>
  <c r="AD480" i="7"/>
  <c r="AB480" i="7"/>
  <c r="Z480" i="7"/>
  <c r="X480" i="7"/>
  <c r="V480" i="7"/>
  <c r="AJ478" i="7"/>
  <c r="AH478" i="7"/>
  <c r="AF478" i="7"/>
  <c r="AD478" i="7"/>
  <c r="AB478" i="7"/>
  <c r="Z478" i="7"/>
  <c r="X478" i="7"/>
  <c r="V478" i="7"/>
  <c r="AJ477" i="7"/>
  <c r="AH477" i="7"/>
  <c r="AF477" i="7"/>
  <c r="AD477" i="7"/>
  <c r="AB477" i="7"/>
  <c r="Z477" i="7"/>
  <c r="X477" i="7"/>
  <c r="V477" i="7"/>
  <c r="AJ479" i="7"/>
  <c r="AH479" i="7"/>
  <c r="AF479" i="7"/>
  <c r="AD479" i="7"/>
  <c r="AB479" i="7"/>
  <c r="Z479" i="7"/>
  <c r="X479" i="7"/>
  <c r="V479" i="7"/>
  <c r="AJ474" i="7"/>
  <c r="AH474" i="7"/>
  <c r="AF474" i="7"/>
  <c r="AD474" i="7"/>
  <c r="AB474" i="7"/>
  <c r="Z474" i="7"/>
  <c r="X474" i="7"/>
  <c r="V474" i="7"/>
  <c r="AJ472" i="7"/>
  <c r="AH472" i="7"/>
  <c r="AF472" i="7"/>
  <c r="AD472" i="7"/>
  <c r="AB472" i="7"/>
  <c r="Z472" i="7"/>
  <c r="X472" i="7"/>
  <c r="V472" i="7"/>
  <c r="AJ471" i="7"/>
  <c r="AH471" i="7"/>
  <c r="AF471" i="7"/>
  <c r="AD471" i="7"/>
  <c r="AB471" i="7"/>
  <c r="Z471" i="7"/>
  <c r="X471" i="7"/>
  <c r="V471" i="7"/>
  <c r="AJ475" i="7"/>
  <c r="AH475" i="7"/>
  <c r="AF475" i="7"/>
  <c r="AD475" i="7"/>
  <c r="AB475" i="7"/>
  <c r="Z475" i="7"/>
  <c r="X475" i="7"/>
  <c r="V475" i="7"/>
  <c r="AJ953" i="7"/>
  <c r="AH953" i="7"/>
  <c r="AF953" i="7"/>
  <c r="AD953" i="7"/>
  <c r="AB953" i="7"/>
  <c r="Z953" i="7"/>
  <c r="X953" i="7"/>
  <c r="V953" i="7"/>
  <c r="AK954" i="7"/>
  <c r="AJ954" i="7"/>
  <c r="AI954" i="7"/>
  <c r="AH954" i="7"/>
  <c r="AG954" i="7"/>
  <c r="AF954" i="7"/>
  <c r="AE954" i="7"/>
  <c r="AD954" i="7"/>
  <c r="AC954" i="7"/>
  <c r="AB954" i="7"/>
  <c r="AA954" i="7"/>
  <c r="Z954" i="7"/>
  <c r="Y954" i="7"/>
  <c r="X954" i="7"/>
  <c r="W954" i="7"/>
  <c r="V954" i="7"/>
  <c r="J954" i="7"/>
  <c r="AK953" i="7"/>
  <c r="AI953" i="7"/>
  <c r="AG953" i="7"/>
  <c r="AE953" i="7"/>
  <c r="AC953" i="7"/>
  <c r="AA953" i="7"/>
  <c r="Y953" i="7"/>
  <c r="W953" i="7"/>
  <c r="AJ951" i="7"/>
  <c r="AI951" i="7"/>
  <c r="AH951" i="7"/>
  <c r="AG951" i="7"/>
  <c r="AF951" i="7"/>
  <c r="AE951" i="7"/>
  <c r="AD951" i="7"/>
  <c r="AC951" i="7"/>
  <c r="AB951" i="7"/>
  <c r="AA951" i="7"/>
  <c r="Z951" i="7"/>
  <c r="Y951" i="7"/>
  <c r="X951" i="7"/>
  <c r="W951" i="7"/>
  <c r="K951" i="7"/>
  <c r="K952" i="7"/>
  <c r="V951" i="7"/>
  <c r="AJ949" i="7"/>
  <c r="AI949" i="7"/>
  <c r="AH949" i="7"/>
  <c r="AG949" i="7"/>
  <c r="AF949" i="7"/>
  <c r="AE949" i="7"/>
  <c r="AD949" i="7"/>
  <c r="AC949" i="7"/>
  <c r="AB949" i="7"/>
  <c r="AA949" i="7"/>
  <c r="Z949" i="7"/>
  <c r="Y949" i="7"/>
  <c r="X949" i="7"/>
  <c r="W949" i="7"/>
  <c r="V949" i="7"/>
  <c r="AJ938" i="7"/>
  <c r="AH938" i="7"/>
  <c r="AF938" i="7"/>
  <c r="AD938" i="7"/>
  <c r="AB938" i="7"/>
  <c r="Z938" i="7"/>
  <c r="X938" i="7"/>
  <c r="V938" i="7"/>
  <c r="AJ939" i="7"/>
  <c r="AH939" i="7"/>
  <c r="AF939" i="7"/>
  <c r="AD939" i="7"/>
  <c r="AB939" i="7"/>
  <c r="Z939" i="7"/>
  <c r="X939" i="7"/>
  <c r="V939" i="7"/>
  <c r="AJ936" i="7"/>
  <c r="AH936" i="7"/>
  <c r="AF936" i="7"/>
  <c r="AD936" i="7"/>
  <c r="AB936" i="7"/>
  <c r="Z936" i="7"/>
  <c r="X936" i="7"/>
  <c r="V936" i="7"/>
  <c r="AJ934" i="7"/>
  <c r="AH934" i="7"/>
  <c r="AF934" i="7"/>
  <c r="AD934" i="7"/>
  <c r="AB934" i="7"/>
  <c r="Z934" i="7"/>
  <c r="X934" i="7"/>
  <c r="V934" i="7"/>
  <c r="AJ933" i="7"/>
  <c r="AH933" i="7"/>
  <c r="AF933" i="7"/>
  <c r="AD933" i="7"/>
  <c r="AB933" i="7"/>
  <c r="Z933" i="7"/>
  <c r="X933" i="7"/>
  <c r="V933" i="7"/>
  <c r="AJ932" i="7"/>
  <c r="AH932" i="7"/>
  <c r="AF932" i="7"/>
  <c r="AD932" i="7"/>
  <c r="AB932" i="7"/>
  <c r="Z932" i="7"/>
  <c r="X932" i="7"/>
  <c r="V932" i="7"/>
  <c r="AJ931" i="7"/>
  <c r="AH931" i="7"/>
  <c r="AF931" i="7"/>
  <c r="AD931" i="7"/>
  <c r="AB931" i="7"/>
  <c r="Z931" i="7"/>
  <c r="X931" i="7"/>
  <c r="V931" i="7"/>
  <c r="AJ928" i="7"/>
  <c r="AH928" i="7"/>
  <c r="AF928" i="7"/>
  <c r="AD928" i="7"/>
  <c r="AB928" i="7"/>
  <c r="Z928" i="7"/>
  <c r="X928" i="7"/>
  <c r="V928" i="7"/>
  <c r="AJ927" i="7"/>
  <c r="AH927" i="7"/>
  <c r="AF927" i="7"/>
  <c r="AD927" i="7"/>
  <c r="AB927" i="7"/>
  <c r="Z927" i="7"/>
  <c r="X927" i="7"/>
  <c r="V927" i="7"/>
  <c r="J927" i="7"/>
  <c r="AJ925" i="7"/>
  <c r="AH925" i="7"/>
  <c r="AF925" i="7"/>
  <c r="AD925" i="7"/>
  <c r="AB925" i="7"/>
  <c r="Z925" i="7"/>
  <c r="X925" i="7"/>
  <c r="V925" i="7"/>
  <c r="AJ924" i="7"/>
  <c r="AH924" i="7"/>
  <c r="AF924" i="7"/>
  <c r="AD924" i="7"/>
  <c r="AB924" i="7"/>
  <c r="Z924" i="7"/>
  <c r="X924" i="7"/>
  <c r="V924" i="7"/>
  <c r="AJ922" i="7"/>
  <c r="AH922" i="7"/>
  <c r="AF922" i="7"/>
  <c r="AD922" i="7"/>
  <c r="AB922" i="7"/>
  <c r="Z922" i="7"/>
  <c r="X922" i="7"/>
  <c r="V922" i="7"/>
  <c r="AJ921" i="7"/>
  <c r="AH921" i="7"/>
  <c r="AF921" i="7"/>
  <c r="AD921" i="7"/>
  <c r="AB921" i="7"/>
  <c r="Z921" i="7"/>
  <c r="X921" i="7"/>
  <c r="V921" i="7"/>
  <c r="AJ918" i="7"/>
  <c r="AH918" i="7"/>
  <c r="AF918" i="7"/>
  <c r="AD918" i="7"/>
  <c r="AB918" i="7"/>
  <c r="Z918" i="7"/>
  <c r="X918" i="7"/>
  <c r="V918" i="7"/>
  <c r="AJ877" i="7"/>
  <c r="AJ876" i="7"/>
  <c r="V877" i="7"/>
  <c r="J877" i="7"/>
  <c r="V876" i="7"/>
  <c r="X877" i="7"/>
  <c r="X876" i="7"/>
  <c r="Z877" i="7"/>
  <c r="Z876" i="7"/>
  <c r="AB877" i="7"/>
  <c r="AB876" i="7"/>
  <c r="AD877" i="7"/>
  <c r="AD876" i="7"/>
  <c r="AF877" i="7"/>
  <c r="AF876" i="7"/>
  <c r="AH877" i="7"/>
  <c r="AH876" i="7"/>
  <c r="AH859" i="7"/>
  <c r="AF859" i="7"/>
  <c r="AD859" i="7"/>
  <c r="AB859" i="7"/>
  <c r="Z859" i="7"/>
  <c r="X859" i="7"/>
  <c r="V860" i="7"/>
  <c r="V859" i="7"/>
  <c r="AK877" i="7"/>
  <c r="AI877" i="7"/>
  <c r="AG877" i="7"/>
  <c r="AE877" i="7"/>
  <c r="AC877" i="7"/>
  <c r="AA877" i="7"/>
  <c r="Y877" i="7"/>
  <c r="W877" i="7"/>
  <c r="AK876" i="7"/>
  <c r="AI876" i="7"/>
  <c r="AG876" i="7"/>
  <c r="AE876" i="7"/>
  <c r="AC876" i="7"/>
  <c r="AA876" i="7"/>
  <c r="Y876" i="7"/>
  <c r="W876" i="7"/>
  <c r="AJ875" i="7"/>
  <c r="AI875" i="7"/>
  <c r="AH875" i="7"/>
  <c r="AG875" i="7"/>
  <c r="AF875" i="7"/>
  <c r="AE875" i="7"/>
  <c r="AD875" i="7"/>
  <c r="AC875" i="7"/>
  <c r="AB875" i="7"/>
  <c r="AA875" i="7"/>
  <c r="Z875" i="7"/>
  <c r="Y875" i="7"/>
  <c r="X875" i="7"/>
  <c r="W875" i="7"/>
  <c r="K875" i="7"/>
  <c r="V875" i="7"/>
  <c r="J875" i="7"/>
  <c r="AJ874" i="7"/>
  <c r="AI874" i="7"/>
  <c r="AH874" i="7"/>
  <c r="AG874" i="7"/>
  <c r="AF874" i="7"/>
  <c r="AE874" i="7"/>
  <c r="AD874" i="7"/>
  <c r="AC874" i="7"/>
  <c r="AB874" i="7"/>
  <c r="AA874" i="7"/>
  <c r="Z874" i="7"/>
  <c r="Y874" i="7"/>
  <c r="X874" i="7"/>
  <c r="W874" i="7"/>
  <c r="V874" i="7"/>
  <c r="J874" i="7"/>
  <c r="AJ860" i="7"/>
  <c r="AJ859" i="7"/>
  <c r="AH860" i="7"/>
  <c r="AF860" i="7"/>
  <c r="AD860" i="7"/>
  <c r="AB860" i="7"/>
  <c r="AD843" i="7"/>
  <c r="AB843" i="7"/>
  <c r="Z843" i="7"/>
  <c r="X843" i="7"/>
  <c r="V843" i="7"/>
  <c r="Z860" i="7"/>
  <c r="X860" i="7"/>
  <c r="AJ858" i="7"/>
  <c r="AH858" i="7"/>
  <c r="AF858" i="7"/>
  <c r="AD858" i="7"/>
  <c r="AB858" i="7"/>
  <c r="Z858" i="7"/>
  <c r="X858" i="7"/>
  <c r="V858" i="7"/>
  <c r="AJ857" i="7"/>
  <c r="AH857" i="7"/>
  <c r="AF857" i="7"/>
  <c r="AD857" i="7"/>
  <c r="AB857" i="7"/>
  <c r="Z857" i="7"/>
  <c r="X857" i="7"/>
  <c r="V857" i="7"/>
  <c r="AJ856" i="7"/>
  <c r="AH856" i="7"/>
  <c r="AF856" i="7"/>
  <c r="AD856" i="7"/>
  <c r="AB856" i="7"/>
  <c r="Z856" i="7"/>
  <c r="X856" i="7"/>
  <c r="V856" i="7"/>
  <c r="AJ855" i="7"/>
  <c r="AH855" i="7"/>
  <c r="AF855" i="7"/>
  <c r="AD855" i="7"/>
  <c r="AB855" i="7"/>
  <c r="Z855" i="7"/>
  <c r="X855" i="7"/>
  <c r="V855" i="7"/>
  <c r="AJ854" i="7"/>
  <c r="AH854" i="7"/>
  <c r="AF854" i="7"/>
  <c r="AD854" i="7"/>
  <c r="AB854" i="7"/>
  <c r="Z854" i="7"/>
  <c r="X854" i="7"/>
  <c r="V854" i="7"/>
  <c r="AJ851" i="7"/>
  <c r="AH851" i="7"/>
  <c r="AF851" i="7"/>
  <c r="AD851" i="7"/>
  <c r="AB851" i="7"/>
  <c r="Z851" i="7"/>
  <c r="X851" i="7"/>
  <c r="V851" i="7"/>
  <c r="J851" i="7"/>
  <c r="AJ850" i="7"/>
  <c r="AH850" i="7"/>
  <c r="AF850" i="7"/>
  <c r="AD850" i="7"/>
  <c r="AB850" i="7"/>
  <c r="Z850" i="7"/>
  <c r="X850" i="7"/>
  <c r="V850" i="7"/>
  <c r="AJ849" i="7"/>
  <c r="AH849" i="7"/>
  <c r="AF849" i="7"/>
  <c r="AD849" i="7"/>
  <c r="AB849" i="7"/>
  <c r="Z849" i="7"/>
  <c r="X849" i="7"/>
  <c r="V849" i="7"/>
  <c r="J849" i="7"/>
  <c r="AJ848" i="7"/>
  <c r="AH848" i="7"/>
  <c r="AF848" i="7"/>
  <c r="AD848" i="7"/>
  <c r="AB848" i="7"/>
  <c r="Z848" i="7"/>
  <c r="X848" i="7"/>
  <c r="V848" i="7"/>
  <c r="AJ847" i="7"/>
  <c r="AH847" i="7"/>
  <c r="AF847" i="7"/>
  <c r="AD847" i="7"/>
  <c r="AB847" i="7"/>
  <c r="Z847" i="7"/>
  <c r="X847" i="7"/>
  <c r="V847" i="7"/>
  <c r="AJ846" i="7"/>
  <c r="AH846" i="7"/>
  <c r="AF846" i="7"/>
  <c r="AD846" i="7"/>
  <c r="AB846" i="7"/>
  <c r="Z846" i="7"/>
  <c r="X846" i="7"/>
  <c r="V846" i="7"/>
  <c r="AH843" i="7"/>
  <c r="AF843" i="7"/>
  <c r="AJ843" i="7"/>
  <c r="M739" i="7"/>
  <c r="AJ726" i="7"/>
  <c r="AH726" i="7"/>
  <c r="AF726" i="7"/>
  <c r="AD726" i="7"/>
  <c r="AB726" i="7"/>
  <c r="Z726" i="7"/>
  <c r="X726" i="7"/>
  <c r="V726" i="7"/>
  <c r="AK726" i="7"/>
  <c r="AI726" i="7"/>
  <c r="AG726" i="7"/>
  <c r="AE726" i="7"/>
  <c r="AC726" i="7"/>
  <c r="AA726" i="7"/>
  <c r="Y726" i="7"/>
  <c r="W726" i="7"/>
  <c r="AJ725" i="7"/>
  <c r="AI725" i="7"/>
  <c r="AH725" i="7"/>
  <c r="AG725" i="7"/>
  <c r="AF725" i="7"/>
  <c r="AE725" i="7"/>
  <c r="AD725" i="7"/>
  <c r="AC725" i="7"/>
  <c r="AB725" i="7"/>
  <c r="AA725" i="7"/>
  <c r="Z725" i="7"/>
  <c r="Y725" i="7"/>
  <c r="X725" i="7"/>
  <c r="W725" i="7"/>
  <c r="K725" i="7"/>
  <c r="V725" i="7"/>
  <c r="J725" i="7"/>
  <c r="AJ724" i="7"/>
  <c r="AI724" i="7"/>
  <c r="AH724" i="7"/>
  <c r="AG724" i="7"/>
  <c r="AF724" i="7"/>
  <c r="AE724" i="7"/>
  <c r="AD724" i="7"/>
  <c r="AC724" i="7"/>
  <c r="AB724" i="7"/>
  <c r="AA724" i="7"/>
  <c r="Z724" i="7"/>
  <c r="Y724" i="7"/>
  <c r="X724" i="7"/>
  <c r="W724" i="7"/>
  <c r="V724" i="7"/>
  <c r="J724" i="7"/>
  <c r="F919" i="2"/>
  <c r="F928" i="2"/>
  <c r="M1048" i="7"/>
  <c r="O1048" i="7"/>
  <c r="M1116" i="7"/>
  <c r="O1116" i="7"/>
  <c r="O1122" i="7"/>
  <c r="O1047" i="7"/>
  <c r="P1001" i="7"/>
  <c r="W47" i="1"/>
  <c r="F861" i="2"/>
  <c r="F860" i="2"/>
  <c r="O899" i="2"/>
  <c r="M963" i="2"/>
  <c r="O963" i="2"/>
  <c r="V19" i="1"/>
  <c r="AC19" i="1" s="1"/>
  <c r="O830" i="2"/>
  <c r="M894" i="2"/>
  <c r="O894" i="2"/>
  <c r="V18" i="1"/>
  <c r="F918" i="2"/>
  <c r="Q993" i="7"/>
  <c r="F993" i="7"/>
  <c r="P1079" i="7"/>
  <c r="L1068" i="7"/>
  <c r="M1068" i="7"/>
  <c r="F1001" i="7"/>
  <c r="L1001" i="7"/>
  <c r="M1001" i="7" s="1"/>
  <c r="P1068" i="7"/>
  <c r="J922" i="7"/>
  <c r="J923" i="7"/>
  <c r="J925" i="7"/>
  <c r="J926" i="7"/>
  <c r="J1071" i="7"/>
  <c r="M1115" i="7"/>
  <c r="O1115" i="7"/>
  <c r="K1100" i="7"/>
  <c r="M1100" i="7"/>
  <c r="F1079" i="7"/>
  <c r="J928" i="7"/>
  <c r="J929" i="7"/>
  <c r="J949" i="7"/>
  <c r="J950" i="7"/>
  <c r="J952" i="7"/>
  <c r="M952" i="7"/>
  <c r="O952" i="7"/>
  <c r="Q921" i="2"/>
  <c r="J849" i="2"/>
  <c r="F850" i="2"/>
  <c r="F930" i="2"/>
  <c r="J940" i="2"/>
  <c r="Q860" i="2"/>
  <c r="K873" i="2"/>
  <c r="J851" i="2"/>
  <c r="F921" i="2"/>
  <c r="O953" i="2"/>
  <c r="J872" i="2"/>
  <c r="M872" i="2"/>
  <c r="O872" i="2"/>
  <c r="Q916" i="2"/>
  <c r="Q861" i="2"/>
  <c r="J871" i="2"/>
  <c r="L930" i="2"/>
  <c r="M930" i="2"/>
  <c r="P931" i="2"/>
  <c r="Q920" i="2"/>
  <c r="P930" i="2"/>
  <c r="J848" i="2"/>
  <c r="L931" i="2"/>
  <c r="M931" i="2"/>
  <c r="P928" i="2"/>
  <c r="J846" i="2"/>
  <c r="F931" i="2"/>
  <c r="Q1079" i="7"/>
  <c r="F1068" i="7"/>
  <c r="L993" i="7"/>
  <c r="M993" i="7"/>
  <c r="F1082" i="7"/>
  <c r="L1082" i="7"/>
  <c r="M1082" i="7" s="1"/>
  <c r="O1082" i="7" s="1"/>
  <c r="H1083" i="7"/>
  <c r="H1085" i="7"/>
  <c r="Q1082" i="7"/>
  <c r="P1082" i="7"/>
  <c r="J1026" i="7"/>
  <c r="M1026" i="7"/>
  <c r="O1026" i="7"/>
  <c r="L997" i="7"/>
  <c r="M997" i="7" s="1"/>
  <c r="F997" i="7"/>
  <c r="Q997" i="7"/>
  <c r="P997" i="7"/>
  <c r="J1103" i="7"/>
  <c r="M1103" i="7"/>
  <c r="O1103" i="7"/>
  <c r="H1007" i="7"/>
  <c r="L1006" i="7"/>
  <c r="M1006" i="7" s="1"/>
  <c r="P1006" i="7"/>
  <c r="F1006" i="7"/>
  <c r="Q1006" i="7"/>
  <c r="J1000" i="7"/>
  <c r="K1024" i="7"/>
  <c r="M1024" i="7"/>
  <c r="J996" i="7"/>
  <c r="J951" i="7"/>
  <c r="M951" i="7"/>
  <c r="O951" i="7"/>
  <c r="L921" i="2"/>
  <c r="P852" i="2"/>
  <c r="Q852" i="2"/>
  <c r="L862" i="2"/>
  <c r="M862" i="2" s="1"/>
  <c r="O862" i="2" s="1"/>
  <c r="M884" i="2"/>
  <c r="O884" i="2"/>
  <c r="J919" i="2"/>
  <c r="M919" i="2"/>
  <c r="H853" i="2"/>
  <c r="L853" i="2"/>
  <c r="M853" i="2" s="1"/>
  <c r="L861" i="2"/>
  <c r="M861" i="2" s="1"/>
  <c r="Q862" i="2"/>
  <c r="F916" i="2"/>
  <c r="Q919" i="2"/>
  <c r="F920" i="2"/>
  <c r="P921" i="2"/>
  <c r="L928" i="2"/>
  <c r="M928" i="2"/>
  <c r="M941" i="2"/>
  <c r="O941" i="2"/>
  <c r="J915" i="2"/>
  <c r="Q918" i="2"/>
  <c r="M882" i="2"/>
  <c r="O882" i="2"/>
  <c r="J917" i="2"/>
  <c r="M895" i="2"/>
  <c r="O895" i="2"/>
  <c r="P932" i="2"/>
  <c r="F932" i="2"/>
  <c r="L932" i="2"/>
  <c r="M932" i="2"/>
  <c r="P847" i="2"/>
  <c r="L847" i="2"/>
  <c r="M847" i="2" s="1"/>
  <c r="O847" i="2" s="1"/>
  <c r="P849" i="2"/>
  <c r="L849" i="2"/>
  <c r="M849" i="2" s="1"/>
  <c r="P851" i="2"/>
  <c r="L851" i="2"/>
  <c r="F922" i="2"/>
  <c r="H923" i="2"/>
  <c r="H924" i="2"/>
  <c r="H925" i="2"/>
  <c r="H926" i="2"/>
  <c r="H927" i="2"/>
  <c r="Q922" i="2"/>
  <c r="L845" i="2"/>
  <c r="M845" i="2"/>
  <c r="L859" i="2"/>
  <c r="M859" i="2"/>
  <c r="L863" i="2"/>
  <c r="M863" i="2" s="1"/>
  <c r="P863" i="2"/>
  <c r="F863" i="2"/>
  <c r="K874" i="2"/>
  <c r="M874" i="2"/>
  <c r="O874" i="2"/>
  <c r="J942" i="2"/>
  <c r="Q932" i="2"/>
  <c r="Q845" i="2"/>
  <c r="F845" i="2"/>
  <c r="P845" i="2"/>
  <c r="K943" i="2"/>
  <c r="M943" i="2"/>
  <c r="O943" i="2"/>
  <c r="M920" i="2"/>
  <c r="J918" i="2"/>
  <c r="M918" i="2"/>
  <c r="J914" i="2"/>
  <c r="K942" i="2"/>
  <c r="Q847" i="2"/>
  <c r="Q849" i="2"/>
  <c r="Q851" i="2"/>
  <c r="P929" i="2"/>
  <c r="L929" i="2"/>
  <c r="M929" i="2"/>
  <c r="H915" i="2"/>
  <c r="L914" i="2"/>
  <c r="Q914" i="2"/>
  <c r="F914" i="2"/>
  <c r="P914" i="2"/>
  <c r="O886" i="2"/>
  <c r="H846" i="2"/>
  <c r="H848" i="2"/>
  <c r="P850" i="2"/>
  <c r="L850" i="2"/>
  <c r="M850" i="2" s="1"/>
  <c r="Q929" i="2"/>
  <c r="P859" i="2"/>
  <c r="L922" i="2"/>
  <c r="M922" i="2"/>
  <c r="O955" i="2"/>
  <c r="L852" i="2"/>
  <c r="M852" i="2" s="1"/>
  <c r="Q859" i="2"/>
  <c r="P862" i="2"/>
  <c r="Q863" i="2"/>
  <c r="P860" i="2"/>
  <c r="O885" i="2"/>
  <c r="P916" i="2"/>
  <c r="P918" i="2"/>
  <c r="P919" i="2"/>
  <c r="P920" i="2"/>
  <c r="M954" i="2"/>
  <c r="O954" i="2"/>
  <c r="H917" i="2"/>
  <c r="M951" i="2"/>
  <c r="O951" i="2"/>
  <c r="Q246" i="11"/>
  <c r="L246" i="11"/>
  <c r="L257" i="11"/>
  <c r="M257" i="11" s="1"/>
  <c r="Q853" i="2"/>
  <c r="M889" i="2"/>
  <c r="O889" i="2"/>
  <c r="M958" i="2"/>
  <c r="O958" i="2"/>
  <c r="M964" i="2"/>
  <c r="O964" i="2"/>
  <c r="H854" i="2"/>
  <c r="P854" i="2"/>
  <c r="O1100" i="7"/>
  <c r="M1105" i="7"/>
  <c r="M1030" i="7"/>
  <c r="M851" i="2"/>
  <c r="F1073" i="7"/>
  <c r="P1073" i="7"/>
  <c r="Q1073" i="7"/>
  <c r="L1073" i="7"/>
  <c r="M1073" i="7"/>
  <c r="O1073" i="7" s="1"/>
  <c r="M1004" i="7"/>
  <c r="O1004" i="7" s="1"/>
  <c r="O1036" i="7"/>
  <c r="O1111" i="7"/>
  <c r="O1119" i="7"/>
  <c r="L1083" i="7"/>
  <c r="M1083" i="7" s="1"/>
  <c r="P1083" i="7"/>
  <c r="Q1083" i="7"/>
  <c r="F1083" i="7"/>
  <c r="M1040" i="7"/>
  <c r="O1040" i="7"/>
  <c r="L1007" i="7"/>
  <c r="M1007" i="7" s="1"/>
  <c r="H1008" i="7"/>
  <c r="Q1007" i="7"/>
  <c r="P1007" i="7"/>
  <c r="F1007" i="7"/>
  <c r="O1024" i="7"/>
  <c r="O1030" i="7"/>
  <c r="O1105" i="7"/>
  <c r="M914" i="2"/>
  <c r="J847" i="2"/>
  <c r="J916" i="2"/>
  <c r="P853" i="2"/>
  <c r="F853" i="2"/>
  <c r="K940" i="2"/>
  <c r="M940" i="2"/>
  <c r="P848" i="2"/>
  <c r="L848" i="2"/>
  <c r="M848" i="2" s="1"/>
  <c r="F848" i="2"/>
  <c r="Q848" i="2"/>
  <c r="M942" i="2"/>
  <c r="O942" i="2"/>
  <c r="L917" i="2"/>
  <c r="M917" i="2"/>
  <c r="P917" i="2"/>
  <c r="F917" i="2"/>
  <c r="Q917" i="2"/>
  <c r="L915" i="2"/>
  <c r="M915" i="2"/>
  <c r="P915" i="2"/>
  <c r="Q915" i="2"/>
  <c r="F915" i="2"/>
  <c r="K871" i="2"/>
  <c r="M871" i="2"/>
  <c r="Q923" i="2"/>
  <c r="F923" i="2"/>
  <c r="P923" i="2"/>
  <c r="L923" i="2"/>
  <c r="M923" i="2"/>
  <c r="L854" i="2"/>
  <c r="M854" i="2" s="1"/>
  <c r="P846" i="2"/>
  <c r="L846" i="2"/>
  <c r="M846" i="2"/>
  <c r="F846" i="2"/>
  <c r="Q846" i="2"/>
  <c r="J873" i="2"/>
  <c r="M873" i="2"/>
  <c r="O873" i="2"/>
  <c r="M946" i="2"/>
  <c r="H855" i="2"/>
  <c r="H856" i="2"/>
  <c r="F854" i="2"/>
  <c r="Q854" i="2"/>
  <c r="M877" i="2"/>
  <c r="O1044" i="7"/>
  <c r="L1008" i="7"/>
  <c r="M1008" i="7" s="1"/>
  <c r="Q1008" i="7"/>
  <c r="F1008" i="7"/>
  <c r="H1009" i="7"/>
  <c r="P1008" i="7"/>
  <c r="M887" i="2"/>
  <c r="O887" i="2"/>
  <c r="M888" i="2"/>
  <c r="O888" i="2"/>
  <c r="O952" i="2"/>
  <c r="M921" i="2"/>
  <c r="O940" i="2"/>
  <c r="O946" i="2"/>
  <c r="M956" i="2"/>
  <c r="O956" i="2"/>
  <c r="M916" i="2"/>
  <c r="M957" i="2"/>
  <c r="O957" i="2"/>
  <c r="O871" i="2"/>
  <c r="O877" i="2"/>
  <c r="O883" i="2"/>
  <c r="F855" i="2"/>
  <c r="L855" i="2"/>
  <c r="M855" i="2" s="1"/>
  <c r="P855" i="2"/>
  <c r="Q855" i="2"/>
  <c r="Q1085" i="7"/>
  <c r="F1085" i="7"/>
  <c r="P1085" i="7"/>
  <c r="H1087" i="7"/>
  <c r="H1088" i="7"/>
  <c r="L1085" i="7"/>
  <c r="M1085" i="7" s="1"/>
  <c r="H1010" i="7"/>
  <c r="P1009" i="7"/>
  <c r="Q1009" i="7"/>
  <c r="F1009" i="7"/>
  <c r="L1009" i="7"/>
  <c r="M1009" i="7"/>
  <c r="O1009" i="7" s="1"/>
  <c r="P925" i="2"/>
  <c r="Q925" i="2"/>
  <c r="F925" i="2"/>
  <c r="L925" i="2"/>
  <c r="M925" i="2"/>
  <c r="O960" i="2"/>
  <c r="L856" i="2"/>
  <c r="M856" i="2"/>
  <c r="F856" i="2"/>
  <c r="P856" i="2"/>
  <c r="H857" i="2"/>
  <c r="Q856" i="2"/>
  <c r="O891" i="2"/>
  <c r="Q1010" i="7"/>
  <c r="F1010" i="7"/>
  <c r="P1010" i="7"/>
  <c r="L1010" i="7"/>
  <c r="M1010" i="7" s="1"/>
  <c r="P1087" i="7"/>
  <c r="L1087" i="7"/>
  <c r="M1087" i="7" s="1"/>
  <c r="F1087" i="7"/>
  <c r="Q1087" i="7"/>
  <c r="H1089" i="7"/>
  <c r="L1088" i="7"/>
  <c r="M1088" i="7" s="1"/>
  <c r="O1088" i="7" s="1"/>
  <c r="F1088" i="7"/>
  <c r="Q1088" i="7"/>
  <c r="P1088" i="7"/>
  <c r="H858" i="2"/>
  <c r="Q857" i="2"/>
  <c r="P857" i="2"/>
  <c r="L857" i="2"/>
  <c r="M857" i="2" s="1"/>
  <c r="F857" i="2"/>
  <c r="Q924" i="2"/>
  <c r="F924" i="2"/>
  <c r="L924" i="2"/>
  <c r="M924" i="2"/>
  <c r="P924" i="2"/>
  <c r="P926" i="2"/>
  <c r="Q926" i="2"/>
  <c r="F926" i="2"/>
  <c r="L926" i="2"/>
  <c r="M926" i="2"/>
  <c r="L1089" i="7"/>
  <c r="M1089" i="7" s="1"/>
  <c r="O1089" i="7" s="1"/>
  <c r="Q1089" i="7"/>
  <c r="F1089" i="7"/>
  <c r="P1089" i="7"/>
  <c r="L858" i="2"/>
  <c r="M858" i="2" s="1"/>
  <c r="F858" i="2"/>
  <c r="Q858" i="2"/>
  <c r="P858" i="2"/>
  <c r="P927" i="2"/>
  <c r="Q927" i="2"/>
  <c r="F927" i="2"/>
  <c r="L927" i="2"/>
  <c r="M927" i="2"/>
  <c r="AJ708" i="7"/>
  <c r="AH708" i="7"/>
  <c r="AF708" i="7"/>
  <c r="AD708" i="7"/>
  <c r="AB708" i="7"/>
  <c r="Z708" i="7"/>
  <c r="X708" i="7"/>
  <c r="V708" i="7"/>
  <c r="AJ707" i="7"/>
  <c r="AH707" i="7"/>
  <c r="AF707" i="7"/>
  <c r="AD707" i="7"/>
  <c r="AB707" i="7"/>
  <c r="Z707" i="7"/>
  <c r="X707" i="7"/>
  <c r="V707" i="7"/>
  <c r="AJ706" i="7"/>
  <c r="AH706" i="7"/>
  <c r="AF706" i="7"/>
  <c r="AD706" i="7"/>
  <c r="AB706" i="7"/>
  <c r="Z706" i="7"/>
  <c r="X706" i="7"/>
  <c r="V706" i="7"/>
  <c r="AJ705" i="7"/>
  <c r="AH705" i="7"/>
  <c r="AF705" i="7"/>
  <c r="AD705" i="7"/>
  <c r="AB705" i="7"/>
  <c r="Z705" i="7"/>
  <c r="X705" i="7"/>
  <c r="V705" i="7"/>
  <c r="AJ704" i="7"/>
  <c r="AH704" i="7"/>
  <c r="AF704" i="7"/>
  <c r="AD704" i="7"/>
  <c r="AB704" i="7"/>
  <c r="Z704" i="7"/>
  <c r="X704" i="7"/>
  <c r="V704" i="7"/>
  <c r="AJ703" i="7"/>
  <c r="AH703" i="7"/>
  <c r="AF703" i="7"/>
  <c r="AD703" i="7"/>
  <c r="AB703" i="7"/>
  <c r="Z703" i="7"/>
  <c r="X703" i="7"/>
  <c r="V703" i="7"/>
  <c r="AJ701" i="7"/>
  <c r="AH701" i="7"/>
  <c r="AF701" i="7"/>
  <c r="AD701" i="7"/>
  <c r="AB701" i="7"/>
  <c r="Z701" i="7"/>
  <c r="X701" i="7"/>
  <c r="V701" i="7"/>
  <c r="J701" i="7"/>
  <c r="AJ700" i="7"/>
  <c r="AH700" i="7"/>
  <c r="AF700" i="7"/>
  <c r="AD700" i="7"/>
  <c r="AB700" i="7"/>
  <c r="Z700" i="7"/>
  <c r="X700" i="7"/>
  <c r="V700" i="7"/>
  <c r="AJ699" i="7"/>
  <c r="AH699" i="7"/>
  <c r="AF699" i="7"/>
  <c r="AD699" i="7"/>
  <c r="AB699" i="7"/>
  <c r="Z699" i="7"/>
  <c r="X699" i="7"/>
  <c r="V699" i="7"/>
  <c r="AJ698" i="7"/>
  <c r="AH698" i="7"/>
  <c r="AF698" i="7"/>
  <c r="AD698" i="7"/>
  <c r="AB698" i="7"/>
  <c r="Z698" i="7"/>
  <c r="X698" i="7"/>
  <c r="V698" i="7"/>
  <c r="AJ697" i="7"/>
  <c r="AH697" i="7"/>
  <c r="AF697" i="7"/>
  <c r="AD697" i="7"/>
  <c r="AB697" i="7"/>
  <c r="Z697" i="7"/>
  <c r="X697" i="7"/>
  <c r="V697" i="7"/>
  <c r="J697" i="7"/>
  <c r="AJ696" i="7"/>
  <c r="AH696" i="7"/>
  <c r="AF696" i="7"/>
  <c r="AD696" i="7"/>
  <c r="AB696" i="7"/>
  <c r="Z696" i="7"/>
  <c r="X696" i="7"/>
  <c r="V696" i="7"/>
  <c r="H943" i="7"/>
  <c r="F943" i="7"/>
  <c r="H942" i="7"/>
  <c r="F942" i="7"/>
  <c r="H941" i="7"/>
  <c r="F941" i="7"/>
  <c r="H940" i="7"/>
  <c r="F940" i="7"/>
  <c r="H931" i="7"/>
  <c r="H930" i="7"/>
  <c r="H927" i="7"/>
  <c r="H925" i="7"/>
  <c r="H924" i="7"/>
  <c r="F924" i="7"/>
  <c r="H921" i="7"/>
  <c r="F921" i="7"/>
  <c r="H853" i="7"/>
  <c r="F853" i="7"/>
  <c r="H849" i="7"/>
  <c r="L849" i="7"/>
  <c r="M849" i="7" s="1"/>
  <c r="O849" i="7" s="1"/>
  <c r="F925" i="7"/>
  <c r="H926" i="7"/>
  <c r="H932" i="7"/>
  <c r="H933" i="7"/>
  <c r="L931" i="7"/>
  <c r="M931" i="7" s="1"/>
  <c r="Q931" i="7"/>
  <c r="P931" i="7"/>
  <c r="H928" i="7"/>
  <c r="Q927" i="7"/>
  <c r="P927" i="7"/>
  <c r="F927" i="7"/>
  <c r="L927" i="7"/>
  <c r="M927" i="7" s="1"/>
  <c r="F930" i="7"/>
  <c r="L930" i="7"/>
  <c r="M930" i="7" s="1"/>
  <c r="P930" i="7"/>
  <c r="Q930" i="7"/>
  <c r="F931" i="7"/>
  <c r="H922" i="7"/>
  <c r="F849" i="7"/>
  <c r="Q849" i="7"/>
  <c r="P849" i="7"/>
  <c r="P853" i="7"/>
  <c r="Q853" i="7"/>
  <c r="L853" i="7"/>
  <c r="M853" i="7" s="1"/>
  <c r="O853" i="7" s="1"/>
  <c r="H699" i="7"/>
  <c r="P699" i="7"/>
  <c r="H624" i="7"/>
  <c r="L624" i="7"/>
  <c r="AI576" i="7"/>
  <c r="AH576" i="7"/>
  <c r="AI575" i="7"/>
  <c r="AH575" i="7"/>
  <c r="AI574" i="7"/>
  <c r="AH574" i="7"/>
  <c r="AG576" i="7"/>
  <c r="AF576" i="7"/>
  <c r="AG575" i="7"/>
  <c r="AG574" i="7"/>
  <c r="AF575" i="7"/>
  <c r="AF574" i="7"/>
  <c r="AE576" i="7"/>
  <c r="AD576" i="7"/>
  <c r="AE575" i="7"/>
  <c r="AD575" i="7"/>
  <c r="AE574" i="7"/>
  <c r="AD574" i="7"/>
  <c r="AC576" i="7"/>
  <c r="AB576" i="7"/>
  <c r="AC575" i="7"/>
  <c r="AB575" i="7"/>
  <c r="AC574" i="7"/>
  <c r="AB574" i="7"/>
  <c r="AA576" i="7"/>
  <c r="Z576" i="7"/>
  <c r="AA575" i="7"/>
  <c r="Z575" i="7"/>
  <c r="AA574" i="7"/>
  <c r="Z574" i="7"/>
  <c r="Y576" i="7"/>
  <c r="X576" i="7"/>
  <c r="Y575" i="7"/>
  <c r="X575" i="7"/>
  <c r="Y574" i="7"/>
  <c r="X574" i="7"/>
  <c r="W576" i="7"/>
  <c r="W575" i="7"/>
  <c r="V576" i="7"/>
  <c r="V575" i="7"/>
  <c r="W574" i="7"/>
  <c r="V574" i="7"/>
  <c r="J574" i="7"/>
  <c r="AK575" i="7"/>
  <c r="AK576" i="7"/>
  <c r="AJ576" i="7"/>
  <c r="AK574" i="7"/>
  <c r="AJ575" i="7"/>
  <c r="AJ574" i="7"/>
  <c r="AH554" i="7"/>
  <c r="F932" i="7"/>
  <c r="L933" i="7"/>
  <c r="M933" i="7" s="1"/>
  <c r="Q933" i="7"/>
  <c r="P933" i="7"/>
  <c r="L928" i="7"/>
  <c r="M928" i="7" s="1"/>
  <c r="P928" i="7"/>
  <c r="F928" i="7"/>
  <c r="Q928" i="7"/>
  <c r="H929" i="7"/>
  <c r="F922" i="7"/>
  <c r="H923" i="7"/>
  <c r="L932" i="7"/>
  <c r="M932" i="7" s="1"/>
  <c r="P932" i="7"/>
  <c r="Q932" i="7"/>
  <c r="P926" i="7"/>
  <c r="Q926" i="7"/>
  <c r="L926" i="7"/>
  <c r="M926" i="7" s="1"/>
  <c r="F926" i="7"/>
  <c r="L699" i="7"/>
  <c r="M699" i="7" s="1"/>
  <c r="O699" i="7" s="1"/>
  <c r="H934" i="7"/>
  <c r="H935" i="7"/>
  <c r="H937" i="7"/>
  <c r="F933" i="7"/>
  <c r="F624" i="7"/>
  <c r="Q624" i="7"/>
  <c r="Q699" i="7"/>
  <c r="P624" i="7"/>
  <c r="F699" i="7"/>
  <c r="L923" i="7"/>
  <c r="M923" i="7"/>
  <c r="F923" i="7"/>
  <c r="P923" i="7"/>
  <c r="Q923" i="7"/>
  <c r="Q929" i="7"/>
  <c r="F929" i="7"/>
  <c r="P929" i="7"/>
  <c r="L929" i="7"/>
  <c r="M929" i="7"/>
  <c r="L937" i="7"/>
  <c r="M937" i="7" s="1"/>
  <c r="O937" i="7" s="1"/>
  <c r="Q937" i="7"/>
  <c r="F937" i="7"/>
  <c r="P937" i="7"/>
  <c r="F935" i="7"/>
  <c r="L935" i="7"/>
  <c r="M935" i="7" s="1"/>
  <c r="P935" i="7"/>
  <c r="Q935" i="7"/>
  <c r="P934" i="7"/>
  <c r="Q934" i="7"/>
  <c r="L934" i="7"/>
  <c r="M934" i="7" s="1"/>
  <c r="O934" i="7" s="1"/>
  <c r="H936" i="7"/>
  <c r="F934" i="7"/>
  <c r="AJ558" i="7"/>
  <c r="AJ557" i="7"/>
  <c r="AJ556" i="7"/>
  <c r="AJ555" i="7"/>
  <c r="AJ554" i="7"/>
  <c r="AJ553" i="7"/>
  <c r="AJ551" i="7"/>
  <c r="AJ549" i="7"/>
  <c r="AJ547" i="7"/>
  <c r="AJ546" i="7"/>
  <c r="AH558" i="7"/>
  <c r="AH557" i="7"/>
  <c r="AH556" i="7"/>
  <c r="AH555" i="7"/>
  <c r="AH553" i="7"/>
  <c r="AF556" i="7"/>
  <c r="AF553" i="7"/>
  <c r="AH551" i="7"/>
  <c r="AH550" i="7"/>
  <c r="AH549" i="7"/>
  <c r="AH548" i="7"/>
  <c r="AH547" i="7"/>
  <c r="AH546" i="7"/>
  <c r="AF551" i="7"/>
  <c r="AF550" i="7"/>
  <c r="AF547" i="7"/>
  <c r="AF546" i="7"/>
  <c r="AF558" i="7"/>
  <c r="AF557" i="7"/>
  <c r="AF555" i="7"/>
  <c r="AF554" i="7"/>
  <c r="AF549" i="7"/>
  <c r="AF548" i="7"/>
  <c r="AD558" i="7"/>
  <c r="AD557" i="7"/>
  <c r="AD556" i="7"/>
  <c r="AD555" i="7"/>
  <c r="AD554" i="7"/>
  <c r="AD553" i="7"/>
  <c r="AD551" i="7"/>
  <c r="AD550" i="7"/>
  <c r="AD549" i="7"/>
  <c r="AD548" i="7"/>
  <c r="AD547" i="7"/>
  <c r="AD546" i="7"/>
  <c r="AB558" i="7"/>
  <c r="AB557" i="7"/>
  <c r="AB556" i="7"/>
  <c r="AB555" i="7"/>
  <c r="AB554" i="7"/>
  <c r="AB553" i="7"/>
  <c r="AB551" i="7"/>
  <c r="AB550" i="7"/>
  <c r="AB549" i="7"/>
  <c r="AB548" i="7"/>
  <c r="AB547" i="7"/>
  <c r="AB546" i="7"/>
  <c r="Z558" i="7"/>
  <c r="Z557" i="7"/>
  <c r="Z556" i="7"/>
  <c r="Z555" i="7"/>
  <c r="Z554" i="7"/>
  <c r="Z553" i="7"/>
  <c r="Z551" i="7"/>
  <c r="Z550" i="7"/>
  <c r="Z549" i="7"/>
  <c r="Z548" i="7"/>
  <c r="Z547" i="7"/>
  <c r="Z546" i="7"/>
  <c r="X558" i="7"/>
  <c r="X557" i="7"/>
  <c r="X556" i="7"/>
  <c r="X555" i="7"/>
  <c r="X554" i="7"/>
  <c r="X553" i="7"/>
  <c r="X551" i="7"/>
  <c r="X550" i="7"/>
  <c r="X549" i="7"/>
  <c r="X548" i="7"/>
  <c r="X547" i="7"/>
  <c r="X546" i="7"/>
  <c r="V558" i="7"/>
  <c r="V557" i="7"/>
  <c r="V556" i="7"/>
  <c r="V555" i="7"/>
  <c r="V554" i="7"/>
  <c r="V553" i="7"/>
  <c r="V546" i="7"/>
  <c r="V551" i="7"/>
  <c r="J551" i="7"/>
  <c r="V550" i="7"/>
  <c r="J550" i="7"/>
  <c r="V549" i="7"/>
  <c r="H549" i="7"/>
  <c r="Q549" i="7"/>
  <c r="V547" i="7"/>
  <c r="J547" i="7"/>
  <c r="AH250" i="7"/>
  <c r="AF250" i="7"/>
  <c r="AD250" i="7"/>
  <c r="AB250" i="7"/>
  <c r="Z250" i="7"/>
  <c r="X250" i="7"/>
  <c r="V250" i="7"/>
  <c r="AH100" i="7"/>
  <c r="AH99" i="7"/>
  <c r="AF100" i="7"/>
  <c r="AF99" i="7"/>
  <c r="AD100" i="7"/>
  <c r="AD99" i="7"/>
  <c r="AB100" i="7"/>
  <c r="AB99" i="7"/>
  <c r="Z100" i="7"/>
  <c r="Z99" i="7"/>
  <c r="X100" i="7"/>
  <c r="X99" i="7"/>
  <c r="V100" i="7"/>
  <c r="V99" i="7"/>
  <c r="AE275" i="7"/>
  <c r="AE274" i="7"/>
  <c r="AC275" i="7"/>
  <c r="AC274" i="7"/>
  <c r="AA275" i="7"/>
  <c r="AA274" i="7"/>
  <c r="Y275" i="7"/>
  <c r="Y274" i="7"/>
  <c r="W275" i="7"/>
  <c r="H324" i="7"/>
  <c r="AG274" i="7"/>
  <c r="AI274" i="7"/>
  <c r="W274" i="7"/>
  <c r="AE125" i="7"/>
  <c r="AE124" i="7"/>
  <c r="AC125" i="7"/>
  <c r="AC124" i="7"/>
  <c r="AA125" i="7"/>
  <c r="AA124" i="7"/>
  <c r="Y125" i="7"/>
  <c r="Y124" i="7"/>
  <c r="W125" i="7"/>
  <c r="W124" i="7"/>
  <c r="AH473" i="7"/>
  <c r="AJ473" i="7"/>
  <c r="AF473" i="7"/>
  <c r="AD473" i="7"/>
  <c r="AB473" i="7"/>
  <c r="Z473" i="7"/>
  <c r="X473" i="7"/>
  <c r="AH103" i="7"/>
  <c r="AF103" i="7"/>
  <c r="AD103" i="7"/>
  <c r="AB103" i="7"/>
  <c r="Z103" i="7"/>
  <c r="X103" i="7"/>
  <c r="V103" i="7"/>
  <c r="AJ255" i="7"/>
  <c r="AJ254" i="7"/>
  <c r="AJ253" i="7"/>
  <c r="AJ252" i="7"/>
  <c r="AH255" i="7"/>
  <c r="AH254" i="7"/>
  <c r="AH253" i="7"/>
  <c r="AH252" i="7"/>
  <c r="AF255" i="7"/>
  <c r="AF254" i="7"/>
  <c r="AF253" i="7"/>
  <c r="AF252" i="7"/>
  <c r="AD255" i="7"/>
  <c r="AD254" i="7"/>
  <c r="AD253" i="7"/>
  <c r="AD252" i="7"/>
  <c r="AB255" i="7"/>
  <c r="AB254" i="7"/>
  <c r="AB253" i="7"/>
  <c r="AB252" i="7"/>
  <c r="Z255" i="7"/>
  <c r="Z254" i="7"/>
  <c r="Z253" i="7"/>
  <c r="Z252" i="7"/>
  <c r="X255" i="7"/>
  <c r="X254" i="7"/>
  <c r="X253" i="7"/>
  <c r="X252" i="7"/>
  <c r="V253" i="7"/>
  <c r="V252" i="7"/>
  <c r="V255" i="7"/>
  <c r="V254" i="7"/>
  <c r="AJ178" i="7"/>
  <c r="AJ177" i="7"/>
  <c r="AH178" i="7"/>
  <c r="AH177" i="7"/>
  <c r="AF178" i="7"/>
  <c r="AF177" i="7"/>
  <c r="AD178" i="7"/>
  <c r="AD177" i="7"/>
  <c r="AB178" i="7"/>
  <c r="AB177" i="7"/>
  <c r="Z178" i="7"/>
  <c r="Z177" i="7"/>
  <c r="X178" i="7"/>
  <c r="X177" i="7"/>
  <c r="V178" i="7"/>
  <c r="V177" i="7"/>
  <c r="F549" i="7"/>
  <c r="P549" i="7"/>
  <c r="L549" i="7"/>
  <c r="M549" i="7" s="1"/>
  <c r="L936" i="7"/>
  <c r="M936" i="7" s="1"/>
  <c r="P936" i="7"/>
  <c r="Q936" i="7"/>
  <c r="F936" i="7"/>
  <c r="H938" i="7"/>
  <c r="H939" i="7"/>
  <c r="F939" i="7"/>
  <c r="F938" i="7"/>
  <c r="AI125" i="7"/>
  <c r="AG125" i="7"/>
  <c r="AH125" i="7"/>
  <c r="AF125" i="7"/>
  <c r="AJ105" i="7"/>
  <c r="AH105" i="7"/>
  <c r="AF105" i="7"/>
  <c r="AJ104" i="7"/>
  <c r="AH104" i="7"/>
  <c r="AF104" i="7"/>
  <c r="AD105" i="7"/>
  <c r="AD104" i="7"/>
  <c r="AB105" i="7"/>
  <c r="AB104" i="7"/>
  <c r="Z105" i="7"/>
  <c r="Z104" i="7"/>
  <c r="X105" i="7"/>
  <c r="X104" i="7"/>
  <c r="V105" i="7"/>
  <c r="V104" i="7"/>
  <c r="AJ103" i="7"/>
  <c r="AJ102" i="7"/>
  <c r="AH102" i="7"/>
  <c r="AF102" i="7"/>
  <c r="AD102" i="7"/>
  <c r="AB102" i="7"/>
  <c r="Z102" i="7"/>
  <c r="X102" i="7"/>
  <c r="V102" i="7"/>
  <c r="AJ28" i="7"/>
  <c r="AJ27" i="7"/>
  <c r="AH28" i="7"/>
  <c r="AH27" i="7"/>
  <c r="AF28" i="7"/>
  <c r="AF27" i="7"/>
  <c r="AD28" i="7"/>
  <c r="AD27" i="7"/>
  <c r="AB28" i="7"/>
  <c r="AB27" i="7"/>
  <c r="Z28" i="7"/>
  <c r="Z27" i="7"/>
  <c r="X28" i="7"/>
  <c r="X27" i="7"/>
  <c r="V28" i="7"/>
  <c r="V27" i="7"/>
  <c r="W159" i="10"/>
  <c r="U159" i="10"/>
  <c r="W158" i="10"/>
  <c r="U158" i="10"/>
  <c r="W96" i="10"/>
  <c r="U96" i="10"/>
  <c r="W95" i="10"/>
  <c r="U95" i="10"/>
  <c r="W94" i="10"/>
  <c r="U94" i="10"/>
  <c r="W93" i="10"/>
  <c r="U93" i="10"/>
  <c r="W31" i="10"/>
  <c r="U31" i="10"/>
  <c r="W29" i="10"/>
  <c r="U29" i="10"/>
  <c r="U30" i="10"/>
  <c r="W30" i="10"/>
  <c r="W28" i="10"/>
  <c r="U28" i="10"/>
  <c r="Y92" i="5"/>
  <c r="Y93" i="5"/>
  <c r="W93" i="5"/>
  <c r="W92" i="5"/>
  <c r="U93" i="5"/>
  <c r="U92" i="5"/>
  <c r="U87" i="5"/>
  <c r="AH649" i="2"/>
  <c r="AH648" i="2"/>
  <c r="AF649" i="2"/>
  <c r="AF648" i="2"/>
  <c r="AD649" i="2"/>
  <c r="AD648" i="2"/>
  <c r="AB649" i="2"/>
  <c r="AB648" i="2"/>
  <c r="Z649" i="2"/>
  <c r="Z648" i="2"/>
  <c r="X649" i="2"/>
  <c r="X648" i="2"/>
  <c r="V649" i="2"/>
  <c r="V648" i="2"/>
  <c r="AH647" i="2"/>
  <c r="AH646" i="2"/>
  <c r="AF647" i="2"/>
  <c r="AF646" i="2"/>
  <c r="AD647" i="2"/>
  <c r="AD646" i="2"/>
  <c r="AB647" i="2"/>
  <c r="AB646" i="2"/>
  <c r="Z647" i="2"/>
  <c r="Z646" i="2"/>
  <c r="X647" i="2"/>
  <c r="X646" i="2"/>
  <c r="V647" i="2"/>
  <c r="V646" i="2"/>
  <c r="AH644" i="2"/>
  <c r="AF644" i="2"/>
  <c r="AD644" i="2"/>
  <c r="AB644" i="2"/>
  <c r="Z644" i="2"/>
  <c r="X644" i="2"/>
  <c r="V644" i="2"/>
  <c r="AI805" i="2"/>
  <c r="AH805" i="2"/>
  <c r="AG805" i="2"/>
  <c r="AF805" i="2"/>
  <c r="AE805" i="2"/>
  <c r="AD805" i="2"/>
  <c r="AC805" i="2"/>
  <c r="AB805" i="2"/>
  <c r="AH789" i="2"/>
  <c r="AF789" i="2"/>
  <c r="AD789" i="2"/>
  <c r="AB789" i="2"/>
  <c r="Z789" i="2"/>
  <c r="X789" i="2"/>
  <c r="AH790" i="2"/>
  <c r="AF790" i="2"/>
  <c r="AD790" i="2"/>
  <c r="AB790" i="2"/>
  <c r="Z790" i="2"/>
  <c r="X790" i="2"/>
  <c r="V790" i="2"/>
  <c r="AH791" i="2"/>
  <c r="AF791" i="2"/>
  <c r="AD791" i="2"/>
  <c r="AB791" i="2"/>
  <c r="Z791" i="2"/>
  <c r="X791" i="2"/>
  <c r="AH788" i="2"/>
  <c r="AH787" i="2"/>
  <c r="AH786" i="2"/>
  <c r="AH785" i="2"/>
  <c r="AH784" i="2"/>
  <c r="AH783" i="2"/>
  <c r="AF788" i="2"/>
  <c r="AF787" i="2"/>
  <c r="AF786" i="2"/>
  <c r="AF785" i="2"/>
  <c r="AF784" i="2"/>
  <c r="AF783" i="2"/>
  <c r="AD788" i="2"/>
  <c r="AD787" i="2"/>
  <c r="AD786" i="2"/>
  <c r="AD785" i="2"/>
  <c r="AD784" i="2"/>
  <c r="AD783" i="2"/>
  <c r="AB788" i="2"/>
  <c r="AB787" i="2"/>
  <c r="AB786" i="2"/>
  <c r="AB785" i="2"/>
  <c r="AB784" i="2"/>
  <c r="AB783" i="2"/>
  <c r="Z788" i="2"/>
  <c r="Z787" i="2"/>
  <c r="Z786" i="2"/>
  <c r="Z785" i="2"/>
  <c r="Z784" i="2"/>
  <c r="Z783" i="2"/>
  <c r="X788" i="2"/>
  <c r="X787" i="2"/>
  <c r="X786" i="2"/>
  <c r="X785" i="2"/>
  <c r="X784" i="2"/>
  <c r="X783" i="2"/>
  <c r="V791" i="2"/>
  <c r="V789" i="2"/>
  <c r="V788" i="2"/>
  <c r="V787" i="2"/>
  <c r="V786" i="2"/>
  <c r="V785" i="2"/>
  <c r="V784" i="2"/>
  <c r="V783" i="2"/>
  <c r="AH720" i="2"/>
  <c r="AH719" i="2"/>
  <c r="AF720" i="2"/>
  <c r="AF719" i="2"/>
  <c r="AD720" i="2"/>
  <c r="AD719" i="2"/>
  <c r="AB720" i="2"/>
  <c r="AB719" i="2"/>
  <c r="Z720" i="2"/>
  <c r="Z719" i="2"/>
  <c r="X720" i="2"/>
  <c r="X719" i="2"/>
  <c r="AH718" i="2"/>
  <c r="AH717" i="2"/>
  <c r="AF718" i="2"/>
  <c r="AF717" i="2"/>
  <c r="AD718" i="2"/>
  <c r="AD717" i="2"/>
  <c r="AB718" i="2"/>
  <c r="AB717" i="2"/>
  <c r="Z718" i="2"/>
  <c r="Z717" i="2"/>
  <c r="X718" i="2"/>
  <c r="X717" i="2"/>
  <c r="AH716" i="2"/>
  <c r="AH715" i="2"/>
  <c r="AH714" i="2"/>
  <c r="AF716" i="2"/>
  <c r="AF715" i="2"/>
  <c r="AF714" i="2"/>
  <c r="AD716" i="2"/>
  <c r="AD715" i="2"/>
  <c r="AD714" i="2"/>
  <c r="AB716" i="2"/>
  <c r="AB715" i="2"/>
  <c r="AB714" i="2"/>
  <c r="Z716" i="2"/>
  <c r="Z715" i="2"/>
  <c r="Z714" i="2"/>
  <c r="X716" i="2"/>
  <c r="X715" i="2"/>
  <c r="X714" i="2"/>
  <c r="V720" i="2"/>
  <c r="V719" i="2"/>
  <c r="V718" i="2"/>
  <c r="V717" i="2"/>
  <c r="V716" i="2"/>
  <c r="V715" i="2"/>
  <c r="V714" i="2"/>
  <c r="AH579" i="2"/>
  <c r="AH578" i="2"/>
  <c r="AH576" i="2"/>
  <c r="AH575" i="2"/>
  <c r="AF579" i="2"/>
  <c r="AF578" i="2"/>
  <c r="AF576" i="2"/>
  <c r="AF575" i="2"/>
  <c r="AD579" i="2"/>
  <c r="AD578" i="2"/>
  <c r="AD576" i="2"/>
  <c r="AD575" i="2"/>
  <c r="AB579" i="2"/>
  <c r="AB578" i="2"/>
  <c r="AB576" i="2"/>
  <c r="AB575" i="2"/>
  <c r="Z579" i="2"/>
  <c r="Z578" i="2"/>
  <c r="Z576" i="2"/>
  <c r="Z575" i="2"/>
  <c r="X579" i="2"/>
  <c r="X578" i="2"/>
  <c r="X576" i="2"/>
  <c r="X575" i="2"/>
  <c r="V579" i="2"/>
  <c r="V578" i="2"/>
  <c r="V576" i="2"/>
  <c r="V575" i="2"/>
  <c r="AH509" i="2"/>
  <c r="AH508" i="2"/>
  <c r="AH507" i="2"/>
  <c r="AH506" i="2"/>
  <c r="AF509" i="2"/>
  <c r="AF508" i="2"/>
  <c r="AF507" i="2"/>
  <c r="AF506" i="2"/>
  <c r="AD509" i="2"/>
  <c r="AD508" i="2"/>
  <c r="AD507" i="2"/>
  <c r="AD506" i="2"/>
  <c r="AB509" i="2"/>
  <c r="AB508" i="2"/>
  <c r="AB507" i="2"/>
  <c r="AB506" i="2"/>
  <c r="Z509" i="2"/>
  <c r="Z508" i="2"/>
  <c r="Z507" i="2"/>
  <c r="Z506" i="2"/>
  <c r="X509" i="2"/>
  <c r="X508" i="2"/>
  <c r="X507" i="2"/>
  <c r="X506" i="2"/>
  <c r="V509" i="2"/>
  <c r="V508" i="2"/>
  <c r="V507" i="2"/>
  <c r="V506" i="2"/>
  <c r="AH371" i="2"/>
  <c r="AH370" i="2"/>
  <c r="AH369" i="2"/>
  <c r="AH368" i="2"/>
  <c r="AF371" i="2"/>
  <c r="AF370" i="2"/>
  <c r="AF369" i="2"/>
  <c r="AF368" i="2"/>
  <c r="AD371" i="2"/>
  <c r="AD370" i="2"/>
  <c r="AD369" i="2"/>
  <c r="AD368" i="2"/>
  <c r="AB371" i="2"/>
  <c r="AB370" i="2"/>
  <c r="AB369" i="2"/>
  <c r="AB368" i="2"/>
  <c r="Z371" i="2"/>
  <c r="Z370" i="2"/>
  <c r="Z369" i="2"/>
  <c r="Z368" i="2"/>
  <c r="X371" i="2"/>
  <c r="X370" i="2"/>
  <c r="X369" i="2"/>
  <c r="X368" i="2"/>
  <c r="V371" i="2"/>
  <c r="V370" i="2"/>
  <c r="V369" i="2"/>
  <c r="V368" i="2"/>
  <c r="AH302" i="2"/>
  <c r="AH301" i="2"/>
  <c r="AH300" i="2"/>
  <c r="AH299" i="2"/>
  <c r="AF302" i="2"/>
  <c r="AF301" i="2"/>
  <c r="AF300" i="2"/>
  <c r="AF299" i="2"/>
  <c r="AD302" i="2"/>
  <c r="AD301" i="2"/>
  <c r="AD300" i="2"/>
  <c r="AD299" i="2"/>
  <c r="AB302" i="2"/>
  <c r="AB301" i="2"/>
  <c r="AB300" i="2"/>
  <c r="AB299" i="2"/>
  <c r="Z302" i="2"/>
  <c r="Z301" i="2"/>
  <c r="Z300" i="2"/>
  <c r="Z299" i="2"/>
  <c r="X302" i="2"/>
  <c r="X301" i="2"/>
  <c r="X300" i="2"/>
  <c r="X299" i="2"/>
  <c r="V302" i="2"/>
  <c r="V301" i="2"/>
  <c r="V300" i="2"/>
  <c r="V299" i="2"/>
  <c r="AH233" i="2"/>
  <c r="AH232" i="2"/>
  <c r="AH231" i="2"/>
  <c r="AH230" i="2"/>
  <c r="AF233" i="2"/>
  <c r="AF232" i="2"/>
  <c r="AF231" i="2"/>
  <c r="AF230" i="2"/>
  <c r="AD233" i="2"/>
  <c r="AD232" i="2"/>
  <c r="AD231" i="2"/>
  <c r="AD230" i="2"/>
  <c r="AB233" i="2"/>
  <c r="AB232" i="2"/>
  <c r="AB231" i="2"/>
  <c r="AB230" i="2"/>
  <c r="Z233" i="2"/>
  <c r="Z232" i="2"/>
  <c r="Z231" i="2"/>
  <c r="Z230" i="2"/>
  <c r="X233" i="2"/>
  <c r="X232" i="2"/>
  <c r="X231" i="2"/>
  <c r="X230" i="2"/>
  <c r="V233" i="2"/>
  <c r="V232" i="2"/>
  <c r="V230" i="2"/>
  <c r="V231" i="2"/>
  <c r="AH162" i="2"/>
  <c r="AF162" i="2"/>
  <c r="AD162" i="2"/>
  <c r="AB162" i="2"/>
  <c r="Z162" i="2"/>
  <c r="X162" i="2"/>
  <c r="V162" i="2"/>
  <c r="AH161" i="2"/>
  <c r="AF161" i="2"/>
  <c r="AD161" i="2"/>
  <c r="AB161" i="2"/>
  <c r="Z161" i="2"/>
  <c r="X161" i="2"/>
  <c r="V161" i="2"/>
  <c r="AH95" i="2"/>
  <c r="AH94" i="2"/>
  <c r="AH93" i="2"/>
  <c r="AH92" i="2"/>
  <c r="AF95" i="2"/>
  <c r="AF94" i="2"/>
  <c r="AF93" i="2"/>
  <c r="AF92" i="2"/>
  <c r="AD95" i="2"/>
  <c r="AD94" i="2"/>
  <c r="AD93" i="2"/>
  <c r="AD92" i="2"/>
  <c r="AB95" i="2"/>
  <c r="AB94" i="2"/>
  <c r="AB93" i="2"/>
  <c r="AB92" i="2"/>
  <c r="Z95" i="2"/>
  <c r="Z94" i="2"/>
  <c r="Z93" i="2"/>
  <c r="Z92" i="2"/>
  <c r="X95" i="2"/>
  <c r="X94" i="2"/>
  <c r="X93" i="2"/>
  <c r="X92" i="2"/>
  <c r="V95" i="2"/>
  <c r="V94" i="2"/>
  <c r="V92" i="2"/>
  <c r="V93" i="2"/>
  <c r="AH24" i="2"/>
  <c r="AF24" i="2"/>
  <c r="AD24" i="2"/>
  <c r="AB24" i="2"/>
  <c r="Z24" i="2"/>
  <c r="X24" i="2"/>
  <c r="V24" i="2"/>
  <c r="AH23" i="2"/>
  <c r="AF23" i="2"/>
  <c r="AD23" i="2"/>
  <c r="AB23" i="2"/>
  <c r="Z23" i="2"/>
  <c r="X23" i="2"/>
  <c r="V23" i="2"/>
  <c r="J472" i="7"/>
  <c r="V473" i="7"/>
  <c r="K406" i="7"/>
  <c r="M439" i="7"/>
  <c r="AE424" i="7"/>
  <c r="AD424" i="7"/>
  <c r="AC424" i="7"/>
  <c r="AB424" i="7"/>
  <c r="AA424" i="7"/>
  <c r="Z424" i="7"/>
  <c r="Y424" i="7"/>
  <c r="X424" i="7"/>
  <c r="W424" i="7"/>
  <c r="V424" i="7"/>
  <c r="AI424" i="7"/>
  <c r="AH424" i="7"/>
  <c r="AG424" i="7"/>
  <c r="AF424" i="7"/>
  <c r="AK424" i="7"/>
  <c r="AJ424" i="7"/>
  <c r="H406" i="7"/>
  <c r="F406" i="7"/>
  <c r="AJ403" i="7"/>
  <c r="AJ402" i="7"/>
  <c r="AJ398" i="7"/>
  <c r="AJ397" i="7"/>
  <c r="AJ396" i="7"/>
  <c r="AD403" i="7"/>
  <c r="AD402" i="7"/>
  <c r="AB403" i="7"/>
  <c r="AB402" i="7"/>
  <c r="Z403" i="7"/>
  <c r="Z402" i="7"/>
  <c r="X403" i="7"/>
  <c r="X402" i="7"/>
  <c r="X398" i="7"/>
  <c r="X397" i="7"/>
  <c r="X396" i="7"/>
  <c r="Z398" i="7"/>
  <c r="Z397" i="7"/>
  <c r="Z396" i="7"/>
  <c r="AB398" i="7"/>
  <c r="AB397" i="7"/>
  <c r="AB396" i="7"/>
  <c r="AD398" i="7"/>
  <c r="AD397" i="7"/>
  <c r="AD396" i="7"/>
  <c r="AH398" i="7"/>
  <c r="AH397" i="7"/>
  <c r="AH396" i="7"/>
  <c r="AH403" i="7"/>
  <c r="AH402" i="7"/>
  <c r="V398" i="7"/>
  <c r="V397" i="7"/>
  <c r="V396" i="7"/>
  <c r="V403" i="7"/>
  <c r="V402" i="7"/>
  <c r="AF403" i="7"/>
  <c r="AF402" i="7"/>
  <c r="AF398" i="7"/>
  <c r="AF397" i="7"/>
  <c r="AF396" i="7"/>
  <c r="J406" i="7"/>
  <c r="H398" i="7"/>
  <c r="Q398" i="7"/>
  <c r="Q324" i="7"/>
  <c r="B77" i="7"/>
  <c r="B132" i="10"/>
  <c r="B67" i="10"/>
  <c r="P80" i="6"/>
  <c r="P81" i="6"/>
  <c r="L98" i="6" s="1"/>
  <c r="P83" i="6"/>
  <c r="P84" i="6"/>
  <c r="P85" i="6"/>
  <c r="P86" i="6"/>
  <c r="P79" i="6"/>
  <c r="AH442" i="2"/>
  <c r="AH441" i="2"/>
  <c r="AH440" i="2"/>
  <c r="AF442" i="2"/>
  <c r="AF441" i="2"/>
  <c r="AF440" i="2"/>
  <c r="AD442" i="2"/>
  <c r="AD441" i="2"/>
  <c r="AD440" i="2"/>
  <c r="AB442" i="2"/>
  <c r="AB441" i="2"/>
  <c r="AB440" i="2"/>
  <c r="Z442" i="2"/>
  <c r="Z441" i="2"/>
  <c r="Z440" i="2"/>
  <c r="X442" i="2"/>
  <c r="X441" i="2"/>
  <c r="X440" i="2"/>
  <c r="V442" i="2"/>
  <c r="V441" i="2"/>
  <c r="V440" i="2"/>
  <c r="AH439" i="2"/>
  <c r="AH438" i="2"/>
  <c r="AF439" i="2"/>
  <c r="AF438" i="2"/>
  <c r="AD439" i="2"/>
  <c r="AD438" i="2"/>
  <c r="AB439" i="2"/>
  <c r="AB438" i="2"/>
  <c r="Z439" i="2"/>
  <c r="Z438" i="2"/>
  <c r="X439" i="2"/>
  <c r="X438" i="2"/>
  <c r="V439" i="2"/>
  <c r="V438" i="2"/>
  <c r="AH437" i="2"/>
  <c r="AF437" i="2"/>
  <c r="AD437" i="2"/>
  <c r="AB437" i="2"/>
  <c r="Z437" i="2"/>
  <c r="X437" i="2"/>
  <c r="V437" i="2"/>
  <c r="N406" i="7"/>
  <c r="O406" i="7" s="1"/>
  <c r="P406" i="7"/>
  <c r="L406" i="7"/>
  <c r="M406" i="7" s="1"/>
  <c r="Q406" i="7"/>
  <c r="B188" i="6"/>
  <c r="B126" i="6"/>
  <c r="B64" i="6"/>
  <c r="B65" i="5"/>
  <c r="B623" i="2"/>
  <c r="B554" i="2"/>
  <c r="B485" i="2"/>
  <c r="B416" i="2"/>
  <c r="B347" i="2"/>
  <c r="B278" i="2"/>
  <c r="B209" i="2"/>
  <c r="B140" i="2"/>
  <c r="B71" i="2"/>
  <c r="K54" i="2"/>
  <c r="K55" i="2"/>
  <c r="K56" i="2"/>
  <c r="K57" i="2"/>
  <c r="K59" i="2"/>
  <c r="K60" i="2"/>
  <c r="J322" i="7"/>
  <c r="AD274" i="7"/>
  <c r="AB274" i="7"/>
  <c r="Z274" i="7"/>
  <c r="X274" i="7"/>
  <c r="V274" i="7"/>
  <c r="AD124" i="7"/>
  <c r="AB124" i="7"/>
  <c r="Z124" i="7"/>
  <c r="X124" i="7"/>
  <c r="V124" i="7"/>
  <c r="AE49" i="7"/>
  <c r="AD49" i="7"/>
  <c r="AC49" i="7"/>
  <c r="AB49" i="7"/>
  <c r="AA49" i="7"/>
  <c r="Z49" i="7"/>
  <c r="Y49" i="7"/>
  <c r="X49" i="7"/>
  <c r="W49" i="7"/>
  <c r="V49" i="7"/>
  <c r="M814" i="7"/>
  <c r="AJ774" i="7"/>
  <c r="AH774" i="7"/>
  <c r="AF774" i="7"/>
  <c r="AD774" i="7"/>
  <c r="AB774" i="7"/>
  <c r="Z774" i="7"/>
  <c r="X774" i="7"/>
  <c r="V774" i="7"/>
  <c r="H774" i="7"/>
  <c r="Q774" i="7"/>
  <c r="H778" i="7"/>
  <c r="Q778" i="7"/>
  <c r="H321" i="7"/>
  <c r="K275" i="7"/>
  <c r="H171" i="7"/>
  <c r="Q171" i="7"/>
  <c r="H249" i="7"/>
  <c r="H246" i="7"/>
  <c r="L246" i="7"/>
  <c r="M246" i="7" s="1"/>
  <c r="O246" i="7" s="1"/>
  <c r="H167" i="7"/>
  <c r="P167" i="7"/>
  <c r="AK199" i="7"/>
  <c r="AJ171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AH172" i="7"/>
  <c r="AH171" i="7"/>
  <c r="AF172" i="7"/>
  <c r="AF171" i="7"/>
  <c r="AD172" i="7"/>
  <c r="AD171" i="7"/>
  <c r="AB172" i="7"/>
  <c r="AB171" i="7"/>
  <c r="Z172" i="7"/>
  <c r="Z171" i="7"/>
  <c r="X172" i="7"/>
  <c r="X171" i="7"/>
  <c r="V172" i="7"/>
  <c r="V171" i="7"/>
  <c r="N823" i="7"/>
  <c r="N822" i="7"/>
  <c r="N816" i="7"/>
  <c r="K816" i="7"/>
  <c r="N815" i="7"/>
  <c r="K815" i="7"/>
  <c r="N814" i="7"/>
  <c r="K814" i="7"/>
  <c r="N813" i="7"/>
  <c r="K813" i="7"/>
  <c r="N812" i="7"/>
  <c r="K812" i="7"/>
  <c r="N811" i="7"/>
  <c r="K811" i="7"/>
  <c r="N810" i="7"/>
  <c r="K810" i="7"/>
  <c r="M808" i="7"/>
  <c r="N807" i="7"/>
  <c r="O807" i="7"/>
  <c r="O808" i="7"/>
  <c r="K807" i="7"/>
  <c r="AH787" i="7"/>
  <c r="AF787" i="7"/>
  <c r="AD787" i="7"/>
  <c r="AB787" i="7"/>
  <c r="Z787" i="7"/>
  <c r="X787" i="7"/>
  <c r="V787" i="7"/>
  <c r="J787" i="7"/>
  <c r="H787" i="7"/>
  <c r="L787" i="7"/>
  <c r="M787" i="7" s="1"/>
  <c r="AJ786" i="7"/>
  <c r="AH786" i="7"/>
  <c r="AF786" i="7"/>
  <c r="AD786" i="7"/>
  <c r="AB786" i="7"/>
  <c r="Z786" i="7"/>
  <c r="X786" i="7"/>
  <c r="V786" i="7"/>
  <c r="J786" i="7"/>
  <c r="H786" i="7"/>
  <c r="F786" i="7"/>
  <c r="AJ785" i="7"/>
  <c r="AH785" i="7"/>
  <c r="AF785" i="7"/>
  <c r="AD785" i="7"/>
  <c r="AB785" i="7"/>
  <c r="Z785" i="7"/>
  <c r="X785" i="7"/>
  <c r="V785" i="7"/>
  <c r="J785" i="7"/>
  <c r="H785" i="7"/>
  <c r="AJ784" i="7"/>
  <c r="AH784" i="7"/>
  <c r="AF784" i="7"/>
  <c r="AD784" i="7"/>
  <c r="AB784" i="7"/>
  <c r="Z784" i="7"/>
  <c r="X784" i="7"/>
  <c r="V784" i="7"/>
  <c r="J784" i="7"/>
  <c r="H784" i="7"/>
  <c r="Q784" i="7"/>
  <c r="H779" i="7"/>
  <c r="H775" i="7"/>
  <c r="L775" i="7"/>
  <c r="M775" i="7" s="1"/>
  <c r="H773" i="7"/>
  <c r="F773" i="7"/>
  <c r="H771" i="7"/>
  <c r="L771" i="7"/>
  <c r="H767" i="7"/>
  <c r="Q767" i="7"/>
  <c r="J774" i="7"/>
  <c r="M752" i="7"/>
  <c r="M43" i="1"/>
  <c r="K752" i="7"/>
  <c r="L43" i="1"/>
  <c r="N973" i="7"/>
  <c r="N972" i="7"/>
  <c r="N966" i="7"/>
  <c r="K966" i="7"/>
  <c r="N965" i="7"/>
  <c r="K965" i="7"/>
  <c r="N964" i="7"/>
  <c r="M964" i="7"/>
  <c r="K964" i="7"/>
  <c r="N963" i="7"/>
  <c r="K963" i="7"/>
  <c r="N962" i="7"/>
  <c r="K962" i="7"/>
  <c r="N961" i="7"/>
  <c r="K961" i="7"/>
  <c r="N960" i="7"/>
  <c r="K960" i="7"/>
  <c r="M958" i="7"/>
  <c r="N957" i="7"/>
  <c r="O957" i="7"/>
  <c r="O958" i="7"/>
  <c r="K957" i="7"/>
  <c r="AH943" i="7"/>
  <c r="AF943" i="7"/>
  <c r="AD943" i="7"/>
  <c r="AB943" i="7"/>
  <c r="Z943" i="7"/>
  <c r="X943" i="7"/>
  <c r="V943" i="7"/>
  <c r="J943" i="7"/>
  <c r="AJ942" i="7"/>
  <c r="AH942" i="7"/>
  <c r="AF942" i="7"/>
  <c r="AD942" i="7"/>
  <c r="AB942" i="7"/>
  <c r="Z942" i="7"/>
  <c r="X942" i="7"/>
  <c r="V942" i="7"/>
  <c r="J942" i="7"/>
  <c r="Q942" i="7"/>
  <c r="AJ941" i="7"/>
  <c r="AH941" i="7"/>
  <c r="AF941" i="7"/>
  <c r="AD941" i="7"/>
  <c r="AB941" i="7"/>
  <c r="Z941" i="7"/>
  <c r="X941" i="7"/>
  <c r="V941" i="7"/>
  <c r="J941" i="7"/>
  <c r="Q941" i="7"/>
  <c r="AJ940" i="7"/>
  <c r="AH940" i="7"/>
  <c r="AF940" i="7"/>
  <c r="AD940" i="7"/>
  <c r="AB940" i="7"/>
  <c r="Z940" i="7"/>
  <c r="X940" i="7"/>
  <c r="V940" i="7"/>
  <c r="J940" i="7"/>
  <c r="L940" i="7"/>
  <c r="M940" i="7" s="1"/>
  <c r="Q940" i="7"/>
  <c r="Q938" i="7"/>
  <c r="Q924" i="7"/>
  <c r="H917" i="7"/>
  <c r="Q917" i="7"/>
  <c r="M915" i="7"/>
  <c r="M914" i="7"/>
  <c r="M902" i="7"/>
  <c r="M45" i="1"/>
  <c r="K902" i="7"/>
  <c r="L45" i="1"/>
  <c r="N898" i="7"/>
  <c r="N897" i="7"/>
  <c r="N891" i="7"/>
  <c r="K891" i="7"/>
  <c r="N890" i="7"/>
  <c r="K890" i="7"/>
  <c r="N889" i="7"/>
  <c r="M889" i="7"/>
  <c r="K889" i="7"/>
  <c r="N888" i="7"/>
  <c r="K888" i="7"/>
  <c r="N887" i="7"/>
  <c r="K887" i="7"/>
  <c r="N886" i="7"/>
  <c r="K886" i="7"/>
  <c r="N885" i="7"/>
  <c r="K885" i="7"/>
  <c r="M883" i="7"/>
  <c r="N882" i="7"/>
  <c r="O882" i="7"/>
  <c r="O883" i="7"/>
  <c r="K882" i="7"/>
  <c r="AH864" i="7"/>
  <c r="AF864" i="7"/>
  <c r="AD864" i="7"/>
  <c r="AB864" i="7"/>
  <c r="Z864" i="7"/>
  <c r="X864" i="7"/>
  <c r="V864" i="7"/>
  <c r="J864" i="7"/>
  <c r="H864" i="7"/>
  <c r="Q864" i="7"/>
  <c r="AJ863" i="7"/>
  <c r="AH863" i="7"/>
  <c r="AF863" i="7"/>
  <c r="AD863" i="7"/>
  <c r="AB863" i="7"/>
  <c r="Z863" i="7"/>
  <c r="X863" i="7"/>
  <c r="V863" i="7"/>
  <c r="J863" i="7"/>
  <c r="H863" i="7"/>
  <c r="P863" i="7"/>
  <c r="AJ862" i="7"/>
  <c r="AH862" i="7"/>
  <c r="AF862" i="7"/>
  <c r="AD862" i="7"/>
  <c r="AB862" i="7"/>
  <c r="Z862" i="7"/>
  <c r="X862" i="7"/>
  <c r="V862" i="7"/>
  <c r="J862" i="7"/>
  <c r="H862" i="7"/>
  <c r="Q862" i="7"/>
  <c r="AJ861" i="7"/>
  <c r="AH861" i="7"/>
  <c r="AF861" i="7"/>
  <c r="AD861" i="7"/>
  <c r="AB861" i="7"/>
  <c r="Z861" i="7"/>
  <c r="X861" i="7"/>
  <c r="V861" i="7"/>
  <c r="J861" i="7"/>
  <c r="H861" i="7"/>
  <c r="H854" i="7"/>
  <c r="H855" i="7"/>
  <c r="H850" i="7"/>
  <c r="Q850" i="7"/>
  <c r="H848" i="7"/>
  <c r="H846" i="7"/>
  <c r="F846" i="7"/>
  <c r="H842" i="7"/>
  <c r="M840" i="7"/>
  <c r="M839" i="7"/>
  <c r="J843" i="7"/>
  <c r="J848" i="7"/>
  <c r="M827" i="7"/>
  <c r="M44" i="1"/>
  <c r="K827" i="7"/>
  <c r="L44" i="1"/>
  <c r="N748" i="7"/>
  <c r="N747" i="7"/>
  <c r="N741" i="7"/>
  <c r="K741" i="7"/>
  <c r="N740" i="7"/>
  <c r="K740" i="7"/>
  <c r="N739" i="7"/>
  <c r="K739" i="7"/>
  <c r="N738" i="7"/>
  <c r="K738" i="7"/>
  <c r="N737" i="7"/>
  <c r="K737" i="7"/>
  <c r="N736" i="7"/>
  <c r="K736" i="7"/>
  <c r="N735" i="7"/>
  <c r="K735" i="7"/>
  <c r="M733" i="7"/>
  <c r="N732" i="7"/>
  <c r="O732" i="7"/>
  <c r="O733" i="7"/>
  <c r="K732" i="7"/>
  <c r="AH712" i="7"/>
  <c r="AF712" i="7"/>
  <c r="AD712" i="7"/>
  <c r="AB712" i="7"/>
  <c r="Z712" i="7"/>
  <c r="X712" i="7"/>
  <c r="V712" i="7"/>
  <c r="J712" i="7"/>
  <c r="H712" i="7"/>
  <c r="Q712" i="7"/>
  <c r="AJ711" i="7"/>
  <c r="AH711" i="7"/>
  <c r="AF711" i="7"/>
  <c r="AD711" i="7"/>
  <c r="AB711" i="7"/>
  <c r="Z711" i="7"/>
  <c r="X711" i="7"/>
  <c r="V711" i="7"/>
  <c r="J711" i="7"/>
  <c r="H711" i="7"/>
  <c r="Q711" i="7"/>
  <c r="AJ710" i="7"/>
  <c r="AH710" i="7"/>
  <c r="AF710" i="7"/>
  <c r="AD710" i="7"/>
  <c r="AB710" i="7"/>
  <c r="Z710" i="7"/>
  <c r="X710" i="7"/>
  <c r="V710" i="7"/>
  <c r="J710" i="7"/>
  <c r="H710" i="7"/>
  <c r="Q710" i="7"/>
  <c r="AJ709" i="7"/>
  <c r="AH709" i="7"/>
  <c r="AF709" i="7"/>
  <c r="AD709" i="7"/>
  <c r="AB709" i="7"/>
  <c r="Z709" i="7"/>
  <c r="X709" i="7"/>
  <c r="V709" i="7"/>
  <c r="J709" i="7"/>
  <c r="H709" i="7"/>
  <c r="Q709" i="7"/>
  <c r="H703" i="7"/>
  <c r="H704" i="7"/>
  <c r="H700" i="7"/>
  <c r="Q700" i="7"/>
  <c r="H698" i="7"/>
  <c r="Q698" i="7"/>
  <c r="H696" i="7"/>
  <c r="H692" i="7"/>
  <c r="F692" i="7"/>
  <c r="M690" i="7"/>
  <c r="M689" i="7"/>
  <c r="J698" i="7"/>
  <c r="M677" i="7"/>
  <c r="M42" i="1"/>
  <c r="K677" i="7"/>
  <c r="L42" i="1"/>
  <c r="N673" i="7"/>
  <c r="N672" i="7"/>
  <c r="N666" i="7"/>
  <c r="K666" i="7"/>
  <c r="N665" i="7"/>
  <c r="K665" i="7"/>
  <c r="N664" i="7"/>
  <c r="M664" i="7"/>
  <c r="K664" i="7"/>
  <c r="N663" i="7"/>
  <c r="K663" i="7"/>
  <c r="N662" i="7"/>
  <c r="K662" i="7"/>
  <c r="N661" i="7"/>
  <c r="K661" i="7"/>
  <c r="N660" i="7"/>
  <c r="K660" i="7"/>
  <c r="M658" i="7"/>
  <c r="N657" i="7"/>
  <c r="O657" i="7"/>
  <c r="O658" i="7"/>
  <c r="K657" i="7"/>
  <c r="K650" i="7"/>
  <c r="AH635" i="7"/>
  <c r="AF635" i="7"/>
  <c r="AD635" i="7"/>
  <c r="AB635" i="7"/>
  <c r="Z635" i="7"/>
  <c r="X635" i="7"/>
  <c r="V635" i="7"/>
  <c r="J635" i="7"/>
  <c r="H635" i="7"/>
  <c r="Q635" i="7"/>
  <c r="AJ634" i="7"/>
  <c r="AH634" i="7"/>
  <c r="AF634" i="7"/>
  <c r="AD634" i="7"/>
  <c r="AB634" i="7"/>
  <c r="Z634" i="7"/>
  <c r="X634" i="7"/>
  <c r="V634" i="7"/>
  <c r="J634" i="7"/>
  <c r="H634" i="7"/>
  <c r="Q634" i="7"/>
  <c r="AJ633" i="7"/>
  <c r="AH633" i="7"/>
  <c r="AF633" i="7"/>
  <c r="AD633" i="7"/>
  <c r="AB633" i="7"/>
  <c r="Z633" i="7"/>
  <c r="X633" i="7"/>
  <c r="V633" i="7"/>
  <c r="J633" i="7"/>
  <c r="H633" i="7"/>
  <c r="Q633" i="7"/>
  <c r="AJ632" i="7"/>
  <c r="AH632" i="7"/>
  <c r="AF632" i="7"/>
  <c r="AD632" i="7"/>
  <c r="AB632" i="7"/>
  <c r="Z632" i="7"/>
  <c r="X632" i="7"/>
  <c r="V632" i="7"/>
  <c r="J632" i="7"/>
  <c r="H632" i="7"/>
  <c r="L632" i="7"/>
  <c r="M632" i="7" s="1"/>
  <c r="H628" i="7"/>
  <c r="J625" i="7"/>
  <c r="H625" i="7"/>
  <c r="P625" i="7"/>
  <c r="H623" i="7"/>
  <c r="Q623" i="7"/>
  <c r="H621" i="7"/>
  <c r="H617" i="7"/>
  <c r="M615" i="7"/>
  <c r="M614" i="7"/>
  <c r="J624" i="7"/>
  <c r="J617" i="7"/>
  <c r="M602" i="7"/>
  <c r="M41" i="1"/>
  <c r="K602" i="7"/>
  <c r="L41" i="1"/>
  <c r="N598" i="7"/>
  <c r="N597" i="7"/>
  <c r="N591" i="7"/>
  <c r="K591" i="7"/>
  <c r="N590" i="7"/>
  <c r="K590" i="7"/>
  <c r="N589" i="7"/>
  <c r="M589" i="7"/>
  <c r="K589" i="7"/>
  <c r="N588" i="7"/>
  <c r="K588" i="7"/>
  <c r="N587" i="7"/>
  <c r="K587" i="7"/>
  <c r="N586" i="7"/>
  <c r="K586" i="7"/>
  <c r="N585" i="7"/>
  <c r="K585" i="7"/>
  <c r="M583" i="7"/>
  <c r="N582" i="7"/>
  <c r="O582" i="7"/>
  <c r="O583" i="7"/>
  <c r="K582" i="7"/>
  <c r="K575" i="7"/>
  <c r="AH562" i="7"/>
  <c r="AF562" i="7"/>
  <c r="AD562" i="7"/>
  <c r="AB562" i="7"/>
  <c r="Z562" i="7"/>
  <c r="X562" i="7"/>
  <c r="V562" i="7"/>
  <c r="J562" i="7"/>
  <c r="H562" i="7"/>
  <c r="Q562" i="7"/>
  <c r="AJ561" i="7"/>
  <c r="AH561" i="7"/>
  <c r="AF561" i="7"/>
  <c r="AD561" i="7"/>
  <c r="AB561" i="7"/>
  <c r="Z561" i="7"/>
  <c r="X561" i="7"/>
  <c r="V561" i="7"/>
  <c r="J561" i="7"/>
  <c r="H561" i="7"/>
  <c r="Q561" i="7"/>
  <c r="AJ560" i="7"/>
  <c r="AH560" i="7"/>
  <c r="AF560" i="7"/>
  <c r="AD560" i="7"/>
  <c r="AB560" i="7"/>
  <c r="Z560" i="7"/>
  <c r="X560" i="7"/>
  <c r="V560" i="7"/>
  <c r="J560" i="7"/>
  <c r="H560" i="7"/>
  <c r="Q560" i="7"/>
  <c r="AJ559" i="7"/>
  <c r="AH559" i="7"/>
  <c r="AF559" i="7"/>
  <c r="AD559" i="7"/>
  <c r="AB559" i="7"/>
  <c r="Z559" i="7"/>
  <c r="X559" i="7"/>
  <c r="V559" i="7"/>
  <c r="J559" i="7"/>
  <c r="H559" i="7"/>
  <c r="Q559" i="7"/>
  <c r="H553" i="7"/>
  <c r="F553" i="7"/>
  <c r="AJ550" i="7"/>
  <c r="H550" i="7"/>
  <c r="P550" i="7"/>
  <c r="AJ548" i="7"/>
  <c r="V548" i="7"/>
  <c r="H548" i="7"/>
  <c r="Q548" i="7"/>
  <c r="H546" i="7"/>
  <c r="H542" i="7"/>
  <c r="F542" i="7"/>
  <c r="M540" i="7"/>
  <c r="M539" i="7"/>
  <c r="J543" i="7"/>
  <c r="J548" i="7"/>
  <c r="M527" i="7"/>
  <c r="M40" i="1"/>
  <c r="K527" i="7"/>
  <c r="L40" i="1"/>
  <c r="N523" i="7"/>
  <c r="N522" i="7"/>
  <c r="N516" i="7"/>
  <c r="K516" i="7"/>
  <c r="N515" i="7"/>
  <c r="K515" i="7"/>
  <c r="N514" i="7"/>
  <c r="M514" i="7"/>
  <c r="K514" i="7"/>
  <c r="N513" i="7"/>
  <c r="K513" i="7"/>
  <c r="N512" i="7"/>
  <c r="K512" i="7"/>
  <c r="N511" i="7"/>
  <c r="K511" i="7"/>
  <c r="N510" i="7"/>
  <c r="K510" i="7"/>
  <c r="M508" i="7"/>
  <c r="N507" i="7"/>
  <c r="O507" i="7"/>
  <c r="O508" i="7"/>
  <c r="K507" i="7"/>
  <c r="AH484" i="7"/>
  <c r="AF484" i="7"/>
  <c r="AD484" i="7"/>
  <c r="AB484" i="7"/>
  <c r="Z484" i="7"/>
  <c r="X484" i="7"/>
  <c r="V484" i="7"/>
  <c r="J484" i="7"/>
  <c r="H484" i="7"/>
  <c r="P484" i="7"/>
  <c r="AJ483" i="7"/>
  <c r="AH483" i="7"/>
  <c r="AF483" i="7"/>
  <c r="AD483" i="7"/>
  <c r="AB483" i="7"/>
  <c r="Z483" i="7"/>
  <c r="X483" i="7"/>
  <c r="V483" i="7"/>
  <c r="J483" i="7"/>
  <c r="H483" i="7"/>
  <c r="P483" i="7"/>
  <c r="AJ482" i="7"/>
  <c r="AH482" i="7"/>
  <c r="AF482" i="7"/>
  <c r="AD482" i="7"/>
  <c r="AB482" i="7"/>
  <c r="Z482" i="7"/>
  <c r="X482" i="7"/>
  <c r="V482" i="7"/>
  <c r="J482" i="7"/>
  <c r="H482" i="7"/>
  <c r="Q482" i="7"/>
  <c r="AJ481" i="7"/>
  <c r="AH481" i="7"/>
  <c r="AF481" i="7"/>
  <c r="AD481" i="7"/>
  <c r="AB481" i="7"/>
  <c r="Z481" i="7"/>
  <c r="X481" i="7"/>
  <c r="V481" i="7"/>
  <c r="J481" i="7"/>
  <c r="H481" i="7"/>
  <c r="P481" i="7"/>
  <c r="H477" i="7"/>
  <c r="F477" i="7"/>
  <c r="H474" i="7"/>
  <c r="P474" i="7"/>
  <c r="H473" i="7"/>
  <c r="Q473" i="7"/>
  <c r="H471" i="7"/>
  <c r="L471" i="7"/>
  <c r="H467" i="7"/>
  <c r="Q467" i="7"/>
  <c r="M465" i="7"/>
  <c r="M464" i="7"/>
  <c r="J468" i="7"/>
  <c r="J467" i="7"/>
  <c r="M452" i="7"/>
  <c r="M39" i="1"/>
  <c r="K452" i="7"/>
  <c r="L39" i="1"/>
  <c r="N448" i="7"/>
  <c r="N447" i="7"/>
  <c r="N441" i="7"/>
  <c r="K441" i="7"/>
  <c r="N440" i="7"/>
  <c r="K440" i="7"/>
  <c r="N439" i="7"/>
  <c r="K439" i="7"/>
  <c r="N438" i="7"/>
  <c r="K438" i="7"/>
  <c r="N437" i="7"/>
  <c r="K437" i="7"/>
  <c r="N436" i="7"/>
  <c r="K436" i="7"/>
  <c r="N435" i="7"/>
  <c r="K435" i="7"/>
  <c r="M433" i="7"/>
  <c r="N432" i="7"/>
  <c r="O432" i="7"/>
  <c r="O433" i="7"/>
  <c r="K432" i="7"/>
  <c r="AJ406" i="7"/>
  <c r="AJ405" i="7"/>
  <c r="AH405" i="7"/>
  <c r="AF405" i="7"/>
  <c r="AD405" i="7"/>
  <c r="AB405" i="7"/>
  <c r="Z405" i="7"/>
  <c r="X405" i="7"/>
  <c r="V405" i="7"/>
  <c r="H405" i="7"/>
  <c r="P405" i="7"/>
  <c r="AJ404" i="7"/>
  <c r="AH404" i="7"/>
  <c r="AF404" i="7"/>
  <c r="AD404" i="7"/>
  <c r="AB404" i="7"/>
  <c r="Z404" i="7"/>
  <c r="J404" i="7"/>
  <c r="X404" i="7"/>
  <c r="V404" i="7"/>
  <c r="H404" i="7"/>
  <c r="Q404" i="7"/>
  <c r="K402" i="7"/>
  <c r="H402" i="7"/>
  <c r="Q402" i="7"/>
  <c r="H396" i="7"/>
  <c r="Q396" i="7"/>
  <c r="H392" i="7"/>
  <c r="Q392" i="7"/>
  <c r="M390" i="7"/>
  <c r="M389" i="7"/>
  <c r="M380" i="7"/>
  <c r="J393" i="7"/>
  <c r="M379" i="7"/>
  <c r="J392" i="7"/>
  <c r="M377" i="7"/>
  <c r="M38" i="1"/>
  <c r="K377" i="7"/>
  <c r="L38" i="1"/>
  <c r="N373" i="7"/>
  <c r="N372" i="7"/>
  <c r="N366" i="7"/>
  <c r="K366" i="7"/>
  <c r="N365" i="7"/>
  <c r="K365" i="7"/>
  <c r="N364" i="7"/>
  <c r="M364" i="7"/>
  <c r="K364" i="7"/>
  <c r="N363" i="7"/>
  <c r="K363" i="7"/>
  <c r="N362" i="7"/>
  <c r="K362" i="7"/>
  <c r="N361" i="7"/>
  <c r="K361" i="7"/>
  <c r="N360" i="7"/>
  <c r="K360" i="7"/>
  <c r="M358" i="7"/>
  <c r="N357" i="7"/>
  <c r="O357" i="7"/>
  <c r="O358" i="7"/>
  <c r="K357" i="7"/>
  <c r="J349" i="7"/>
  <c r="AH334" i="7"/>
  <c r="AF334" i="7"/>
  <c r="AD334" i="7"/>
  <c r="AB334" i="7"/>
  <c r="Z334" i="7"/>
  <c r="X334" i="7"/>
  <c r="V334" i="7"/>
  <c r="J334" i="7"/>
  <c r="H334" i="7"/>
  <c r="Q334" i="7"/>
  <c r="AJ333" i="7"/>
  <c r="AH333" i="7"/>
  <c r="AF333" i="7"/>
  <c r="AD333" i="7"/>
  <c r="AB333" i="7"/>
  <c r="Z333" i="7"/>
  <c r="X333" i="7"/>
  <c r="V333" i="7"/>
  <c r="J333" i="7"/>
  <c r="H333" i="7"/>
  <c r="P333" i="7"/>
  <c r="AJ332" i="7"/>
  <c r="AH332" i="7"/>
  <c r="AF332" i="7"/>
  <c r="AD332" i="7"/>
  <c r="AB332" i="7"/>
  <c r="Z332" i="7"/>
  <c r="X332" i="7"/>
  <c r="V332" i="7"/>
  <c r="J332" i="7"/>
  <c r="H332" i="7"/>
  <c r="Q332" i="7"/>
  <c r="AJ331" i="7"/>
  <c r="AH331" i="7"/>
  <c r="AF331" i="7"/>
  <c r="AD331" i="7"/>
  <c r="AB331" i="7"/>
  <c r="Z331" i="7"/>
  <c r="X331" i="7"/>
  <c r="V331" i="7"/>
  <c r="J331" i="7"/>
  <c r="H331" i="7"/>
  <c r="F331" i="7"/>
  <c r="H327" i="7"/>
  <c r="L324" i="7"/>
  <c r="M324" i="7" s="1"/>
  <c r="H325" i="7"/>
  <c r="Q325" i="7"/>
  <c r="F324" i="7"/>
  <c r="H323" i="7"/>
  <c r="H317" i="7"/>
  <c r="Q317" i="7"/>
  <c r="M315" i="7"/>
  <c r="M314" i="7"/>
  <c r="J318" i="7"/>
  <c r="M302" i="7"/>
  <c r="M37" i="1"/>
  <c r="K302" i="7"/>
  <c r="L37" i="1"/>
  <c r="N298" i="7"/>
  <c r="N297" i="7"/>
  <c r="N291" i="7"/>
  <c r="K291" i="7"/>
  <c r="N290" i="7"/>
  <c r="K290" i="7"/>
  <c r="N289" i="7"/>
  <c r="K289" i="7"/>
  <c r="N288" i="7"/>
  <c r="K288" i="7"/>
  <c r="N287" i="7"/>
  <c r="K287" i="7"/>
  <c r="N286" i="7"/>
  <c r="K286" i="7"/>
  <c r="N285" i="7"/>
  <c r="K285" i="7"/>
  <c r="M283" i="7"/>
  <c r="N282" i="7"/>
  <c r="O282" i="7"/>
  <c r="O283" i="7"/>
  <c r="K282" i="7"/>
  <c r="AK275" i="7"/>
  <c r="AJ275" i="7"/>
  <c r="AD275" i="7"/>
  <c r="AB275" i="7"/>
  <c r="Z275" i="7"/>
  <c r="X275" i="7"/>
  <c r="V275" i="7"/>
  <c r="AK274" i="7"/>
  <c r="AJ274" i="7"/>
  <c r="AH274" i="7"/>
  <c r="AF274" i="7"/>
  <c r="AH259" i="7"/>
  <c r="AF259" i="7"/>
  <c r="AD259" i="7"/>
  <c r="AB259" i="7"/>
  <c r="Z259" i="7"/>
  <c r="X259" i="7"/>
  <c r="V259" i="7"/>
  <c r="J259" i="7"/>
  <c r="H259" i="7"/>
  <c r="Q259" i="7"/>
  <c r="AJ258" i="7"/>
  <c r="AH258" i="7"/>
  <c r="AF258" i="7"/>
  <c r="AD258" i="7"/>
  <c r="AB258" i="7"/>
  <c r="Z258" i="7"/>
  <c r="X258" i="7"/>
  <c r="V258" i="7"/>
  <c r="J258" i="7"/>
  <c r="H258" i="7"/>
  <c r="Q258" i="7"/>
  <c r="AJ257" i="7"/>
  <c r="AH257" i="7"/>
  <c r="AF257" i="7"/>
  <c r="AD257" i="7"/>
  <c r="AB257" i="7"/>
  <c r="Z257" i="7"/>
  <c r="X257" i="7"/>
  <c r="V257" i="7"/>
  <c r="J257" i="7"/>
  <c r="H257" i="7"/>
  <c r="Q257" i="7"/>
  <c r="AJ256" i="7"/>
  <c r="AH256" i="7"/>
  <c r="AF256" i="7"/>
  <c r="AD256" i="7"/>
  <c r="AB256" i="7"/>
  <c r="Z256" i="7"/>
  <c r="X256" i="7"/>
  <c r="V256" i="7"/>
  <c r="J256" i="7"/>
  <c r="H256" i="7"/>
  <c r="F256" i="7"/>
  <c r="H252" i="7"/>
  <c r="Q252" i="7"/>
  <c r="AJ250" i="7"/>
  <c r="AJ249" i="7"/>
  <c r="AH249" i="7"/>
  <c r="AF249" i="7"/>
  <c r="AD249" i="7"/>
  <c r="AB249" i="7"/>
  <c r="Z249" i="7"/>
  <c r="X249" i="7"/>
  <c r="V249" i="7"/>
  <c r="J249" i="7"/>
  <c r="AJ248" i="7"/>
  <c r="AH248" i="7"/>
  <c r="AF248" i="7"/>
  <c r="AD248" i="7"/>
  <c r="AB248" i="7"/>
  <c r="Z248" i="7"/>
  <c r="X248" i="7"/>
  <c r="V248" i="7"/>
  <c r="H248" i="7"/>
  <c r="Q248" i="7"/>
  <c r="AJ247" i="7"/>
  <c r="AH247" i="7"/>
  <c r="AF247" i="7"/>
  <c r="AD247" i="7"/>
  <c r="AB247" i="7"/>
  <c r="Z247" i="7"/>
  <c r="X247" i="7"/>
  <c r="V247" i="7"/>
  <c r="AJ246" i="7"/>
  <c r="AH246" i="7"/>
  <c r="AF246" i="7"/>
  <c r="AD246" i="7"/>
  <c r="AB246" i="7"/>
  <c r="Z246" i="7"/>
  <c r="X246" i="7"/>
  <c r="V246" i="7"/>
  <c r="H242" i="7"/>
  <c r="Q242" i="7"/>
  <c r="M240" i="7"/>
  <c r="M239" i="7"/>
  <c r="J243" i="7"/>
  <c r="J242" i="7"/>
  <c r="M227" i="7"/>
  <c r="M36" i="1"/>
  <c r="K227" i="7"/>
  <c r="L36" i="1"/>
  <c r="N223" i="7"/>
  <c r="N222" i="7"/>
  <c r="N216" i="7"/>
  <c r="K216" i="7"/>
  <c r="N215" i="7"/>
  <c r="K215" i="7"/>
  <c r="N214" i="7"/>
  <c r="M214" i="7"/>
  <c r="K214" i="7"/>
  <c r="N213" i="7"/>
  <c r="K213" i="7"/>
  <c r="N212" i="7"/>
  <c r="K212" i="7"/>
  <c r="N211" i="7"/>
  <c r="K211" i="7"/>
  <c r="N210" i="7"/>
  <c r="K210" i="7"/>
  <c r="M208" i="7"/>
  <c r="N207" i="7"/>
  <c r="O207" i="7"/>
  <c r="O208" i="7"/>
  <c r="K207" i="7"/>
  <c r="AJ199" i="7"/>
  <c r="AJ180" i="7"/>
  <c r="AH180" i="7"/>
  <c r="AF180" i="7"/>
  <c r="AD180" i="7"/>
  <c r="AB180" i="7"/>
  <c r="Z180" i="7"/>
  <c r="X180" i="7"/>
  <c r="V180" i="7"/>
  <c r="J180" i="7"/>
  <c r="H180" i="7"/>
  <c r="Q180" i="7"/>
  <c r="AJ179" i="7"/>
  <c r="AH179" i="7"/>
  <c r="AF179" i="7"/>
  <c r="AD179" i="7"/>
  <c r="AB179" i="7"/>
  <c r="Z179" i="7"/>
  <c r="X179" i="7"/>
  <c r="V179" i="7"/>
  <c r="J179" i="7"/>
  <c r="H179" i="7"/>
  <c r="P179" i="7"/>
  <c r="H177" i="7"/>
  <c r="Q177" i="7"/>
  <c r="AJ172" i="7"/>
  <c r="M165" i="7"/>
  <c r="M164" i="7"/>
  <c r="M152" i="7"/>
  <c r="M35" i="1"/>
  <c r="K152" i="7"/>
  <c r="L35" i="1"/>
  <c r="AB109" i="7"/>
  <c r="AB108" i="7"/>
  <c r="AH109" i="7"/>
  <c r="AH108" i="7"/>
  <c r="AF109" i="7"/>
  <c r="AF108" i="7"/>
  <c r="AD109" i="7"/>
  <c r="AD108" i="7"/>
  <c r="Z109" i="7"/>
  <c r="Z108" i="7"/>
  <c r="X109" i="7"/>
  <c r="X108" i="7"/>
  <c r="V109" i="7"/>
  <c r="J109" i="7"/>
  <c r="V108" i="7"/>
  <c r="J108" i="7"/>
  <c r="H109" i="7"/>
  <c r="H108" i="7"/>
  <c r="AJ108" i="7"/>
  <c r="M64" i="7"/>
  <c r="AI124" i="7"/>
  <c r="AH124" i="7"/>
  <c r="AG124" i="7"/>
  <c r="AF124" i="7"/>
  <c r="K125" i="7"/>
  <c r="AK125" i="7"/>
  <c r="AJ125" i="7"/>
  <c r="AD125" i="7"/>
  <c r="AB125" i="7"/>
  <c r="X125" i="7"/>
  <c r="Z125" i="7"/>
  <c r="V125" i="7"/>
  <c r="AJ100" i="7"/>
  <c r="AJ99" i="7"/>
  <c r="V107" i="7"/>
  <c r="V106" i="7"/>
  <c r="M63" i="11"/>
  <c r="K105" i="11"/>
  <c r="M211" i="11"/>
  <c r="M285" i="11"/>
  <c r="M359" i="11"/>
  <c r="M433" i="11"/>
  <c r="M507" i="11"/>
  <c r="O507" i="11" s="1"/>
  <c r="AE495" i="11"/>
  <c r="AD495" i="11"/>
  <c r="AD487" i="11"/>
  <c r="AD486" i="11"/>
  <c r="AD485" i="11"/>
  <c r="AD484" i="11"/>
  <c r="AD483" i="11"/>
  <c r="AD482" i="11"/>
  <c r="AD481" i="11"/>
  <c r="AD480" i="11"/>
  <c r="AD471" i="11"/>
  <c r="AD470" i="11"/>
  <c r="AD469" i="11"/>
  <c r="AD468" i="11"/>
  <c r="AD466" i="11"/>
  <c r="AD465" i="11"/>
  <c r="AC495" i="11"/>
  <c r="AB495" i="11"/>
  <c r="AC493" i="11"/>
  <c r="AB487" i="11"/>
  <c r="AB486" i="11"/>
  <c r="AB485" i="11"/>
  <c r="AB484" i="11"/>
  <c r="AB483" i="11"/>
  <c r="AB482" i="11"/>
  <c r="AB479" i="11"/>
  <c r="AB471" i="11"/>
  <c r="AB470" i="11"/>
  <c r="AB469" i="11"/>
  <c r="AB468" i="11"/>
  <c r="AB466" i="11"/>
  <c r="AB465" i="11"/>
  <c r="AA495" i="11"/>
  <c r="Z495" i="11"/>
  <c r="AA493" i="11"/>
  <c r="Z487" i="11"/>
  <c r="Z486" i="11"/>
  <c r="Z485" i="11"/>
  <c r="Z484" i="11"/>
  <c r="Z483" i="11"/>
  <c r="Z482" i="11"/>
  <c r="Z481" i="11"/>
  <c r="Z480" i="11"/>
  <c r="Z471" i="11"/>
  <c r="Z470" i="11"/>
  <c r="Z469" i="11"/>
  <c r="Z468" i="11"/>
  <c r="Z466" i="11"/>
  <c r="Z465" i="11"/>
  <c r="Y495" i="11"/>
  <c r="X495" i="11"/>
  <c r="Y493" i="11"/>
  <c r="X487" i="11"/>
  <c r="X486" i="11"/>
  <c r="X485" i="11"/>
  <c r="X484" i="11"/>
  <c r="X483" i="11"/>
  <c r="X482" i="11"/>
  <c r="X479" i="11"/>
  <c r="X471" i="11"/>
  <c r="X470" i="11"/>
  <c r="X469" i="11"/>
  <c r="X468" i="11"/>
  <c r="X466" i="11"/>
  <c r="X465" i="11"/>
  <c r="K495" i="11"/>
  <c r="V495" i="11"/>
  <c r="V487" i="11"/>
  <c r="J487" i="11"/>
  <c r="V486" i="11"/>
  <c r="J486" i="11"/>
  <c r="V485" i="11"/>
  <c r="J485" i="11"/>
  <c r="H487" i="11"/>
  <c r="H486" i="11"/>
  <c r="H485" i="11"/>
  <c r="P485" i="11" s="1"/>
  <c r="Q485" i="11"/>
  <c r="F784" i="7"/>
  <c r="O602" i="7"/>
  <c r="M672" i="7"/>
  <c r="O672" i="7"/>
  <c r="V41" i="1"/>
  <c r="AC41" i="1" s="1"/>
  <c r="O377" i="7"/>
  <c r="M447" i="7"/>
  <c r="M441" i="7"/>
  <c r="O441" i="7"/>
  <c r="V38" i="1"/>
  <c r="O452" i="7"/>
  <c r="M522" i="7"/>
  <c r="M523" i="7"/>
  <c r="O523" i="7"/>
  <c r="V39" i="1"/>
  <c r="AC39" i="1" s="1"/>
  <c r="O677" i="7"/>
  <c r="M747" i="7"/>
  <c r="M748" i="7"/>
  <c r="O748" i="7"/>
  <c r="V42" i="1"/>
  <c r="AC42" i="1" s="1"/>
  <c r="J317" i="7"/>
  <c r="J324" i="7"/>
  <c r="J323" i="7"/>
  <c r="O527" i="7"/>
  <c r="M597" i="7"/>
  <c r="M598" i="7"/>
  <c r="O598" i="7"/>
  <c r="V40" i="1"/>
  <c r="W40" i="1" s="1"/>
  <c r="O827" i="7"/>
  <c r="M897" i="7"/>
  <c r="O897" i="7"/>
  <c r="V44" i="1"/>
  <c r="O302" i="7"/>
  <c r="M372" i="7"/>
  <c r="M366" i="7"/>
  <c r="O366" i="7"/>
  <c r="V37" i="1"/>
  <c r="O152" i="7"/>
  <c r="M222" i="7"/>
  <c r="O222" i="7"/>
  <c r="V35" i="1"/>
  <c r="O227" i="7"/>
  <c r="M297" i="7"/>
  <c r="M291" i="7"/>
  <c r="O291" i="7"/>
  <c r="V36" i="1"/>
  <c r="AG36" i="1" s="1"/>
  <c r="AC36" i="1"/>
  <c r="O902" i="7"/>
  <c r="M972" i="7"/>
  <c r="M966" i="7"/>
  <c r="O966" i="7"/>
  <c r="V45" i="1"/>
  <c r="AC45" i="1" s="1"/>
  <c r="F703" i="7"/>
  <c r="H247" i="7"/>
  <c r="Q247" i="7"/>
  <c r="F771" i="7"/>
  <c r="F252" i="7"/>
  <c r="F562" i="7"/>
  <c r="J918" i="7"/>
  <c r="F623" i="7"/>
  <c r="F635" i="7"/>
  <c r="K953" i="7"/>
  <c r="K954" i="7"/>
  <c r="M954" i="7"/>
  <c r="O954" i="7"/>
  <c r="L167" i="7"/>
  <c r="M167" i="7" s="1"/>
  <c r="J768" i="7"/>
  <c r="J800" i="7"/>
  <c r="F485" i="11"/>
  <c r="P487" i="11"/>
  <c r="L483" i="7"/>
  <c r="M483" i="7"/>
  <c r="J930" i="7"/>
  <c r="J924" i="7"/>
  <c r="P854" i="7"/>
  <c r="P258" i="7"/>
  <c r="Q779" i="7"/>
  <c r="H780" i="7"/>
  <c r="F471" i="7"/>
  <c r="F561" i="7"/>
  <c r="F633" i="7"/>
  <c r="F711" i="7"/>
  <c r="L177" i="7"/>
  <c r="L258" i="7"/>
  <c r="M258" i="7"/>
  <c r="K876" i="7"/>
  <c r="K877" i="7"/>
  <c r="M877" i="7"/>
  <c r="O877" i="7"/>
  <c r="P177" i="7"/>
  <c r="F258" i="7"/>
  <c r="F334" i="7"/>
  <c r="F473" i="7"/>
  <c r="K726" i="7"/>
  <c r="L854" i="7"/>
  <c r="M854" i="7" s="1"/>
  <c r="L331" i="7"/>
  <c r="M331" i="7" s="1"/>
  <c r="P334" i="7"/>
  <c r="L473" i="7"/>
  <c r="L633" i="7"/>
  <c r="M633" i="7"/>
  <c r="L703" i="7"/>
  <c r="M703" i="7" s="1"/>
  <c r="P711" i="7"/>
  <c r="J853" i="7"/>
  <c r="J842" i="7"/>
  <c r="P332" i="7"/>
  <c r="F474" i="7"/>
  <c r="F548" i="7"/>
  <c r="J626" i="7"/>
  <c r="J618" i="7"/>
  <c r="M624" i="7"/>
  <c r="O624" i="7" s="1"/>
  <c r="Q628" i="7"/>
  <c r="H629" i="7"/>
  <c r="P633" i="7"/>
  <c r="P703" i="7"/>
  <c r="F712" i="7"/>
  <c r="P855" i="7"/>
  <c r="F855" i="7"/>
  <c r="Q855" i="7"/>
  <c r="L855" i="7"/>
  <c r="M855" i="7" s="1"/>
  <c r="H856" i="7"/>
  <c r="L863" i="7"/>
  <c r="M863" i="7" s="1"/>
  <c r="L256" i="7"/>
  <c r="M256" i="7"/>
  <c r="L784" i="7"/>
  <c r="M784" i="7" s="1"/>
  <c r="O784" i="7" s="1"/>
  <c r="L711" i="7"/>
  <c r="M711" i="7" s="1"/>
  <c r="L862" i="7"/>
  <c r="M862" i="7" s="1"/>
  <c r="P784" i="7"/>
  <c r="F333" i="7"/>
  <c r="F634" i="7"/>
  <c r="F698" i="7"/>
  <c r="F709" i="7"/>
  <c r="L334" i="7"/>
  <c r="M334" i="7" s="1"/>
  <c r="L481" i="7"/>
  <c r="M481" i="7" s="1"/>
  <c r="L704" i="7"/>
  <c r="M704" i="7"/>
  <c r="P704" i="7"/>
  <c r="Q704" i="7"/>
  <c r="H705" i="7"/>
  <c r="F704" i="7"/>
  <c r="K576" i="7"/>
  <c r="F560" i="7"/>
  <c r="F632" i="7"/>
  <c r="P109" i="7"/>
  <c r="Q109" i="7"/>
  <c r="P323" i="7"/>
  <c r="Q323" i="7"/>
  <c r="H622" i="7"/>
  <c r="Q622" i="7"/>
  <c r="Q621" i="7"/>
  <c r="F861" i="7"/>
  <c r="Q861" i="7"/>
  <c r="L179" i="7"/>
  <c r="M179" i="7" s="1"/>
  <c r="L323" i="7"/>
  <c r="L484" i="7"/>
  <c r="M484" i="7" s="1"/>
  <c r="M381" i="7"/>
  <c r="J398" i="7"/>
  <c r="K350" i="7"/>
  <c r="L171" i="7"/>
  <c r="M171" i="7" s="1"/>
  <c r="L698" i="7"/>
  <c r="M698" i="7" s="1"/>
  <c r="O698" i="7" s="1"/>
  <c r="M438" i="7"/>
  <c r="O438" i="7"/>
  <c r="M435" i="7"/>
  <c r="O435" i="7"/>
  <c r="M437" i="7"/>
  <c r="O437" i="7"/>
  <c r="P404" i="7"/>
  <c r="L562" i="7"/>
  <c r="M562" i="7"/>
  <c r="H693" i="7"/>
  <c r="Q693" i="7"/>
  <c r="Q692" i="7"/>
  <c r="P864" i="7"/>
  <c r="H322" i="7"/>
  <c r="Q322" i="7"/>
  <c r="Q321" i="7"/>
  <c r="L248" i="7"/>
  <c r="P252" i="7"/>
  <c r="M362" i="7"/>
  <c r="O362" i="7"/>
  <c r="M360" i="7"/>
  <c r="O360" i="7"/>
  <c r="M363" i="7"/>
  <c r="O363" i="7"/>
  <c r="P331" i="7"/>
  <c r="Q331" i="7"/>
  <c r="F405" i="7"/>
  <c r="F483" i="7"/>
  <c r="Q483" i="7"/>
  <c r="L560" i="7"/>
  <c r="M560" i="7"/>
  <c r="P562" i="7"/>
  <c r="P623" i="7"/>
  <c r="L634" i="7"/>
  <c r="M634" i="7" s="1"/>
  <c r="O664" i="7"/>
  <c r="L692" i="7"/>
  <c r="M692" i="7" s="1"/>
  <c r="P700" i="7"/>
  <c r="Q854" i="7"/>
  <c r="J622" i="7"/>
  <c r="F179" i="7"/>
  <c r="Q179" i="7"/>
  <c r="H328" i="7"/>
  <c r="Q327" i="7"/>
  <c r="M513" i="7"/>
  <c r="O513" i="7"/>
  <c r="M512" i="7"/>
  <c r="O512" i="7"/>
  <c r="M510" i="7"/>
  <c r="O510" i="7"/>
  <c r="F484" i="7"/>
  <c r="Q484" i="7"/>
  <c r="H547" i="7"/>
  <c r="Q547" i="7"/>
  <c r="Q546" i="7"/>
  <c r="Q922" i="7"/>
  <c r="Q921" i="7"/>
  <c r="F787" i="7"/>
  <c r="Q787" i="7"/>
  <c r="F249" i="7"/>
  <c r="Q249" i="7"/>
  <c r="P546" i="7"/>
  <c r="P621" i="7"/>
  <c r="H847" i="7"/>
  <c r="Q847" i="7"/>
  <c r="Q846" i="7"/>
  <c r="L861" i="7"/>
  <c r="M861" i="7" s="1"/>
  <c r="O861" i="7" s="1"/>
  <c r="L921" i="7"/>
  <c r="M921" i="7" s="1"/>
  <c r="L941" i="7"/>
  <c r="M941" i="7"/>
  <c r="L327" i="7"/>
  <c r="M327" i="7" s="1"/>
  <c r="L404" i="7"/>
  <c r="M404" i="7" s="1"/>
  <c r="H475" i="7"/>
  <c r="Q475" i="7"/>
  <c r="Q474" i="7"/>
  <c r="P632" i="7"/>
  <c r="Q632" i="7"/>
  <c r="P848" i="7"/>
  <c r="Q848" i="7"/>
  <c r="H772" i="7"/>
  <c r="Q772" i="7"/>
  <c r="Q771" i="7"/>
  <c r="L252" i="7"/>
  <c r="M252" i="7" s="1"/>
  <c r="H472" i="7"/>
  <c r="Q472" i="7"/>
  <c r="Q471" i="7"/>
  <c r="L474" i="7"/>
  <c r="M474" i="7" s="1"/>
  <c r="M588" i="7"/>
  <c r="O588" i="7"/>
  <c r="M587" i="7"/>
  <c r="O587" i="7"/>
  <c r="M585" i="7"/>
  <c r="O585" i="7"/>
  <c r="H250" i="7"/>
  <c r="Q250" i="7"/>
  <c r="H543" i="7"/>
  <c r="Q543" i="7"/>
  <c r="Q542" i="7"/>
  <c r="P560" i="7"/>
  <c r="P634" i="7"/>
  <c r="M962" i="7"/>
  <c r="O962" i="7"/>
  <c r="M960" i="7"/>
  <c r="O960" i="7"/>
  <c r="M963" i="7"/>
  <c r="O963" i="7"/>
  <c r="Q925" i="7"/>
  <c r="P773" i="7"/>
  <c r="Q773" i="7"/>
  <c r="H478" i="7"/>
  <c r="Q477" i="7"/>
  <c r="L542" i="7"/>
  <c r="M663" i="7"/>
  <c r="O663" i="7"/>
  <c r="M662" i="7"/>
  <c r="O662" i="7"/>
  <c r="M660" i="7"/>
  <c r="O660" i="7"/>
  <c r="H697" i="7"/>
  <c r="Q697" i="7"/>
  <c r="Q696" i="7"/>
  <c r="H708" i="7"/>
  <c r="Q708" i="7"/>
  <c r="Q703" i="7"/>
  <c r="M888" i="7"/>
  <c r="O888" i="7"/>
  <c r="M885" i="7"/>
  <c r="O885" i="7"/>
  <c r="M887" i="7"/>
  <c r="O887" i="7"/>
  <c r="F863" i="7"/>
  <c r="Q863" i="7"/>
  <c r="L925" i="7"/>
  <c r="M925" i="7" s="1"/>
  <c r="P940" i="7"/>
  <c r="P943" i="7"/>
  <c r="Q943" i="7"/>
  <c r="L773" i="7"/>
  <c r="M773" i="7" s="1"/>
  <c r="O773" i="7" s="1"/>
  <c r="H168" i="7"/>
  <c r="Q168" i="7"/>
  <c r="Q167" i="7"/>
  <c r="H776" i="7"/>
  <c r="Q776" i="7"/>
  <c r="Q775" i="7"/>
  <c r="M735" i="7"/>
  <c r="O735" i="7"/>
  <c r="M738" i="7"/>
  <c r="O738" i="7"/>
  <c r="M737" i="7"/>
  <c r="O737" i="7"/>
  <c r="H551" i="7"/>
  <c r="Q551" i="7"/>
  <c r="Q550" i="7"/>
  <c r="P861" i="7"/>
  <c r="P921" i="7"/>
  <c r="P941" i="7"/>
  <c r="F785" i="7"/>
  <c r="Q785" i="7"/>
  <c r="P787" i="7"/>
  <c r="L333" i="7"/>
  <c r="M333" i="7"/>
  <c r="Q333" i="7"/>
  <c r="P471" i="7"/>
  <c r="H554" i="7"/>
  <c r="Q553" i="7"/>
  <c r="H626" i="7"/>
  <c r="Q626" i="7"/>
  <c r="Q625" i="7"/>
  <c r="P692" i="7"/>
  <c r="P786" i="7"/>
  <c r="Q786" i="7"/>
  <c r="M288" i="7"/>
  <c r="O288" i="7"/>
  <c r="M287" i="7"/>
  <c r="O287" i="7"/>
  <c r="M285" i="7"/>
  <c r="O285" i="7"/>
  <c r="L249" i="7"/>
  <c r="M249" i="7" s="1"/>
  <c r="O249" i="7" s="1"/>
  <c r="P256" i="7"/>
  <c r="Q256" i="7"/>
  <c r="L321" i="7"/>
  <c r="F108" i="7"/>
  <c r="Q108" i="7"/>
  <c r="M213" i="7"/>
  <c r="O213" i="7"/>
  <c r="M210" i="7"/>
  <c r="O210" i="7"/>
  <c r="M212" i="7"/>
  <c r="O212" i="7"/>
  <c r="F242" i="7"/>
  <c r="F323" i="7"/>
  <c r="F327" i="7"/>
  <c r="O364" i="7"/>
  <c r="J405" i="7"/>
  <c r="F481" i="7"/>
  <c r="Q481" i="7"/>
  <c r="P542" i="7"/>
  <c r="L553" i="7"/>
  <c r="M553" i="7" s="1"/>
  <c r="L617" i="7"/>
  <c r="M617" i="7" s="1"/>
  <c r="Q617" i="7"/>
  <c r="P696" i="7"/>
  <c r="H843" i="7"/>
  <c r="Q843" i="7"/>
  <c r="Q842" i="7"/>
  <c r="P925" i="7"/>
  <c r="F767" i="7"/>
  <c r="F775" i="7"/>
  <c r="L786" i="7"/>
  <c r="M786" i="7" s="1"/>
  <c r="O786" i="7" s="1"/>
  <c r="F246" i="7"/>
  <c r="Q246" i="7"/>
  <c r="F396" i="7"/>
  <c r="L405" i="7"/>
  <c r="Q405" i="7"/>
  <c r="F404" i="7"/>
  <c r="L402" i="7"/>
  <c r="M402" i="7" s="1"/>
  <c r="O814" i="7"/>
  <c r="J167" i="7"/>
  <c r="F559" i="7"/>
  <c r="P559" i="7"/>
  <c r="L559" i="7"/>
  <c r="M559" i="7"/>
  <c r="O559" i="7" s="1"/>
  <c r="H851" i="7"/>
  <c r="P851" i="7"/>
  <c r="F850" i="7"/>
  <c r="P180" i="7"/>
  <c r="L180" i="7"/>
  <c r="M180" i="7" s="1"/>
  <c r="F180" i="7"/>
  <c r="O514" i="7"/>
  <c r="H397" i="7"/>
  <c r="P396" i="7"/>
  <c r="L396" i="7"/>
  <c r="M396" i="7" s="1"/>
  <c r="O396" i="7" s="1"/>
  <c r="F257" i="7"/>
  <c r="L257" i="7"/>
  <c r="M257" i="7" s="1"/>
  <c r="F398" i="7"/>
  <c r="P398" i="7"/>
  <c r="L398" i="7"/>
  <c r="M398" i="7" s="1"/>
  <c r="H468" i="7"/>
  <c r="Q468" i="7"/>
  <c r="P467" i="7"/>
  <c r="L467" i="7"/>
  <c r="M467" i="7" s="1"/>
  <c r="F467" i="7"/>
  <c r="P938" i="7"/>
  <c r="H243" i="7"/>
  <c r="Q243" i="7"/>
  <c r="L242" i="7"/>
  <c r="M242" i="7" s="1"/>
  <c r="H318" i="7"/>
  <c r="F317" i="7"/>
  <c r="L317" i="7"/>
  <c r="H631" i="7"/>
  <c r="F631" i="7"/>
  <c r="P628" i="7"/>
  <c r="L628" i="7"/>
  <c r="M628" i="7" s="1"/>
  <c r="F628" i="7"/>
  <c r="P924" i="7"/>
  <c r="H918" i="7"/>
  <c r="Q918" i="7"/>
  <c r="F917" i="7"/>
  <c r="P917" i="7"/>
  <c r="L917" i="7"/>
  <c r="M917" i="7" s="1"/>
  <c r="L850" i="7"/>
  <c r="M850" i="7" s="1"/>
  <c r="H618" i="7"/>
  <c r="Q618" i="7"/>
  <c r="F617" i="7"/>
  <c r="P617" i="7"/>
  <c r="F710" i="7"/>
  <c r="P710" i="7"/>
  <c r="L710" i="7"/>
  <c r="M710" i="7"/>
  <c r="L259" i="7"/>
  <c r="M259" i="7"/>
  <c r="P259" i="7"/>
  <c r="F259" i="7"/>
  <c r="P257" i="7"/>
  <c r="P248" i="7"/>
  <c r="F248" i="7"/>
  <c r="F332" i="7"/>
  <c r="L332" i="7"/>
  <c r="M332" i="7"/>
  <c r="P561" i="7"/>
  <c r="L561" i="7"/>
  <c r="M561" i="7" s="1"/>
  <c r="L924" i="7"/>
  <c r="M924" i="7" s="1"/>
  <c r="F779" i="7"/>
  <c r="P779" i="7"/>
  <c r="P171" i="7"/>
  <c r="H172" i="7"/>
  <c r="Q172" i="7"/>
  <c r="F171" i="7"/>
  <c r="J168" i="7"/>
  <c r="O289" i="7"/>
  <c r="M384" i="7"/>
  <c r="J542" i="7"/>
  <c r="O589" i="7"/>
  <c r="P635" i="7"/>
  <c r="L635" i="7"/>
  <c r="M635" i="7" s="1"/>
  <c r="P709" i="7"/>
  <c r="L709" i="7"/>
  <c r="M709" i="7" s="1"/>
  <c r="P942" i="7"/>
  <c r="L942" i="7"/>
  <c r="M942" i="7"/>
  <c r="O942" i="7" s="1"/>
  <c r="F321" i="7"/>
  <c r="H403" i="7"/>
  <c r="F402" i="7"/>
  <c r="P473" i="7"/>
  <c r="F482" i="7"/>
  <c r="P482" i="7"/>
  <c r="L482" i="7"/>
  <c r="M482" i="7"/>
  <c r="H558" i="7"/>
  <c r="Q558" i="7"/>
  <c r="P553" i="7"/>
  <c r="P698" i="7"/>
  <c r="L846" i="7"/>
  <c r="M846" i="7" s="1"/>
  <c r="O846" i="7" s="1"/>
  <c r="J917" i="7"/>
  <c r="K949" i="7"/>
  <c r="K950" i="7"/>
  <c r="M950" i="7"/>
  <c r="O950" i="7"/>
  <c r="J473" i="7"/>
  <c r="H393" i="7"/>
  <c r="L393" i="7"/>
  <c r="M393" i="7" s="1"/>
  <c r="F392" i="7"/>
  <c r="H701" i="7"/>
  <c r="Q701" i="7"/>
  <c r="F700" i="7"/>
  <c r="F167" i="7"/>
  <c r="L392" i="7"/>
  <c r="M392" i="7" s="1"/>
  <c r="P477" i="7"/>
  <c r="L548" i="7"/>
  <c r="M548" i="7" s="1"/>
  <c r="J692" i="7"/>
  <c r="L700" i="7"/>
  <c r="M700" i="7" s="1"/>
  <c r="H768" i="7"/>
  <c r="F768" i="7"/>
  <c r="L767" i="7"/>
  <c r="M767" i="7" s="1"/>
  <c r="L778" i="7"/>
  <c r="M778" i="7" s="1"/>
  <c r="P778" i="7"/>
  <c r="F778" i="7"/>
  <c r="L774" i="7"/>
  <c r="M774" i="7" s="1"/>
  <c r="O774" i="7" s="1"/>
  <c r="P774" i="7"/>
  <c r="P785" i="7"/>
  <c r="L785" i="7"/>
  <c r="M785" i="7" s="1"/>
  <c r="L477" i="7"/>
  <c r="M477" i="7" s="1"/>
  <c r="H480" i="7"/>
  <c r="Q480" i="7"/>
  <c r="P712" i="7"/>
  <c r="H178" i="7"/>
  <c r="Q178" i="7"/>
  <c r="F177" i="7"/>
  <c r="H253" i="7"/>
  <c r="F253" i="7"/>
  <c r="P327" i="7"/>
  <c r="P392" i="7"/>
  <c r="P402" i="7"/>
  <c r="P548" i="7"/>
  <c r="L623" i="7"/>
  <c r="M623" i="7" s="1"/>
  <c r="O623" i="7" s="1"/>
  <c r="J693" i="7"/>
  <c r="L712" i="7"/>
  <c r="M712" i="7" s="1"/>
  <c r="F862" i="7"/>
  <c r="P862" i="7"/>
  <c r="F864" i="7"/>
  <c r="L864" i="7"/>
  <c r="M864" i="7"/>
  <c r="L943" i="7"/>
  <c r="M943" i="7" s="1"/>
  <c r="J778" i="7"/>
  <c r="F774" i="7"/>
  <c r="O439" i="7"/>
  <c r="F546" i="7"/>
  <c r="F550" i="7"/>
  <c r="F621" i="7"/>
  <c r="F625" i="7"/>
  <c r="F696" i="7"/>
  <c r="F842" i="7"/>
  <c r="F848" i="7"/>
  <c r="F854" i="7"/>
  <c r="L546" i="7"/>
  <c r="L550" i="7"/>
  <c r="M550" i="7"/>
  <c r="O550" i="7" s="1"/>
  <c r="L621" i="7"/>
  <c r="M621" i="7" s="1"/>
  <c r="L625" i="7"/>
  <c r="M625" i="7" s="1"/>
  <c r="O625" i="7" s="1"/>
  <c r="L696" i="7"/>
  <c r="O739" i="7"/>
  <c r="L842" i="7"/>
  <c r="M842" i="7" s="1"/>
  <c r="O842" i="7" s="1"/>
  <c r="L848" i="7"/>
  <c r="O964" i="7"/>
  <c r="O889" i="7"/>
  <c r="O214" i="7"/>
  <c r="J623" i="7"/>
  <c r="L779" i="7"/>
  <c r="P767" i="7"/>
  <c r="P771" i="7"/>
  <c r="P775" i="7"/>
  <c r="L939" i="7"/>
  <c r="M939" i="7" s="1"/>
  <c r="P922" i="7"/>
  <c r="L938" i="7"/>
  <c r="M938" i="7" s="1"/>
  <c r="M891" i="7"/>
  <c r="O891" i="7"/>
  <c r="P842" i="7"/>
  <c r="P846" i="7"/>
  <c r="P850" i="7"/>
  <c r="M666" i="7"/>
  <c r="O666" i="7"/>
  <c r="F325" i="7"/>
  <c r="L325" i="7"/>
  <c r="M325" i="7" s="1"/>
  <c r="P325" i="7"/>
  <c r="P317" i="7"/>
  <c r="P321" i="7"/>
  <c r="P324" i="7"/>
  <c r="J248" i="7"/>
  <c r="P242" i="7"/>
  <c r="P246" i="7"/>
  <c r="P249" i="7"/>
  <c r="L109" i="7"/>
  <c r="M109" i="7" s="1"/>
  <c r="O109" i="7" s="1"/>
  <c r="F109" i="7"/>
  <c r="P108" i="7"/>
  <c r="L108" i="7"/>
  <c r="M108" i="7" s="1"/>
  <c r="O108" i="7" s="1"/>
  <c r="V471" i="11"/>
  <c r="J471" i="11"/>
  <c r="V469" i="11"/>
  <c r="V468" i="11"/>
  <c r="V470" i="11"/>
  <c r="H471" i="11"/>
  <c r="N471" i="11" s="1"/>
  <c r="V466" i="11"/>
  <c r="H463" i="11"/>
  <c r="N463" i="11" s="1"/>
  <c r="AE420" i="11"/>
  <c r="AD420" i="11"/>
  <c r="AD408" i="11"/>
  <c r="AD407" i="11"/>
  <c r="AD406" i="11"/>
  <c r="AD405" i="11"/>
  <c r="AD404" i="11"/>
  <c r="AD396" i="11"/>
  <c r="AD395" i="11"/>
  <c r="AD392" i="11"/>
  <c r="AD391" i="11"/>
  <c r="AC420" i="11"/>
  <c r="AB420" i="11"/>
  <c r="AC419" i="11"/>
  <c r="AB408" i="11"/>
  <c r="AB407" i="11"/>
  <c r="AB406" i="11"/>
  <c r="AB403" i="11"/>
  <c r="AB396" i="11"/>
  <c r="AB395" i="11"/>
  <c r="AB392" i="11"/>
  <c r="AB391" i="11"/>
  <c r="AA420" i="11"/>
  <c r="Z420" i="11"/>
  <c r="AA419" i="11"/>
  <c r="Z408" i="11"/>
  <c r="Z407" i="11"/>
  <c r="Z406" i="11"/>
  <c r="Z405" i="11"/>
  <c r="Z404" i="11"/>
  <c r="Z396" i="11"/>
  <c r="Z395" i="11"/>
  <c r="Z392" i="11"/>
  <c r="Z391" i="11"/>
  <c r="Y420" i="11"/>
  <c r="X420" i="11"/>
  <c r="Y419" i="11"/>
  <c r="X408" i="11"/>
  <c r="X407" i="11"/>
  <c r="X406" i="11"/>
  <c r="X403" i="11"/>
  <c r="X396" i="11"/>
  <c r="X395" i="11"/>
  <c r="X392" i="11"/>
  <c r="X391" i="11"/>
  <c r="W420" i="11"/>
  <c r="V420" i="11"/>
  <c r="V408" i="11"/>
  <c r="J408" i="11"/>
  <c r="V407" i="11"/>
  <c r="J407" i="11"/>
  <c r="V406" i="11"/>
  <c r="J406" i="11"/>
  <c r="H408" i="11"/>
  <c r="N408" i="11" s="1"/>
  <c r="H407" i="11"/>
  <c r="Q407" i="11" s="1"/>
  <c r="H406" i="11"/>
  <c r="L406" i="11" s="1"/>
  <c r="V396" i="11"/>
  <c r="V395" i="11"/>
  <c r="V392" i="11"/>
  <c r="H393" i="11"/>
  <c r="N393" i="11" s="1"/>
  <c r="H389" i="11"/>
  <c r="H390" i="11" s="1"/>
  <c r="N390" i="11" s="1"/>
  <c r="AD345" i="11"/>
  <c r="AD346" i="11"/>
  <c r="AE348" i="11"/>
  <c r="AD348" i="11"/>
  <c r="AE347" i="11"/>
  <c r="AD347" i="11"/>
  <c r="AE346" i="11"/>
  <c r="AC348" i="11"/>
  <c r="AB348" i="11"/>
  <c r="AC347" i="11"/>
  <c r="AB347" i="11"/>
  <c r="AC346" i="11"/>
  <c r="AB346" i="11"/>
  <c r="AC345" i="11"/>
  <c r="AB345" i="11"/>
  <c r="AA348" i="11"/>
  <c r="Z348" i="11"/>
  <c r="AA347" i="11"/>
  <c r="Z347" i="11"/>
  <c r="AA346" i="11"/>
  <c r="Z346" i="11"/>
  <c r="AA345" i="11"/>
  <c r="Z345" i="11"/>
  <c r="Y348" i="11"/>
  <c r="X348" i="11"/>
  <c r="Y347" i="11"/>
  <c r="X347" i="11"/>
  <c r="Y346" i="11"/>
  <c r="X346" i="11"/>
  <c r="Y345" i="11"/>
  <c r="X345" i="11"/>
  <c r="W348" i="11"/>
  <c r="V348" i="11"/>
  <c r="J348" i="11"/>
  <c r="W347" i="11"/>
  <c r="V347" i="11"/>
  <c r="W346" i="11"/>
  <c r="V346" i="11"/>
  <c r="J346" i="11"/>
  <c r="V345" i="11"/>
  <c r="J345" i="11"/>
  <c r="AD336" i="11"/>
  <c r="AD335" i="11"/>
  <c r="AD334" i="11"/>
  <c r="AD333" i="11"/>
  <c r="AD322" i="11"/>
  <c r="AD321" i="11"/>
  <c r="AD320" i="11"/>
  <c r="AD319" i="11"/>
  <c r="AD318" i="11"/>
  <c r="AD317" i="11"/>
  <c r="AB336" i="11"/>
  <c r="AB335" i="11"/>
  <c r="AB332" i="11"/>
  <c r="AB322" i="11"/>
  <c r="AB321" i="11"/>
  <c r="AB320" i="11"/>
  <c r="AB319" i="11"/>
  <c r="AB318" i="11"/>
  <c r="AB317" i="11"/>
  <c r="Z336" i="11"/>
  <c r="Z335" i="11"/>
  <c r="Z334" i="11"/>
  <c r="Z333" i="11"/>
  <c r="Z322" i="11"/>
  <c r="Z321" i="11"/>
  <c r="Z320" i="11"/>
  <c r="Z319" i="11"/>
  <c r="Z318" i="11"/>
  <c r="Z317" i="11"/>
  <c r="X336" i="11"/>
  <c r="X335" i="11"/>
  <c r="X332" i="11"/>
  <c r="X322" i="11"/>
  <c r="X321" i="11"/>
  <c r="X320" i="11"/>
  <c r="X319" i="11"/>
  <c r="X318" i="11"/>
  <c r="X317" i="11"/>
  <c r="V339" i="11"/>
  <c r="J339" i="11"/>
  <c r="V338" i="11"/>
  <c r="J338" i="11"/>
  <c r="V337" i="11"/>
  <c r="J337" i="11"/>
  <c r="H339" i="11"/>
  <c r="H338" i="11"/>
  <c r="N338" i="11" s="1"/>
  <c r="H337" i="11"/>
  <c r="F337" i="11" s="1"/>
  <c r="V336" i="11"/>
  <c r="J336" i="11"/>
  <c r="V335" i="11"/>
  <c r="J335" i="11"/>
  <c r="H336" i="11"/>
  <c r="H335" i="11"/>
  <c r="Q335" i="11"/>
  <c r="V322" i="11"/>
  <c r="J322" i="11"/>
  <c r="V321" i="11"/>
  <c r="V320" i="11"/>
  <c r="J320" i="11"/>
  <c r="V319" i="11"/>
  <c r="J314" i="11"/>
  <c r="V318" i="11"/>
  <c r="J318" i="11"/>
  <c r="H323" i="11"/>
  <c r="F323" i="11" s="1"/>
  <c r="H315" i="11"/>
  <c r="H469" i="11"/>
  <c r="H470" i="11" s="1"/>
  <c r="N470" i="11" s="1"/>
  <c r="H395" i="11"/>
  <c r="Q395" i="11" s="1"/>
  <c r="N516" i="11"/>
  <c r="N515" i="11"/>
  <c r="N509" i="11"/>
  <c r="K509" i="11"/>
  <c r="N508" i="11"/>
  <c r="K508" i="11"/>
  <c r="N507" i="11"/>
  <c r="K507" i="11"/>
  <c r="N506" i="11"/>
  <c r="K506" i="11"/>
  <c r="N505" i="11"/>
  <c r="O505" i="11" s="1"/>
  <c r="K505" i="11"/>
  <c r="N504" i="11"/>
  <c r="K504" i="11"/>
  <c r="N503" i="11"/>
  <c r="K503" i="11"/>
  <c r="M501" i="11"/>
  <c r="N500" i="11"/>
  <c r="O500" i="11"/>
  <c r="K500" i="11"/>
  <c r="N499" i="11"/>
  <c r="O499" i="11" s="1"/>
  <c r="O501" i="11" s="1"/>
  <c r="K499" i="11"/>
  <c r="W493" i="11"/>
  <c r="V484" i="11"/>
  <c r="J484" i="11"/>
  <c r="H484" i="11"/>
  <c r="Q484" i="11"/>
  <c r="V483" i="11"/>
  <c r="J483" i="11"/>
  <c r="H483" i="11"/>
  <c r="N483" i="11" s="1"/>
  <c r="V482" i="11"/>
  <c r="J482" i="11"/>
  <c r="H482" i="11"/>
  <c r="Q482" i="11" s="1"/>
  <c r="V481" i="11"/>
  <c r="J481" i="11"/>
  <c r="H481" i="11"/>
  <c r="V480" i="11"/>
  <c r="J480" i="11"/>
  <c r="H480" i="11"/>
  <c r="V479" i="11"/>
  <c r="J479" i="11"/>
  <c r="H479" i="11"/>
  <c r="H473" i="11"/>
  <c r="F473" i="11" s="1"/>
  <c r="H468" i="11"/>
  <c r="V465" i="11"/>
  <c r="H465" i="11"/>
  <c r="H466" i="11" s="1"/>
  <c r="L466" i="11" s="1"/>
  <c r="M466" i="11" s="1"/>
  <c r="H461" i="11"/>
  <c r="M459" i="11"/>
  <c r="M503" i="11" s="1"/>
  <c r="M446" i="11"/>
  <c r="M55" i="1"/>
  <c r="K446" i="11"/>
  <c r="L55" i="1" s="1"/>
  <c r="N442" i="11"/>
  <c r="N441" i="11"/>
  <c r="N435" i="11"/>
  <c r="K435" i="11"/>
  <c r="N434" i="11"/>
  <c r="K434" i="11"/>
  <c r="N433" i="11"/>
  <c r="O433" i="11" s="1"/>
  <c r="K433" i="11"/>
  <c r="N432" i="11"/>
  <c r="K432" i="11"/>
  <c r="N431" i="11"/>
  <c r="K431" i="11"/>
  <c r="N430" i="11"/>
  <c r="K430" i="11"/>
  <c r="N429" i="11"/>
  <c r="K429" i="11"/>
  <c r="M427" i="11"/>
  <c r="N426" i="11"/>
  <c r="O426" i="11" s="1"/>
  <c r="K426" i="11"/>
  <c r="N425" i="11"/>
  <c r="O425" i="11"/>
  <c r="O427" i="11" s="1"/>
  <c r="K425" i="11"/>
  <c r="W419" i="11"/>
  <c r="V405" i="11"/>
  <c r="J405" i="11"/>
  <c r="H405" i="11"/>
  <c r="V404" i="11"/>
  <c r="J404" i="11"/>
  <c r="H404" i="11"/>
  <c r="N404" i="11" s="1"/>
  <c r="V403" i="11"/>
  <c r="J403" i="11"/>
  <c r="H403" i="11"/>
  <c r="N403" i="11" s="1"/>
  <c r="H399" i="11"/>
  <c r="H402" i="11" s="1"/>
  <c r="V391" i="11"/>
  <c r="H391" i="11"/>
  <c r="H387" i="11"/>
  <c r="M385" i="11"/>
  <c r="M429" i="11" s="1"/>
  <c r="O429" i="11" s="1"/>
  <c r="M372" i="11"/>
  <c r="M54" i="1" s="1"/>
  <c r="K372" i="11"/>
  <c r="L54" i="1"/>
  <c r="H321" i="11"/>
  <c r="F321" i="11" s="1"/>
  <c r="AB245" i="11"/>
  <c r="Z245" i="11"/>
  <c r="X245" i="11"/>
  <c r="V245" i="11"/>
  <c r="H320" i="11"/>
  <c r="Q320" i="11" s="1"/>
  <c r="M353" i="11"/>
  <c r="N352" i="11"/>
  <c r="O352" i="11"/>
  <c r="K352" i="11"/>
  <c r="N368" i="11"/>
  <c r="N367" i="11"/>
  <c r="N361" i="11"/>
  <c r="K361" i="11"/>
  <c r="N360" i="11"/>
  <c r="K360" i="11"/>
  <c r="N359" i="11"/>
  <c r="K359" i="11"/>
  <c r="N358" i="11"/>
  <c r="K358" i="11"/>
  <c r="N357" i="11"/>
  <c r="K357" i="11"/>
  <c r="N356" i="11"/>
  <c r="K356" i="11"/>
  <c r="N355" i="11"/>
  <c r="K355" i="11"/>
  <c r="N351" i="11"/>
  <c r="O351" i="11"/>
  <c r="O353" i="11" s="1"/>
  <c r="K351" i="11"/>
  <c r="W345" i="11"/>
  <c r="V334" i="11"/>
  <c r="J334" i="11"/>
  <c r="H334" i="11"/>
  <c r="F334" i="11" s="1"/>
  <c r="V333" i="11"/>
  <c r="J333" i="11"/>
  <c r="H333" i="11"/>
  <c r="V332" i="11"/>
  <c r="J332" i="11"/>
  <c r="H332" i="11"/>
  <c r="H324" i="11"/>
  <c r="H319" i="11"/>
  <c r="L319" i="11" s="1"/>
  <c r="V317" i="11"/>
  <c r="H317" i="11"/>
  <c r="F317" i="11" s="1"/>
  <c r="H313" i="11"/>
  <c r="Q313" i="11" s="1"/>
  <c r="M311" i="11"/>
  <c r="M355" i="11" s="1"/>
  <c r="M310" i="11"/>
  <c r="O298" i="11" s="1"/>
  <c r="M367" i="11"/>
  <c r="M298" i="11"/>
  <c r="M53" i="1" s="1"/>
  <c r="V53" i="1" s="1"/>
  <c r="K298" i="11"/>
  <c r="L53" i="1" s="1"/>
  <c r="AE271" i="11"/>
  <c r="AD271" i="11"/>
  <c r="AD272" i="11"/>
  <c r="AE272" i="11"/>
  <c r="X244" i="11"/>
  <c r="X243" i="11"/>
  <c r="AB256" i="11"/>
  <c r="AB255" i="11"/>
  <c r="AD256" i="11"/>
  <c r="AD255" i="11"/>
  <c r="Z256" i="11"/>
  <c r="Z255" i="11"/>
  <c r="X256" i="11"/>
  <c r="X255" i="11"/>
  <c r="AC272" i="11"/>
  <c r="AB272" i="11"/>
  <c r="AC271" i="11"/>
  <c r="AB271" i="11"/>
  <c r="AA272" i="11"/>
  <c r="Z272" i="11"/>
  <c r="AA271" i="11"/>
  <c r="Z271" i="11"/>
  <c r="Y272" i="11"/>
  <c r="X272" i="11"/>
  <c r="Y271" i="11"/>
  <c r="X271" i="11"/>
  <c r="W272" i="11"/>
  <c r="V272" i="11"/>
  <c r="W271" i="11"/>
  <c r="V271" i="11"/>
  <c r="V256" i="11"/>
  <c r="J256" i="11"/>
  <c r="V255" i="11"/>
  <c r="J255" i="11"/>
  <c r="AD243" i="11"/>
  <c r="AB243" i="11"/>
  <c r="Z243" i="11"/>
  <c r="V243" i="11"/>
  <c r="AG49" i="11"/>
  <c r="AF49" i="11"/>
  <c r="AF30" i="11"/>
  <c r="AF29" i="11"/>
  <c r="AF22" i="11"/>
  <c r="AF21" i="11"/>
  <c r="AG124" i="11"/>
  <c r="AG123" i="11"/>
  <c r="AF104" i="11"/>
  <c r="AF103" i="11"/>
  <c r="AF97" i="11"/>
  <c r="AF96" i="11"/>
  <c r="AF95" i="11"/>
  <c r="H105" i="11"/>
  <c r="Q105" i="11"/>
  <c r="H95" i="11"/>
  <c r="L95" i="11" s="1"/>
  <c r="H91" i="11"/>
  <c r="Q91" i="11"/>
  <c r="H179" i="11"/>
  <c r="N179" i="11" s="1"/>
  <c r="H169" i="11"/>
  <c r="P169" i="11" s="1"/>
  <c r="H165" i="11"/>
  <c r="L165" i="11" s="1"/>
  <c r="Q165" i="11"/>
  <c r="AG197" i="11"/>
  <c r="O297" i="7"/>
  <c r="M516" i="7"/>
  <c r="O516" i="7"/>
  <c r="M591" i="7"/>
  <c r="O591" i="7"/>
  <c r="M448" i="7"/>
  <c r="O448" i="7"/>
  <c r="M673" i="7"/>
  <c r="O673" i="7"/>
  <c r="M973" i="7"/>
  <c r="O973" i="7"/>
  <c r="O972" i="7"/>
  <c r="M298" i="7"/>
  <c r="O298" i="7"/>
  <c r="O597" i="7"/>
  <c r="M373" i="7"/>
  <c r="O373" i="7"/>
  <c r="O522" i="7"/>
  <c r="M317" i="7"/>
  <c r="O317" i="7" s="1"/>
  <c r="M216" i="7"/>
  <c r="O216" i="7"/>
  <c r="L247" i="7"/>
  <c r="M247" i="7" s="1"/>
  <c r="M223" i="7"/>
  <c r="O223" i="7"/>
  <c r="F247" i="7"/>
  <c r="O447" i="7"/>
  <c r="P247" i="7"/>
  <c r="O372" i="7"/>
  <c r="M898" i="7"/>
  <c r="O898" i="7"/>
  <c r="J172" i="7"/>
  <c r="M741" i="7"/>
  <c r="O741" i="7"/>
  <c r="J171" i="7"/>
  <c r="M177" i="7"/>
  <c r="O747" i="7"/>
  <c r="F168" i="7"/>
  <c r="L626" i="7"/>
  <c r="M626" i="7"/>
  <c r="F626" i="7"/>
  <c r="P626" i="7"/>
  <c r="F622" i="7"/>
  <c r="P243" i="7"/>
  <c r="L618" i="7"/>
  <c r="M618" i="7" s="1"/>
  <c r="O618" i="7" s="1"/>
  <c r="P618" i="7"/>
  <c r="P168" i="7"/>
  <c r="F618" i="7"/>
  <c r="P250" i="7"/>
  <c r="J769" i="7"/>
  <c r="J776" i="7"/>
  <c r="J799" i="7"/>
  <c r="L243" i="7"/>
  <c r="M243" i="7" s="1"/>
  <c r="O243" i="7" s="1"/>
  <c r="J953" i="7"/>
  <c r="M953" i="7"/>
  <c r="O953" i="7"/>
  <c r="F243" i="7"/>
  <c r="P551" i="7"/>
  <c r="K649" i="7"/>
  <c r="J621" i="7"/>
  <c r="P313" i="11"/>
  <c r="L332" i="11"/>
  <c r="Q332" i="11"/>
  <c r="Q469" i="11"/>
  <c r="M505" i="11"/>
  <c r="O503" i="11"/>
  <c r="L337" i="11"/>
  <c r="P406" i="11"/>
  <c r="Q406" i="11"/>
  <c r="P333" i="11"/>
  <c r="F391" i="11"/>
  <c r="Q391" i="11"/>
  <c r="Q336" i="11"/>
  <c r="F179" i="11"/>
  <c r="Q338" i="11"/>
  <c r="L407" i="11"/>
  <c r="M407" i="11" s="1"/>
  <c r="Q317" i="11"/>
  <c r="F313" i="11"/>
  <c r="F332" i="11"/>
  <c r="M431" i="11"/>
  <c r="O431" i="11" s="1"/>
  <c r="P480" i="11"/>
  <c r="Q480" i="11"/>
  <c r="F339" i="11"/>
  <c r="Q339" i="11"/>
  <c r="L250" i="7"/>
  <c r="F551" i="7"/>
  <c r="J921" i="7"/>
  <c r="M965" i="7"/>
  <c r="F250" i="7"/>
  <c r="J475" i="7"/>
  <c r="L168" i="7"/>
  <c r="M168" i="7" s="1"/>
  <c r="L547" i="7"/>
  <c r="M547" i="7" s="1"/>
  <c r="P547" i="7"/>
  <c r="P468" i="7"/>
  <c r="F547" i="7"/>
  <c r="L622" i="7"/>
  <c r="F543" i="7"/>
  <c r="L178" i="7"/>
  <c r="M178" i="7" s="1"/>
  <c r="F322" i="7"/>
  <c r="P622" i="7"/>
  <c r="J876" i="7"/>
  <c r="M876" i="7"/>
  <c r="O876" i="7"/>
  <c r="F708" i="7"/>
  <c r="P178" i="7"/>
  <c r="P475" i="7"/>
  <c r="F697" i="7"/>
  <c r="K724" i="7"/>
  <c r="M724" i="7"/>
  <c r="J696" i="7"/>
  <c r="M740" i="7"/>
  <c r="J700" i="7"/>
  <c r="K874" i="7"/>
  <c r="M874" i="7"/>
  <c r="J850" i="7"/>
  <c r="L697" i="7"/>
  <c r="F847" i="7"/>
  <c r="L780" i="7"/>
  <c r="M780" i="7"/>
  <c r="F780" i="7"/>
  <c r="P780" i="7"/>
  <c r="H781" i="7"/>
  <c r="Q780" i="7"/>
  <c r="J726" i="7"/>
  <c r="M726" i="7"/>
  <c r="O726" i="7"/>
  <c r="F178" i="7"/>
  <c r="P472" i="7"/>
  <c r="P708" i="7"/>
  <c r="P172" i="7"/>
  <c r="L693" i="7"/>
  <c r="M693" i="7"/>
  <c r="O693" i="7" s="1"/>
  <c r="F843" i="7"/>
  <c r="F172" i="7"/>
  <c r="F472" i="7"/>
  <c r="P693" i="7"/>
  <c r="L468" i="7"/>
  <c r="M468" i="7" s="1"/>
  <c r="F693" i="7"/>
  <c r="M405" i="7"/>
  <c r="F851" i="7"/>
  <c r="P918" i="7"/>
  <c r="J500" i="7"/>
  <c r="J772" i="7"/>
  <c r="J576" i="7"/>
  <c r="M576" i="7"/>
  <c r="O576" i="7"/>
  <c r="H706" i="7"/>
  <c r="L705" i="7"/>
  <c r="M705" i="7"/>
  <c r="F705" i="7"/>
  <c r="P705" i="7"/>
  <c r="Q705" i="7"/>
  <c r="L475" i="7"/>
  <c r="L776" i="7"/>
  <c r="J546" i="7"/>
  <c r="M546" i="7"/>
  <c r="F468" i="7"/>
  <c r="P543" i="7"/>
  <c r="F475" i="7"/>
  <c r="P393" i="7"/>
  <c r="L543" i="7"/>
  <c r="M543" i="7" s="1"/>
  <c r="H857" i="7"/>
  <c r="P856" i="7"/>
  <c r="F856" i="7"/>
  <c r="L856" i="7"/>
  <c r="M856" i="7" s="1"/>
  <c r="Q856" i="7"/>
  <c r="P629" i="7"/>
  <c r="F629" i="7"/>
  <c r="Q629" i="7"/>
  <c r="L629" i="7"/>
  <c r="M629" i="7" s="1"/>
  <c r="H630" i="7"/>
  <c r="F918" i="7"/>
  <c r="F318" i="7"/>
  <c r="Q318" i="7"/>
  <c r="P939" i="7"/>
  <c r="Q939" i="7"/>
  <c r="P776" i="7"/>
  <c r="J246" i="7"/>
  <c r="J424" i="7"/>
  <c r="J403" i="7"/>
  <c r="J397" i="7"/>
  <c r="L478" i="7"/>
  <c r="H479" i="7"/>
  <c r="P478" i="7"/>
  <c r="F478" i="7"/>
  <c r="Q478" i="7"/>
  <c r="P322" i="7"/>
  <c r="P558" i="7"/>
  <c r="P697" i="7"/>
  <c r="L772" i="7"/>
  <c r="M772" i="7" s="1"/>
  <c r="F776" i="7"/>
  <c r="J199" i="7"/>
  <c r="H769" i="7"/>
  <c r="Q769" i="7"/>
  <c r="Q768" i="7"/>
  <c r="J247" i="7"/>
  <c r="J250" i="7"/>
  <c r="J350" i="7"/>
  <c r="M350" i="7"/>
  <c r="O350" i="7"/>
  <c r="J325" i="7"/>
  <c r="L701" i="7"/>
  <c r="M701" i="7" s="1"/>
  <c r="P253" i="7"/>
  <c r="H254" i="7"/>
  <c r="Q253" i="7"/>
  <c r="L253" i="7"/>
  <c r="M253" i="7" s="1"/>
  <c r="F772" i="7"/>
  <c r="J846" i="7"/>
  <c r="L322" i="7"/>
  <c r="P847" i="7"/>
  <c r="L843" i="7"/>
  <c r="M843" i="7" s="1"/>
  <c r="O843" i="7" s="1"/>
  <c r="L922" i="7"/>
  <c r="M922" i="7" s="1"/>
  <c r="P772" i="7"/>
  <c r="K500" i="7"/>
  <c r="K499" i="7"/>
  <c r="J474" i="7"/>
  <c r="M473" i="7"/>
  <c r="J471" i="7"/>
  <c r="M515" i="7"/>
  <c r="H555" i="7"/>
  <c r="L554" i="7"/>
  <c r="M554" i="7" s="1"/>
  <c r="P554" i="7"/>
  <c r="Q554" i="7"/>
  <c r="F554" i="7"/>
  <c r="Q328" i="7"/>
  <c r="P328" i="7"/>
  <c r="F328" i="7"/>
  <c r="H329" i="7"/>
  <c r="L328" i="7"/>
  <c r="M328" i="7" s="1"/>
  <c r="J402" i="7"/>
  <c r="K424" i="7"/>
  <c r="J396" i="7"/>
  <c r="J321" i="7"/>
  <c r="M365" i="7"/>
  <c r="M542" i="7"/>
  <c r="F558" i="7"/>
  <c r="L851" i="7"/>
  <c r="Q851" i="7"/>
  <c r="L472" i="7"/>
  <c r="L551" i="7"/>
  <c r="L708" i="7"/>
  <c r="L847" i="7"/>
  <c r="M847" i="7" s="1"/>
  <c r="P843" i="7"/>
  <c r="L768" i="7"/>
  <c r="M768" i="7" s="1"/>
  <c r="P631" i="7"/>
  <c r="Q631" i="7"/>
  <c r="K574" i="7"/>
  <c r="M574" i="7"/>
  <c r="F403" i="7"/>
  <c r="Q403" i="7"/>
  <c r="F397" i="7"/>
  <c r="Q397" i="7"/>
  <c r="F393" i="7"/>
  <c r="Q393" i="7"/>
  <c r="P701" i="7"/>
  <c r="K199" i="7"/>
  <c r="L403" i="7"/>
  <c r="M403" i="7" s="1"/>
  <c r="O403" i="7" s="1"/>
  <c r="L172" i="7"/>
  <c r="M172" i="7" s="1"/>
  <c r="P397" i="7"/>
  <c r="P403" i="7"/>
  <c r="L558" i="7"/>
  <c r="L631" i="7"/>
  <c r="L918" i="7"/>
  <c r="M918" i="7"/>
  <c r="O918" i="7" s="1"/>
  <c r="K274" i="7"/>
  <c r="K349" i="7"/>
  <c r="M349" i="7"/>
  <c r="P318" i="7"/>
  <c r="F480" i="7"/>
  <c r="P480" i="7"/>
  <c r="L480" i="7"/>
  <c r="M480" i="7" s="1"/>
  <c r="L318" i="7"/>
  <c r="M318" i="7"/>
  <c r="F701" i="7"/>
  <c r="P768" i="7"/>
  <c r="L397" i="7"/>
  <c r="J275" i="7"/>
  <c r="M275" i="7"/>
  <c r="O275" i="7"/>
  <c r="J274" i="7"/>
  <c r="M800" i="7"/>
  <c r="O800" i="7"/>
  <c r="M848" i="7"/>
  <c r="J847" i="7"/>
  <c r="M875" i="7"/>
  <c r="O875" i="7"/>
  <c r="M725" i="7"/>
  <c r="O725" i="7"/>
  <c r="J649" i="7"/>
  <c r="J650" i="7"/>
  <c r="M650" i="7"/>
  <c r="O650" i="7"/>
  <c r="J575" i="7"/>
  <c r="M575" i="7"/>
  <c r="O575" i="7"/>
  <c r="M323" i="7"/>
  <c r="O323" i="7" s="1"/>
  <c r="M248" i="7"/>
  <c r="O248" i="7" s="1"/>
  <c r="F395" i="11"/>
  <c r="P395" i="11"/>
  <c r="H464" i="11"/>
  <c r="Q464" i="11"/>
  <c r="F389" i="11"/>
  <c r="P337" i="11"/>
  <c r="F480" i="11"/>
  <c r="P465" i="11"/>
  <c r="P407" i="11"/>
  <c r="F335" i="11"/>
  <c r="P321" i="11"/>
  <c r="L395" i="11"/>
  <c r="L480" i="11"/>
  <c r="P339" i="11"/>
  <c r="F333" i="11"/>
  <c r="L461" i="11"/>
  <c r="H396" i="11"/>
  <c r="Q396" i="11" s="1"/>
  <c r="L339" i="11"/>
  <c r="F407" i="11"/>
  <c r="F469" i="11"/>
  <c r="F406" i="11"/>
  <c r="H392" i="11"/>
  <c r="P392" i="11" s="1"/>
  <c r="F461" i="11"/>
  <c r="P335" i="11"/>
  <c r="L321" i="11"/>
  <c r="L391" i="11"/>
  <c r="P391" i="11"/>
  <c r="F319" i="11"/>
  <c r="F468" i="11"/>
  <c r="J420" i="11"/>
  <c r="L482" i="11"/>
  <c r="M482" i="11" s="1"/>
  <c r="P405" i="11"/>
  <c r="F405" i="11"/>
  <c r="P332" i="11"/>
  <c r="O359" i="11"/>
  <c r="H314" i="11"/>
  <c r="Q314" i="11" s="1"/>
  <c r="L317" i="11"/>
  <c r="L335" i="11"/>
  <c r="H318" i="11"/>
  <c r="L336" i="11"/>
  <c r="M336" i="11" s="1"/>
  <c r="L324" i="11"/>
  <c r="M324" i="11" s="1"/>
  <c r="J419" i="11"/>
  <c r="M649" i="7"/>
  <c r="O649" i="7"/>
  <c r="O655" i="7"/>
  <c r="M776" i="7"/>
  <c r="M199" i="7"/>
  <c r="M205" i="7"/>
  <c r="M590" i="7"/>
  <c r="O590" i="7"/>
  <c r="M801" i="7"/>
  <c r="O801" i="7"/>
  <c r="M696" i="7"/>
  <c r="M250" i="7"/>
  <c r="M475" i="7"/>
  <c r="O475" i="7" s="1"/>
  <c r="L769" i="7"/>
  <c r="M769" i="7" s="1"/>
  <c r="H782" i="7"/>
  <c r="Q781" i="7"/>
  <c r="P781" i="7"/>
  <c r="F781" i="7"/>
  <c r="L781" i="7"/>
  <c r="M781" i="7" s="1"/>
  <c r="M500" i="7"/>
  <c r="O500" i="7"/>
  <c r="M665" i="7"/>
  <c r="O665" i="7"/>
  <c r="M321" i="7"/>
  <c r="M440" i="7"/>
  <c r="O440" i="7"/>
  <c r="M890" i="7"/>
  <c r="O890" i="7"/>
  <c r="P769" i="7"/>
  <c r="H707" i="7"/>
  <c r="P706" i="7"/>
  <c r="L706" i="7"/>
  <c r="M706" i="7"/>
  <c r="Q706" i="7"/>
  <c r="F706" i="7"/>
  <c r="F769" i="7"/>
  <c r="O211" i="7"/>
  <c r="L630" i="7"/>
  <c r="M630" i="7" s="1"/>
  <c r="P630" i="7"/>
  <c r="F630" i="7"/>
  <c r="Q630" i="7"/>
  <c r="F857" i="7"/>
  <c r="H858" i="7"/>
  <c r="P857" i="7"/>
  <c r="L857" i="7"/>
  <c r="M857" i="7" s="1"/>
  <c r="Q857" i="7"/>
  <c r="L479" i="7"/>
  <c r="M479" i="7" s="1"/>
  <c r="P479" i="7"/>
  <c r="Q479" i="7"/>
  <c r="F479" i="7"/>
  <c r="M478" i="7"/>
  <c r="M949" i="7"/>
  <c r="O949" i="7"/>
  <c r="O955" i="7"/>
  <c r="H330" i="7"/>
  <c r="L329" i="7"/>
  <c r="M329" i="7"/>
  <c r="P329" i="7"/>
  <c r="Q329" i="7"/>
  <c r="F329" i="7"/>
  <c r="H255" i="7"/>
  <c r="Q254" i="7"/>
  <c r="L254" i="7"/>
  <c r="M254" i="7" s="1"/>
  <c r="P254" i="7"/>
  <c r="F254" i="7"/>
  <c r="M851" i="7"/>
  <c r="O851" i="7" s="1"/>
  <c r="L555" i="7"/>
  <c r="M555" i="7" s="1"/>
  <c r="H556" i="7"/>
  <c r="P555" i="7"/>
  <c r="Q555" i="7"/>
  <c r="F555" i="7"/>
  <c r="M471" i="7"/>
  <c r="M551" i="7"/>
  <c r="O551" i="7" s="1"/>
  <c r="M215" i="7"/>
  <c r="O215" i="7"/>
  <c r="M290" i="7"/>
  <c r="O290" i="7"/>
  <c r="M274" i="7"/>
  <c r="M280" i="7"/>
  <c r="AA36" i="1"/>
  <c r="M499" i="7"/>
  <c r="O499" i="7"/>
  <c r="M424" i="7"/>
  <c r="M430" i="7"/>
  <c r="O965" i="7"/>
  <c r="M880" i="7"/>
  <c r="AA44" i="1"/>
  <c r="O874" i="7"/>
  <c r="O880" i="7"/>
  <c r="M730" i="7"/>
  <c r="O724" i="7"/>
  <c r="O730" i="7"/>
  <c r="M697" i="7"/>
  <c r="O697" i="7" s="1"/>
  <c r="O740" i="7"/>
  <c r="M622" i="7"/>
  <c r="M655" i="7"/>
  <c r="AA41" i="1"/>
  <c r="M580" i="7"/>
  <c r="AA40" i="1"/>
  <c r="O574" i="7"/>
  <c r="O580" i="7"/>
  <c r="M472" i="7"/>
  <c r="O515" i="7"/>
  <c r="M397" i="7"/>
  <c r="M322" i="7"/>
  <c r="O365" i="7"/>
  <c r="M355" i="7"/>
  <c r="O349" i="7"/>
  <c r="O355" i="7"/>
  <c r="J347" i="11"/>
  <c r="P318" i="11"/>
  <c r="F318" i="11"/>
  <c r="V244" i="11"/>
  <c r="H256" i="11"/>
  <c r="H255" i="11"/>
  <c r="H245" i="11"/>
  <c r="F245" i="11" s="1"/>
  <c r="N294" i="11"/>
  <c r="N293" i="11"/>
  <c r="N287" i="11"/>
  <c r="K287" i="11"/>
  <c r="N286" i="11"/>
  <c r="K286" i="11"/>
  <c r="N285" i="11"/>
  <c r="K285" i="11"/>
  <c r="N284" i="11"/>
  <c r="K284" i="11"/>
  <c r="N283" i="11"/>
  <c r="K283" i="11"/>
  <c r="N282" i="11"/>
  <c r="K282" i="11"/>
  <c r="N281" i="11"/>
  <c r="K281" i="11"/>
  <c r="M279" i="11"/>
  <c r="N277" i="11"/>
  <c r="O277" i="11" s="1"/>
  <c r="O279" i="11" s="1"/>
  <c r="K277" i="11"/>
  <c r="AD254" i="11"/>
  <c r="AB254" i="11"/>
  <c r="Z254" i="11"/>
  <c r="X254" i="11"/>
  <c r="V254" i="11"/>
  <c r="H254" i="11"/>
  <c r="F254" i="11" s="1"/>
  <c r="AD253" i="11"/>
  <c r="AB253" i="11"/>
  <c r="Z253" i="11"/>
  <c r="X253" i="11"/>
  <c r="V253" i="11"/>
  <c r="H253" i="11"/>
  <c r="L253" i="11" s="1"/>
  <c r="AD252" i="11"/>
  <c r="AB252" i="11"/>
  <c r="Z252" i="11"/>
  <c r="X252" i="11"/>
  <c r="V252" i="11"/>
  <c r="H252" i="11"/>
  <c r="H248" i="11"/>
  <c r="H249" i="11" s="1"/>
  <c r="P249" i="11" s="1"/>
  <c r="H243" i="11"/>
  <c r="F243" i="11" s="1"/>
  <c r="H239" i="11"/>
  <c r="Q239" i="11" s="1"/>
  <c r="M237" i="11"/>
  <c r="M281" i="11" s="1"/>
  <c r="M236" i="11"/>
  <c r="O224" i="11" s="1"/>
  <c r="M293" i="11" s="1"/>
  <c r="M287" i="11" s="1"/>
  <c r="M294" i="11"/>
  <c r="M224" i="11"/>
  <c r="M52" i="1" s="1"/>
  <c r="K224" i="11"/>
  <c r="L52" i="1" s="1"/>
  <c r="N220" i="11"/>
  <c r="N219" i="11"/>
  <c r="N213" i="11"/>
  <c r="K213" i="11"/>
  <c r="N212" i="11"/>
  <c r="K212" i="11"/>
  <c r="N211" i="11"/>
  <c r="K211" i="11"/>
  <c r="N210" i="11"/>
  <c r="K210" i="11"/>
  <c r="N209" i="11"/>
  <c r="K209" i="11"/>
  <c r="N208" i="11"/>
  <c r="K208" i="11"/>
  <c r="N207" i="11"/>
  <c r="K207" i="11"/>
  <c r="M205" i="11"/>
  <c r="N203" i="11"/>
  <c r="O203" i="11" s="1"/>
  <c r="O205" i="11" s="1"/>
  <c r="K203" i="11"/>
  <c r="AE197" i="11"/>
  <c r="AD197" i="11"/>
  <c r="AC197" i="11"/>
  <c r="AB197" i="11"/>
  <c r="AA197" i="11"/>
  <c r="Z197" i="11"/>
  <c r="Y197" i="11"/>
  <c r="X197" i="11"/>
  <c r="W197" i="11"/>
  <c r="V197" i="11"/>
  <c r="L179" i="11"/>
  <c r="H178" i="11"/>
  <c r="F178" i="11" s="1"/>
  <c r="H177" i="11"/>
  <c r="H175" i="11"/>
  <c r="P175" i="11" s="1"/>
  <c r="H171" i="11"/>
  <c r="Q171" i="11" s="1"/>
  <c r="H170" i="11"/>
  <c r="Q170" i="11" s="1"/>
  <c r="M163" i="11"/>
  <c r="M162" i="11"/>
  <c r="O150" i="11" s="1"/>
  <c r="M219" i="11" s="1"/>
  <c r="M150" i="11"/>
  <c r="M51" i="1" s="1"/>
  <c r="K150" i="11"/>
  <c r="L51" i="1" s="1"/>
  <c r="AE124" i="11"/>
  <c r="AE123" i="11"/>
  <c r="AC124" i="11"/>
  <c r="AC123" i="11"/>
  <c r="AA124" i="11"/>
  <c r="AA123" i="11"/>
  <c r="Y124" i="11"/>
  <c r="Y123" i="11"/>
  <c r="W124" i="11"/>
  <c r="W123" i="11"/>
  <c r="AD124" i="11"/>
  <c r="AB124" i="11"/>
  <c r="Z124" i="11"/>
  <c r="X124" i="11"/>
  <c r="V124" i="11"/>
  <c r="AD123" i="11"/>
  <c r="AB123" i="11"/>
  <c r="Z123" i="11"/>
  <c r="X123" i="11"/>
  <c r="V123" i="11"/>
  <c r="AD97" i="11"/>
  <c r="AB97" i="11"/>
  <c r="Z97" i="11"/>
  <c r="X97" i="11"/>
  <c r="V97" i="11"/>
  <c r="AD95" i="11"/>
  <c r="AB95" i="11"/>
  <c r="Z95" i="11"/>
  <c r="X95" i="11"/>
  <c r="V95" i="11"/>
  <c r="H92" i="11"/>
  <c r="N146" i="11"/>
  <c r="N145" i="11"/>
  <c r="O145" i="11" s="1"/>
  <c r="N139" i="11"/>
  <c r="K139" i="11"/>
  <c r="N138" i="11"/>
  <c r="K138" i="11"/>
  <c r="N137" i="11"/>
  <c r="O137" i="11" s="1"/>
  <c r="M137" i="11"/>
  <c r="K137" i="11"/>
  <c r="N136" i="11"/>
  <c r="O136" i="11" s="1"/>
  <c r="K136" i="11"/>
  <c r="N135" i="11"/>
  <c r="O135" i="11" s="1"/>
  <c r="K135" i="11"/>
  <c r="N134" i="11"/>
  <c r="K134" i="11"/>
  <c r="N133" i="11"/>
  <c r="K133" i="11"/>
  <c r="M131" i="11"/>
  <c r="N129" i="11"/>
  <c r="O129" i="11"/>
  <c r="O131" i="11" s="1"/>
  <c r="K129" i="11"/>
  <c r="AD105" i="11"/>
  <c r="AB105" i="11"/>
  <c r="Z105" i="11"/>
  <c r="X105" i="11"/>
  <c r="V105" i="11"/>
  <c r="P105" i="11"/>
  <c r="AD104" i="11"/>
  <c r="AB104" i="11"/>
  <c r="Z104" i="11"/>
  <c r="X104" i="11"/>
  <c r="V104" i="11"/>
  <c r="H104" i="11"/>
  <c r="AD103" i="11"/>
  <c r="AB103" i="11"/>
  <c r="Z103" i="11"/>
  <c r="X103" i="11"/>
  <c r="V103" i="11"/>
  <c r="H103" i="11"/>
  <c r="N103" i="11" s="1"/>
  <c r="H101" i="11"/>
  <c r="H102" i="11" s="1"/>
  <c r="H97" i="11"/>
  <c r="Q97" i="11"/>
  <c r="AD96" i="11"/>
  <c r="AB96" i="11"/>
  <c r="Z96" i="11"/>
  <c r="X96" i="11"/>
  <c r="V96" i="11"/>
  <c r="M89" i="11"/>
  <c r="M136" i="11" s="1"/>
  <c r="M88" i="11"/>
  <c r="O76" i="11"/>
  <c r="M145" i="11" s="1"/>
  <c r="M146" i="11" s="1"/>
  <c r="O146" i="11" s="1"/>
  <c r="M84" i="11"/>
  <c r="J124" i="11"/>
  <c r="M76" i="11"/>
  <c r="M50" i="1" s="1"/>
  <c r="K76" i="11"/>
  <c r="L50" i="1" s="1"/>
  <c r="AE49" i="11"/>
  <c r="Y49" i="11"/>
  <c r="AD21" i="11"/>
  <c r="AB21" i="11"/>
  <c r="Z21" i="11"/>
  <c r="W49" i="11"/>
  <c r="X21" i="11"/>
  <c r="V21" i="11"/>
  <c r="N72" i="11"/>
  <c r="N71" i="11"/>
  <c r="N65" i="11"/>
  <c r="K65" i="11"/>
  <c r="N64" i="11"/>
  <c r="K64" i="11"/>
  <c r="N63" i="11"/>
  <c r="K63" i="11"/>
  <c r="N62" i="11"/>
  <c r="K62" i="11"/>
  <c r="N61" i="11"/>
  <c r="K61" i="11"/>
  <c r="N60" i="11"/>
  <c r="K60" i="11"/>
  <c r="N59" i="11"/>
  <c r="K59" i="11"/>
  <c r="M57" i="11"/>
  <c r="N55" i="11"/>
  <c r="O55" i="11" s="1"/>
  <c r="O57" i="11" s="1"/>
  <c r="K55" i="11"/>
  <c r="AD49" i="11"/>
  <c r="AB49" i="11"/>
  <c r="Z49" i="11"/>
  <c r="X49" i="11"/>
  <c r="V49" i="11"/>
  <c r="AD31" i="11"/>
  <c r="AB31" i="11"/>
  <c r="Z31" i="11"/>
  <c r="X31" i="11"/>
  <c r="V31" i="11"/>
  <c r="P31" i="11"/>
  <c r="AD30" i="11"/>
  <c r="AB30" i="11"/>
  <c r="Z30" i="11"/>
  <c r="X30" i="11"/>
  <c r="V30" i="11"/>
  <c r="H30" i="11"/>
  <c r="AD29" i="11"/>
  <c r="AB29" i="11"/>
  <c r="Z29" i="11"/>
  <c r="X29" i="11"/>
  <c r="V29" i="11"/>
  <c r="H29" i="11"/>
  <c r="H27" i="11"/>
  <c r="L27" i="11" s="1"/>
  <c r="AD22" i="11"/>
  <c r="AB22" i="11"/>
  <c r="Z22" i="11"/>
  <c r="X22" i="11"/>
  <c r="V22" i="11"/>
  <c r="H21" i="11"/>
  <c r="H22" i="11" s="1"/>
  <c r="N22" i="11" s="1"/>
  <c r="H17" i="11"/>
  <c r="M15" i="11"/>
  <c r="M59" i="11" s="1"/>
  <c r="O59" i="11" s="1"/>
  <c r="M14" i="11"/>
  <c r="O2" i="11" s="1"/>
  <c r="M71" i="11" s="1"/>
  <c r="M2" i="11"/>
  <c r="M49" i="1" s="1"/>
  <c r="K2" i="11"/>
  <c r="L49" i="1" s="1"/>
  <c r="O199" i="7"/>
  <c r="O205" i="7"/>
  <c r="M765" i="7"/>
  <c r="M812" i="7"/>
  <c r="O812" i="7"/>
  <c r="J773" i="7"/>
  <c r="M764" i="7"/>
  <c r="J767" i="7"/>
  <c r="J771" i="7"/>
  <c r="M815" i="7"/>
  <c r="O815" i="7"/>
  <c r="J775" i="7"/>
  <c r="K799" i="7"/>
  <c r="M799" i="7"/>
  <c r="O799" i="7"/>
  <c r="O805" i="7"/>
  <c r="Q249" i="11"/>
  <c r="H250" i="11"/>
  <c r="F249" i="11"/>
  <c r="Q17" i="11"/>
  <c r="L171" i="11"/>
  <c r="L29" i="11"/>
  <c r="M29" i="11" s="1"/>
  <c r="Q248" i="11"/>
  <c r="Q175" i="11"/>
  <c r="P243" i="11"/>
  <c r="Q101" i="11"/>
  <c r="M135" i="11"/>
  <c r="M207" i="11"/>
  <c r="O207" i="11" s="1"/>
  <c r="M210" i="11"/>
  <c r="M209" i="11"/>
  <c r="J96" i="11"/>
  <c r="L255" i="11"/>
  <c r="M255" i="11" s="1"/>
  <c r="Q255" i="11"/>
  <c r="Q256" i="11"/>
  <c r="O219" i="7"/>
  <c r="H783" i="7"/>
  <c r="L782" i="7"/>
  <c r="M782" i="7" s="1"/>
  <c r="P782" i="7"/>
  <c r="F782" i="7"/>
  <c r="Q782" i="7"/>
  <c r="O505" i="7"/>
  <c r="P858" i="7"/>
  <c r="Q858" i="7"/>
  <c r="F858" i="7"/>
  <c r="H859" i="7"/>
  <c r="L858" i="7"/>
  <c r="M858" i="7"/>
  <c r="L707" i="7"/>
  <c r="M707" i="7" s="1"/>
  <c r="Q707" i="7"/>
  <c r="P707" i="7"/>
  <c r="F707" i="7"/>
  <c r="M955" i="7"/>
  <c r="F255" i="7"/>
  <c r="Q255" i="7"/>
  <c r="L255" i="7"/>
  <c r="M255" i="7" s="1"/>
  <c r="P255" i="7"/>
  <c r="F556" i="7"/>
  <c r="H557" i="7"/>
  <c r="Q556" i="7"/>
  <c r="L556" i="7"/>
  <c r="M556" i="7" s="1"/>
  <c r="P556" i="7"/>
  <c r="Q330" i="7"/>
  <c r="P330" i="7"/>
  <c r="F330" i="7"/>
  <c r="L330" i="7"/>
  <c r="M330" i="7" s="1"/>
  <c r="O330" i="7" s="1"/>
  <c r="O424" i="7"/>
  <c r="O430" i="7"/>
  <c r="O274" i="7"/>
  <c r="O280" i="7"/>
  <c r="M505" i="7"/>
  <c r="J253" i="11"/>
  <c r="J254" i="11"/>
  <c r="J252" i="11"/>
  <c r="F165" i="11"/>
  <c r="O63" i="11"/>
  <c r="F248" i="11"/>
  <c r="O211" i="11"/>
  <c r="F105" i="11"/>
  <c r="P91" i="11"/>
  <c r="J105" i="11"/>
  <c r="J104" i="11"/>
  <c r="F171" i="11"/>
  <c r="J91" i="11"/>
  <c r="H96" i="11"/>
  <c r="F96" i="11" s="1"/>
  <c r="L91" i="11"/>
  <c r="L105" i="11"/>
  <c r="M105" i="11" s="1"/>
  <c r="J92" i="11"/>
  <c r="F239" i="11"/>
  <c r="P255" i="11"/>
  <c r="F95" i="11"/>
  <c r="F256" i="11"/>
  <c r="J103" i="11"/>
  <c r="P165" i="11"/>
  <c r="F255" i="11"/>
  <c r="J239" i="11"/>
  <c r="P239" i="11"/>
  <c r="O293" i="11"/>
  <c r="L248" i="11"/>
  <c r="P252" i="11"/>
  <c r="F252" i="11"/>
  <c r="P248" i="11"/>
  <c r="L178" i="11"/>
  <c r="M178" i="11" s="1"/>
  <c r="H166" i="11"/>
  <c r="Q166" i="11" s="1"/>
  <c r="L175" i="11"/>
  <c r="N105" i="11"/>
  <c r="O105" i="11" s="1"/>
  <c r="L101" i="11"/>
  <c r="F101" i="11"/>
  <c r="F91" i="11"/>
  <c r="F92" i="11"/>
  <c r="P97" i="11"/>
  <c r="F97" i="11"/>
  <c r="F104" i="11"/>
  <c r="L97" i="11"/>
  <c r="L104" i="11"/>
  <c r="P101" i="11"/>
  <c r="P29" i="11"/>
  <c r="J17" i="11"/>
  <c r="N31" i="11"/>
  <c r="AK124" i="7"/>
  <c r="J51" i="1"/>
  <c r="J52" i="1"/>
  <c r="J53" i="1"/>
  <c r="J54" i="1"/>
  <c r="J55" i="1"/>
  <c r="R33" i="1"/>
  <c r="R34" i="1"/>
  <c r="R35" i="1"/>
  <c r="R36" i="1"/>
  <c r="R37" i="1"/>
  <c r="O38" i="1"/>
  <c r="R38" i="1"/>
  <c r="P39" i="1"/>
  <c r="R39" i="1"/>
  <c r="W39" i="1"/>
  <c r="R40" i="1"/>
  <c r="R41" i="1"/>
  <c r="R42" i="1"/>
  <c r="W42" i="1"/>
  <c r="R43" i="1"/>
  <c r="P44" i="1"/>
  <c r="R44" i="1"/>
  <c r="R45" i="1"/>
  <c r="R49" i="1"/>
  <c r="R50" i="1"/>
  <c r="R51" i="1"/>
  <c r="R52" i="1"/>
  <c r="R53" i="1"/>
  <c r="R54" i="1"/>
  <c r="R55" i="1"/>
  <c r="J34" i="1"/>
  <c r="J35" i="1"/>
  <c r="J36" i="1"/>
  <c r="J37" i="1"/>
  <c r="J38" i="1"/>
  <c r="J39" i="1"/>
  <c r="J40" i="1"/>
  <c r="J41" i="1"/>
  <c r="J42" i="1"/>
  <c r="J43" i="1"/>
  <c r="J44" i="1"/>
  <c r="J45" i="1"/>
  <c r="J33" i="1"/>
  <c r="H99" i="7"/>
  <c r="H98" i="7"/>
  <c r="AJ98" i="7"/>
  <c r="AJ97" i="7"/>
  <c r="AJ96" i="7"/>
  <c r="AH98" i="7"/>
  <c r="AH97" i="7"/>
  <c r="AH96" i="7"/>
  <c r="AF98" i="7"/>
  <c r="AF97" i="7"/>
  <c r="AF96" i="7"/>
  <c r="AD98" i="7"/>
  <c r="AD97" i="7"/>
  <c r="AD96" i="7"/>
  <c r="AB98" i="7"/>
  <c r="AB97" i="7"/>
  <c r="AB96" i="7"/>
  <c r="Z98" i="7"/>
  <c r="Z97" i="7"/>
  <c r="Z96" i="7"/>
  <c r="X98" i="7"/>
  <c r="X97" i="7"/>
  <c r="X96" i="7"/>
  <c r="V98" i="7"/>
  <c r="V96" i="7"/>
  <c r="V97" i="7"/>
  <c r="N148" i="7"/>
  <c r="N147" i="7"/>
  <c r="N141" i="7"/>
  <c r="K141" i="7"/>
  <c r="N140" i="7"/>
  <c r="K140" i="7"/>
  <c r="N139" i="7"/>
  <c r="O139" i="7"/>
  <c r="K139" i="7"/>
  <c r="N138" i="7"/>
  <c r="K138" i="7"/>
  <c r="N137" i="7"/>
  <c r="K137" i="7"/>
  <c r="N136" i="7"/>
  <c r="K136" i="7"/>
  <c r="N135" i="7"/>
  <c r="K135" i="7"/>
  <c r="M133" i="7"/>
  <c r="N132" i="7"/>
  <c r="O132" i="7"/>
  <c r="O133" i="7"/>
  <c r="K132" i="7"/>
  <c r="AJ124" i="7"/>
  <c r="AJ107" i="7"/>
  <c r="AH107" i="7"/>
  <c r="AF107" i="7"/>
  <c r="AD107" i="7"/>
  <c r="AB107" i="7"/>
  <c r="Z107" i="7"/>
  <c r="X107" i="7"/>
  <c r="J107" i="7"/>
  <c r="H107" i="7"/>
  <c r="Q107" i="7"/>
  <c r="AJ106" i="7"/>
  <c r="AH106" i="7"/>
  <c r="AF106" i="7"/>
  <c r="AD106" i="7"/>
  <c r="AB106" i="7"/>
  <c r="Z106" i="7"/>
  <c r="X106" i="7"/>
  <c r="J106" i="7"/>
  <c r="H106" i="7"/>
  <c r="H102" i="7"/>
  <c r="H96" i="7"/>
  <c r="H92" i="7"/>
  <c r="M90" i="7"/>
  <c r="M89" i="7"/>
  <c r="M77" i="7"/>
  <c r="M34" i="1"/>
  <c r="K77" i="7"/>
  <c r="L34" i="1"/>
  <c r="H29" i="7"/>
  <c r="AJ30" i="7"/>
  <c r="H30" i="7"/>
  <c r="F30" i="7"/>
  <c r="AJ29" i="7"/>
  <c r="AH30" i="7"/>
  <c r="AH29" i="7"/>
  <c r="AF30" i="7"/>
  <c r="AF29" i="7"/>
  <c r="AD30" i="7"/>
  <c r="AD29" i="7"/>
  <c r="AB30" i="7"/>
  <c r="AB29" i="7"/>
  <c r="Z30" i="7"/>
  <c r="J30" i="7"/>
  <c r="Z29" i="7"/>
  <c r="J29" i="7"/>
  <c r="X30" i="7"/>
  <c r="X29" i="7"/>
  <c r="V30" i="7"/>
  <c r="V29" i="7"/>
  <c r="AK49" i="7"/>
  <c r="AJ49" i="7"/>
  <c r="H27" i="7"/>
  <c r="H17" i="7"/>
  <c r="AJ21" i="7"/>
  <c r="AJ22" i="7"/>
  <c r="AI49" i="7"/>
  <c r="AH49" i="7"/>
  <c r="AH21" i="7"/>
  <c r="AG49" i="7"/>
  <c r="AF49" i="7"/>
  <c r="AF21" i="7"/>
  <c r="AF22" i="7"/>
  <c r="H21" i="7"/>
  <c r="AD21" i="7"/>
  <c r="AD22" i="7"/>
  <c r="AB21" i="7"/>
  <c r="AB22" i="7"/>
  <c r="Z21" i="7"/>
  <c r="Z22" i="7"/>
  <c r="X21" i="7"/>
  <c r="X22" i="7"/>
  <c r="V22" i="7"/>
  <c r="V21" i="7"/>
  <c r="N73" i="7"/>
  <c r="N72" i="7"/>
  <c r="N66" i="7"/>
  <c r="K66" i="7"/>
  <c r="N65" i="7"/>
  <c r="K65" i="7"/>
  <c r="N64" i="7"/>
  <c r="K64" i="7"/>
  <c r="N63" i="7"/>
  <c r="K63" i="7"/>
  <c r="N62" i="7"/>
  <c r="K62" i="7"/>
  <c r="N61" i="7"/>
  <c r="K61" i="7"/>
  <c r="N60" i="7"/>
  <c r="K60" i="7"/>
  <c r="M58" i="7"/>
  <c r="N57" i="7"/>
  <c r="O57" i="7"/>
  <c r="O58" i="7"/>
  <c r="K57" i="7"/>
  <c r="K27" i="7"/>
  <c r="M15" i="7"/>
  <c r="M14" i="7"/>
  <c r="M5" i="7"/>
  <c r="M9" i="7"/>
  <c r="M4" i="7"/>
  <c r="J17" i="7"/>
  <c r="M2" i="7"/>
  <c r="M33" i="1"/>
  <c r="Q33" i="1" s="1"/>
  <c r="K2" i="7"/>
  <c r="L33" i="1"/>
  <c r="O31" i="1"/>
  <c r="Q31" i="1" s="1"/>
  <c r="J31" i="1"/>
  <c r="O30" i="1"/>
  <c r="J30" i="1"/>
  <c r="R29" i="1"/>
  <c r="R30" i="1"/>
  <c r="R31" i="1"/>
  <c r="J29" i="1"/>
  <c r="AC212" i="6"/>
  <c r="AA212" i="6"/>
  <c r="Y212" i="6"/>
  <c r="W212" i="6"/>
  <c r="U212" i="6"/>
  <c r="W150" i="6"/>
  <c r="U150" i="6"/>
  <c r="AC150" i="6"/>
  <c r="AA150" i="6"/>
  <c r="Y150" i="6"/>
  <c r="W156" i="10"/>
  <c r="U156" i="10"/>
  <c r="G156" i="10"/>
  <c r="P156" i="10"/>
  <c r="W172" i="10"/>
  <c r="W153" i="10"/>
  <c r="U172" i="10"/>
  <c r="J160" i="10"/>
  <c r="U153" i="10"/>
  <c r="J161" i="10"/>
  <c r="G161" i="10"/>
  <c r="K161" i="10"/>
  <c r="G160" i="10"/>
  <c r="E160" i="10"/>
  <c r="J98" i="10"/>
  <c r="G98" i="10"/>
  <c r="G97" i="10"/>
  <c r="G33" i="10"/>
  <c r="P33" i="10"/>
  <c r="G32" i="10"/>
  <c r="P32" i="10"/>
  <c r="J33" i="10"/>
  <c r="K33" i="10"/>
  <c r="L33" i="10" s="1"/>
  <c r="M193" i="10"/>
  <c r="M192" i="10"/>
  <c r="M186" i="10"/>
  <c r="J186" i="10"/>
  <c r="M185" i="10"/>
  <c r="J185" i="10"/>
  <c r="M184" i="10"/>
  <c r="L184" i="10"/>
  <c r="J184" i="10"/>
  <c r="M183" i="10"/>
  <c r="J183" i="10"/>
  <c r="M182" i="10"/>
  <c r="J182" i="10"/>
  <c r="M181" i="10"/>
  <c r="J181" i="10"/>
  <c r="M180" i="10"/>
  <c r="J180" i="10"/>
  <c r="L178" i="10"/>
  <c r="M177" i="10"/>
  <c r="N177" i="10"/>
  <c r="N178" i="10"/>
  <c r="J177" i="10"/>
  <c r="X172" i="10"/>
  <c r="V172" i="10"/>
  <c r="G158" i="10"/>
  <c r="E158" i="10"/>
  <c r="J157" i="10"/>
  <c r="G157" i="10"/>
  <c r="O157" i="10"/>
  <c r="G155" i="10"/>
  <c r="P155" i="10"/>
  <c r="G154" i="10"/>
  <c r="P154" i="10"/>
  <c r="G153" i="10"/>
  <c r="E153" i="10"/>
  <c r="W152" i="10"/>
  <c r="U152" i="10"/>
  <c r="G152" i="10"/>
  <c r="K152" i="10"/>
  <c r="L152" i="10" s="1"/>
  <c r="N152" i="10" s="1"/>
  <c r="W151" i="10"/>
  <c r="U151" i="10"/>
  <c r="G151" i="10"/>
  <c r="G149" i="10"/>
  <c r="W148" i="10"/>
  <c r="U148" i="10"/>
  <c r="G148" i="10"/>
  <c r="P148" i="10"/>
  <c r="G147" i="10"/>
  <c r="P147" i="10"/>
  <c r="L145" i="10"/>
  <c r="L144" i="10"/>
  <c r="N132" i="10"/>
  <c r="L192" i="10"/>
  <c r="L135" i="10"/>
  <c r="L139" i="10"/>
  <c r="L134" i="10"/>
  <c r="L136" i="10"/>
  <c r="L132" i="10"/>
  <c r="M31" i="1"/>
  <c r="J132" i="10"/>
  <c r="L31" i="1"/>
  <c r="M128" i="10"/>
  <c r="M127" i="10"/>
  <c r="M121" i="10"/>
  <c r="J121" i="10"/>
  <c r="M120" i="10"/>
  <c r="J120" i="10"/>
  <c r="M119" i="10"/>
  <c r="L119" i="10"/>
  <c r="N119" i="10"/>
  <c r="J119" i="10"/>
  <c r="M118" i="10"/>
  <c r="J118" i="10"/>
  <c r="M117" i="10"/>
  <c r="J117" i="10"/>
  <c r="M116" i="10"/>
  <c r="J116" i="10"/>
  <c r="M115" i="10"/>
  <c r="J115" i="10"/>
  <c r="L113" i="10"/>
  <c r="M112" i="10"/>
  <c r="N112" i="10"/>
  <c r="N113" i="10"/>
  <c r="J112" i="10"/>
  <c r="X107" i="10"/>
  <c r="W107" i="10"/>
  <c r="V107" i="10"/>
  <c r="U107" i="10"/>
  <c r="G93" i="10"/>
  <c r="E93" i="10"/>
  <c r="J92" i="10"/>
  <c r="G92" i="10"/>
  <c r="G90" i="10"/>
  <c r="G89" i="10"/>
  <c r="W88" i="10"/>
  <c r="U88" i="10"/>
  <c r="G88" i="10"/>
  <c r="P88" i="10"/>
  <c r="E88" i="10"/>
  <c r="W87" i="10"/>
  <c r="U87" i="10"/>
  <c r="G87" i="10"/>
  <c r="W86" i="10"/>
  <c r="U86" i="10"/>
  <c r="G86" i="10"/>
  <c r="P86" i="10"/>
  <c r="E86" i="10"/>
  <c r="G84" i="10"/>
  <c r="E84" i="10"/>
  <c r="W83" i="10"/>
  <c r="U83" i="10"/>
  <c r="G83" i="10"/>
  <c r="G82" i="10"/>
  <c r="L80" i="10"/>
  <c r="L79" i="10"/>
  <c r="N67" i="10"/>
  <c r="L127" i="10"/>
  <c r="L70" i="10"/>
  <c r="L74" i="10"/>
  <c r="L69" i="10"/>
  <c r="L71" i="10"/>
  <c r="L67" i="10"/>
  <c r="M30" i="1"/>
  <c r="J67" i="10"/>
  <c r="L30" i="1"/>
  <c r="X43" i="10"/>
  <c r="W43" i="10"/>
  <c r="X42" i="10"/>
  <c r="W42" i="10"/>
  <c r="G28" i="10"/>
  <c r="G27" i="10"/>
  <c r="W23" i="10"/>
  <c r="W22" i="10"/>
  <c r="W21" i="10"/>
  <c r="G25" i="10"/>
  <c r="P25" i="10"/>
  <c r="G24" i="10"/>
  <c r="E24" i="10"/>
  <c r="G23" i="10"/>
  <c r="P23" i="10"/>
  <c r="G22" i="10"/>
  <c r="P22" i="10"/>
  <c r="G21" i="10"/>
  <c r="O21" i="10"/>
  <c r="G19" i="10"/>
  <c r="P19" i="10"/>
  <c r="G18" i="10"/>
  <c r="G17" i="10"/>
  <c r="W18" i="10"/>
  <c r="V43" i="10"/>
  <c r="U43" i="10"/>
  <c r="V42" i="10"/>
  <c r="U42" i="10"/>
  <c r="J27" i="10"/>
  <c r="U23" i="10"/>
  <c r="K25" i="10"/>
  <c r="U22" i="10"/>
  <c r="U21" i="10"/>
  <c r="U18" i="10"/>
  <c r="M63" i="10"/>
  <c r="M62" i="10"/>
  <c r="M56" i="10"/>
  <c r="J56" i="10"/>
  <c r="M55" i="10"/>
  <c r="J55" i="10"/>
  <c r="M54" i="10"/>
  <c r="L54" i="10"/>
  <c r="J54" i="10"/>
  <c r="M53" i="10"/>
  <c r="J53" i="10"/>
  <c r="M52" i="10"/>
  <c r="J52" i="10"/>
  <c r="M51" i="10"/>
  <c r="J51" i="10"/>
  <c r="M50" i="10"/>
  <c r="J50" i="10"/>
  <c r="L48" i="10"/>
  <c r="M47" i="10"/>
  <c r="N47" i="10"/>
  <c r="N48" i="10"/>
  <c r="J47" i="10"/>
  <c r="L15" i="10"/>
  <c r="L14" i="10"/>
  <c r="N2" i="10"/>
  <c r="L62" i="10"/>
  <c r="J42" i="10"/>
  <c r="L2" i="10"/>
  <c r="M29" i="1"/>
  <c r="J2" i="10"/>
  <c r="L29" i="1"/>
  <c r="R26" i="1"/>
  <c r="R27" i="1"/>
  <c r="R25" i="1"/>
  <c r="R24" i="1"/>
  <c r="J27" i="1"/>
  <c r="J26" i="1"/>
  <c r="J25" i="1"/>
  <c r="J24" i="1"/>
  <c r="AD164" i="6"/>
  <c r="AC164" i="6"/>
  <c r="AB164" i="6"/>
  <c r="AA164" i="6"/>
  <c r="Z164" i="6"/>
  <c r="Y164" i="6"/>
  <c r="X164" i="6"/>
  <c r="W164" i="6"/>
  <c r="V164" i="6"/>
  <c r="U164" i="6"/>
  <c r="AD163" i="6"/>
  <c r="AC163" i="6"/>
  <c r="AB163" i="6"/>
  <c r="AA163" i="6"/>
  <c r="Z163" i="6"/>
  <c r="Y163" i="6"/>
  <c r="X163" i="6"/>
  <c r="W163" i="6"/>
  <c r="V163" i="6"/>
  <c r="U163" i="6"/>
  <c r="W156" i="6"/>
  <c r="J156" i="6"/>
  <c r="I156" i="6"/>
  <c r="G156" i="6"/>
  <c r="K156" i="6"/>
  <c r="L156" i="6" s="1"/>
  <c r="W155" i="6"/>
  <c r="I155" i="6"/>
  <c r="U155" i="6"/>
  <c r="G155" i="6"/>
  <c r="J153" i="6"/>
  <c r="G153" i="6"/>
  <c r="P153" i="6"/>
  <c r="J151" i="6"/>
  <c r="G151" i="6"/>
  <c r="O151" i="6"/>
  <c r="G150" i="6"/>
  <c r="P150" i="6"/>
  <c r="G149" i="6"/>
  <c r="P149" i="6"/>
  <c r="G148" i="6"/>
  <c r="P148" i="6"/>
  <c r="AC147" i="6"/>
  <c r="AA147" i="6"/>
  <c r="Y147" i="6"/>
  <c r="W147" i="6"/>
  <c r="U147" i="6"/>
  <c r="G147" i="6"/>
  <c r="K147" i="6"/>
  <c r="L147" i="6" s="1"/>
  <c r="AC146" i="6"/>
  <c r="AA146" i="6"/>
  <c r="Y146" i="6"/>
  <c r="W146" i="6"/>
  <c r="U146" i="6"/>
  <c r="G146" i="6"/>
  <c r="E146" i="6"/>
  <c r="AC145" i="6"/>
  <c r="AA145" i="6"/>
  <c r="Y145" i="6"/>
  <c r="W145" i="6"/>
  <c r="U145" i="6"/>
  <c r="G145" i="6"/>
  <c r="P145" i="6"/>
  <c r="E145" i="6"/>
  <c r="G143" i="6"/>
  <c r="P143" i="6"/>
  <c r="AC142" i="6"/>
  <c r="AA142" i="6"/>
  <c r="Y142" i="6"/>
  <c r="G142" i="6"/>
  <c r="E142" i="6"/>
  <c r="G141" i="6"/>
  <c r="E141" i="6"/>
  <c r="AC225" i="6"/>
  <c r="G212" i="6"/>
  <c r="P212" i="6"/>
  <c r="AC209" i="6"/>
  <c r="AA225" i="6"/>
  <c r="AA209" i="6"/>
  <c r="AA204" i="6"/>
  <c r="Y225" i="6"/>
  <c r="Z225" i="6"/>
  <c r="G213" i="6"/>
  <c r="P213" i="6"/>
  <c r="Y209" i="6"/>
  <c r="W225" i="6"/>
  <c r="W209" i="6"/>
  <c r="U209" i="6"/>
  <c r="U225" i="6"/>
  <c r="I217" i="6"/>
  <c r="J218" i="6"/>
  <c r="L237" i="6"/>
  <c r="J213" i="6"/>
  <c r="J215" i="6"/>
  <c r="M246" i="6"/>
  <c r="M245" i="6"/>
  <c r="M239" i="6"/>
  <c r="J239" i="6"/>
  <c r="M238" i="6"/>
  <c r="J238" i="6"/>
  <c r="M237" i="6"/>
  <c r="J237" i="6"/>
  <c r="M236" i="6"/>
  <c r="J236" i="6"/>
  <c r="M235" i="6"/>
  <c r="J235" i="6"/>
  <c r="M234" i="6"/>
  <c r="J234" i="6"/>
  <c r="M233" i="6"/>
  <c r="J233" i="6"/>
  <c r="L231" i="6"/>
  <c r="M230" i="6"/>
  <c r="N230" i="6"/>
  <c r="N231" i="6"/>
  <c r="J230" i="6"/>
  <c r="AD225" i="6"/>
  <c r="AB225" i="6"/>
  <c r="X225" i="6"/>
  <c r="V225" i="6"/>
  <c r="W218" i="6"/>
  <c r="I218" i="6"/>
  <c r="G218" i="6"/>
  <c r="W217" i="6"/>
  <c r="U217" i="6"/>
  <c r="G217" i="6"/>
  <c r="G215" i="6"/>
  <c r="G211" i="6"/>
  <c r="G210" i="6"/>
  <c r="G209" i="6"/>
  <c r="P209" i="6"/>
  <c r="AC208" i="6"/>
  <c r="AA208" i="6"/>
  <c r="Y208" i="6"/>
  <c r="W208" i="6"/>
  <c r="U208" i="6"/>
  <c r="G208" i="6"/>
  <c r="E208" i="6"/>
  <c r="AC207" i="6"/>
  <c r="AA207" i="6"/>
  <c r="Y207" i="6"/>
  <c r="W207" i="6"/>
  <c r="U207" i="6"/>
  <c r="G207" i="6"/>
  <c r="G205" i="6"/>
  <c r="AC204" i="6"/>
  <c r="Y204" i="6"/>
  <c r="G204" i="6"/>
  <c r="P204" i="6"/>
  <c r="G203" i="6"/>
  <c r="L201" i="6"/>
  <c r="L200" i="6"/>
  <c r="N188" i="6"/>
  <c r="L245" i="6"/>
  <c r="L191" i="6"/>
  <c r="I204" i="6"/>
  <c r="L190" i="6"/>
  <c r="I203" i="6"/>
  <c r="L188" i="6"/>
  <c r="M27" i="1"/>
  <c r="J188" i="6"/>
  <c r="L27" i="1"/>
  <c r="M184" i="6"/>
  <c r="M183" i="6"/>
  <c r="M177" i="6"/>
  <c r="J177" i="6"/>
  <c r="M176" i="6"/>
  <c r="J176" i="6"/>
  <c r="M175" i="6"/>
  <c r="L175" i="6"/>
  <c r="J175" i="6"/>
  <c r="M174" i="6"/>
  <c r="J174" i="6"/>
  <c r="M173" i="6"/>
  <c r="J173" i="6"/>
  <c r="M172" i="6"/>
  <c r="J172" i="6"/>
  <c r="M171" i="6"/>
  <c r="J171" i="6"/>
  <c r="L169" i="6"/>
  <c r="M168" i="6"/>
  <c r="N168" i="6"/>
  <c r="N169" i="6"/>
  <c r="J168" i="6"/>
  <c r="L139" i="6"/>
  <c r="L138" i="6"/>
  <c r="N126" i="6"/>
  <c r="L183" i="6"/>
  <c r="L129" i="6"/>
  <c r="I142" i="6"/>
  <c r="I153" i="6"/>
  <c r="L128" i="6"/>
  <c r="L130" i="6"/>
  <c r="L126" i="6"/>
  <c r="M26" i="1"/>
  <c r="J126" i="6"/>
  <c r="L26" i="1"/>
  <c r="M122" i="6"/>
  <c r="M121" i="6"/>
  <c r="M115" i="6"/>
  <c r="J115" i="6"/>
  <c r="M114" i="6"/>
  <c r="J114" i="6"/>
  <c r="M113" i="6"/>
  <c r="L113" i="6"/>
  <c r="J113" i="6"/>
  <c r="M112" i="6"/>
  <c r="J112" i="6"/>
  <c r="M111" i="6"/>
  <c r="J111" i="6"/>
  <c r="M110" i="6"/>
  <c r="J110" i="6"/>
  <c r="M109" i="6"/>
  <c r="J109" i="6"/>
  <c r="L107" i="6"/>
  <c r="M106" i="6"/>
  <c r="N106" i="6"/>
  <c r="N107" i="6"/>
  <c r="J106" i="6"/>
  <c r="O86" i="6"/>
  <c r="K86" i="6"/>
  <c r="E86" i="6"/>
  <c r="O85" i="6"/>
  <c r="K85" i="6"/>
  <c r="L85" i="6" s="1"/>
  <c r="E85" i="6"/>
  <c r="O84" i="6"/>
  <c r="K84" i="6"/>
  <c r="L84" i="6" s="1"/>
  <c r="E84" i="6"/>
  <c r="E83" i="6"/>
  <c r="E81" i="6"/>
  <c r="O80" i="6"/>
  <c r="I81" i="6"/>
  <c r="K80" i="6"/>
  <c r="L80" i="6" s="1"/>
  <c r="E80" i="6"/>
  <c r="O79" i="6"/>
  <c r="K79" i="6"/>
  <c r="E79" i="6"/>
  <c r="L77" i="6"/>
  <c r="L76" i="6"/>
  <c r="N64" i="6"/>
  <c r="L121" i="6"/>
  <c r="L64" i="6"/>
  <c r="M25" i="1"/>
  <c r="J64" i="6"/>
  <c r="L25" i="1"/>
  <c r="L115" i="5"/>
  <c r="L52" i="5"/>
  <c r="L51" i="6"/>
  <c r="AD39" i="6"/>
  <c r="AC39" i="6"/>
  <c r="AB39" i="6"/>
  <c r="AA39" i="6"/>
  <c r="Z39" i="6"/>
  <c r="Y39" i="6"/>
  <c r="X39" i="6"/>
  <c r="W39" i="6"/>
  <c r="V39" i="6"/>
  <c r="U39" i="6"/>
  <c r="W23" i="6"/>
  <c r="R21" i="1"/>
  <c r="W87" i="5"/>
  <c r="P84" i="5"/>
  <c r="G25" i="5"/>
  <c r="P25" i="5"/>
  <c r="Y21" i="5"/>
  <c r="W21" i="5"/>
  <c r="K145" i="6"/>
  <c r="L145" i="6" s="1"/>
  <c r="M810" i="7"/>
  <c r="O810" i="7"/>
  <c r="M813" i="7"/>
  <c r="O813" i="7"/>
  <c r="J49" i="7"/>
  <c r="J28" i="7"/>
  <c r="J22" i="7"/>
  <c r="O752" i="7"/>
  <c r="M822" i="7"/>
  <c r="V43" i="1"/>
  <c r="O2" i="7"/>
  <c r="M72" i="7"/>
  <c r="O72" i="7"/>
  <c r="V33" i="1"/>
  <c r="O77" i="7"/>
  <c r="M147" i="7"/>
  <c r="M148" i="7"/>
  <c r="O148" i="7"/>
  <c r="V34" i="1"/>
  <c r="AC34" i="1" s="1"/>
  <c r="E19" i="10"/>
  <c r="V29" i="1"/>
  <c r="J43" i="10"/>
  <c r="O156" i="10"/>
  <c r="K156" i="10"/>
  <c r="E32" i="10"/>
  <c r="K32" i="10"/>
  <c r="E33" i="10"/>
  <c r="O32" i="10"/>
  <c r="O155" i="10"/>
  <c r="O33" i="10"/>
  <c r="I172" i="10"/>
  <c r="I159" i="10"/>
  <c r="I88" i="10"/>
  <c r="I89" i="10"/>
  <c r="I96" i="10"/>
  <c r="I95" i="10"/>
  <c r="I107" i="10"/>
  <c r="O28" i="10"/>
  <c r="G29" i="10"/>
  <c r="P28" i="10"/>
  <c r="K89" i="10"/>
  <c r="P89" i="10"/>
  <c r="J172" i="10"/>
  <c r="I158" i="10"/>
  <c r="I156" i="10"/>
  <c r="I151" i="10"/>
  <c r="K149" i="10"/>
  <c r="L149" i="10" s="1"/>
  <c r="P149" i="10"/>
  <c r="K97" i="10"/>
  <c r="P97" i="10"/>
  <c r="K84" i="10"/>
  <c r="P84" i="10"/>
  <c r="E87" i="10"/>
  <c r="P87" i="10"/>
  <c r="K90" i="10"/>
  <c r="L90" i="10" s="1"/>
  <c r="P90" i="10"/>
  <c r="K151" i="10"/>
  <c r="P151" i="10"/>
  <c r="K157" i="10"/>
  <c r="P157" i="10"/>
  <c r="O97" i="10"/>
  <c r="I28" i="10"/>
  <c r="I29" i="10"/>
  <c r="O24" i="10"/>
  <c r="P24" i="10"/>
  <c r="O84" i="10"/>
  <c r="K92" i="10"/>
  <c r="P92" i="10"/>
  <c r="O151" i="10"/>
  <c r="O98" i="10"/>
  <c r="P98" i="10"/>
  <c r="L118" i="10"/>
  <c r="N118" i="10"/>
  <c r="L117" i="10"/>
  <c r="N117" i="10"/>
  <c r="L115" i="10"/>
  <c r="N115" i="10"/>
  <c r="O17" i="10"/>
  <c r="P17" i="10"/>
  <c r="K82" i="10"/>
  <c r="P82" i="10"/>
  <c r="L50" i="10"/>
  <c r="L53" i="10"/>
  <c r="N53" i="10"/>
  <c r="L52" i="10"/>
  <c r="N52" i="10"/>
  <c r="O18" i="10"/>
  <c r="P18" i="10"/>
  <c r="K83" i="10"/>
  <c r="P83" i="10"/>
  <c r="K86" i="10"/>
  <c r="O154" i="10"/>
  <c r="K160" i="10"/>
  <c r="L160" i="10" s="1"/>
  <c r="N160" i="10" s="1"/>
  <c r="P160" i="10"/>
  <c r="O86" i="10"/>
  <c r="E155" i="10"/>
  <c r="O160" i="10"/>
  <c r="I18" i="10"/>
  <c r="L183" i="10"/>
  <c r="N183" i="10"/>
  <c r="L182" i="10"/>
  <c r="N182" i="10"/>
  <c r="L180" i="10"/>
  <c r="N180" i="10"/>
  <c r="O153" i="10"/>
  <c r="P153" i="10"/>
  <c r="K93" i="10"/>
  <c r="G94" i="10"/>
  <c r="P93" i="10"/>
  <c r="E152" i="10"/>
  <c r="P152" i="10"/>
  <c r="K158" i="10"/>
  <c r="G159" i="10"/>
  <c r="P158" i="10"/>
  <c r="E21" i="10"/>
  <c r="P21" i="10"/>
  <c r="K27" i="10"/>
  <c r="L27" i="10" s="1"/>
  <c r="N27" i="10" s="1"/>
  <c r="P27" i="10"/>
  <c r="I94" i="10"/>
  <c r="I93" i="10"/>
  <c r="I83" i="10"/>
  <c r="I84" i="10"/>
  <c r="O152" i="10"/>
  <c r="O161" i="10"/>
  <c r="P161" i="10"/>
  <c r="K212" i="6"/>
  <c r="L212" i="6" s="1"/>
  <c r="N212" i="6" s="1"/>
  <c r="I141" i="6"/>
  <c r="E151" i="6"/>
  <c r="L133" i="6"/>
  <c r="I164" i="6"/>
  <c r="E153" i="6"/>
  <c r="E149" i="6"/>
  <c r="L195" i="6"/>
  <c r="I209" i="6"/>
  <c r="E150" i="6"/>
  <c r="O150" i="6"/>
  <c r="K153" i="6"/>
  <c r="L153" i="6" s="1"/>
  <c r="O153" i="6"/>
  <c r="E148" i="6"/>
  <c r="I145" i="6"/>
  <c r="J163" i="6"/>
  <c r="I150" i="6"/>
  <c r="J164" i="6"/>
  <c r="I79" i="6"/>
  <c r="L79" i="6"/>
  <c r="L174" i="6"/>
  <c r="N174" i="6"/>
  <c r="L173" i="6"/>
  <c r="N173" i="6"/>
  <c r="L171" i="6"/>
  <c r="N171" i="6"/>
  <c r="E205" i="6"/>
  <c r="P205" i="6"/>
  <c r="O208" i="6"/>
  <c r="P208" i="6"/>
  <c r="O211" i="6"/>
  <c r="P211" i="6"/>
  <c r="O146" i="6"/>
  <c r="P146" i="6"/>
  <c r="L192" i="6"/>
  <c r="I212" i="6"/>
  <c r="E207" i="6"/>
  <c r="P207" i="6"/>
  <c r="O213" i="6"/>
  <c r="O141" i="6"/>
  <c r="P141" i="6"/>
  <c r="E143" i="6"/>
  <c r="O145" i="6"/>
  <c r="O148" i="6"/>
  <c r="K151" i="6"/>
  <c r="P151" i="6"/>
  <c r="K155" i="6"/>
  <c r="L155" i="6" s="1"/>
  <c r="N155" i="6" s="1"/>
  <c r="P155" i="6"/>
  <c r="O147" i="6"/>
  <c r="P147" i="6"/>
  <c r="O203" i="6"/>
  <c r="P203" i="6"/>
  <c r="O149" i="6"/>
  <c r="O210" i="6"/>
  <c r="P210" i="6"/>
  <c r="O215" i="6"/>
  <c r="P215" i="6"/>
  <c r="I146" i="6"/>
  <c r="I151" i="6"/>
  <c r="L236" i="6"/>
  <c r="N236" i="6"/>
  <c r="L235" i="6"/>
  <c r="N235" i="6"/>
  <c r="L233" i="6"/>
  <c r="N233" i="6"/>
  <c r="O156" i="6"/>
  <c r="P156" i="6"/>
  <c r="O217" i="6"/>
  <c r="P217" i="6"/>
  <c r="K143" i="6"/>
  <c r="L143" i="6" s="1"/>
  <c r="O142" i="6"/>
  <c r="P142" i="6"/>
  <c r="O143" i="6"/>
  <c r="L112" i="6"/>
  <c r="N112" i="6"/>
  <c r="L109" i="6"/>
  <c r="N109" i="6"/>
  <c r="L111" i="6"/>
  <c r="N111" i="6"/>
  <c r="N113" i="6"/>
  <c r="O218" i="6"/>
  <c r="P218" i="6"/>
  <c r="E147" i="6"/>
  <c r="W41" i="1"/>
  <c r="M771" i="7"/>
  <c r="V25" i="1"/>
  <c r="M805" i="7"/>
  <c r="K49" i="11"/>
  <c r="Q783" i="7"/>
  <c r="P783" i="7"/>
  <c r="L783" i="7"/>
  <c r="M783" i="7" s="1"/>
  <c r="F783" i="7"/>
  <c r="F107" i="7"/>
  <c r="H860" i="7"/>
  <c r="L859" i="7"/>
  <c r="M859" i="7" s="1"/>
  <c r="F859" i="7"/>
  <c r="P859" i="7"/>
  <c r="Q859" i="7"/>
  <c r="P96" i="7"/>
  <c r="Q96" i="7"/>
  <c r="L557" i="7"/>
  <c r="M557" i="7"/>
  <c r="P557" i="7"/>
  <c r="Q557" i="7"/>
  <c r="F557" i="7"/>
  <c r="L98" i="7"/>
  <c r="M98" i="7" s="1"/>
  <c r="Q98" i="7"/>
  <c r="P106" i="7"/>
  <c r="Q106" i="7"/>
  <c r="L99" i="7"/>
  <c r="M99" i="7"/>
  <c r="Q99" i="7"/>
  <c r="H28" i="7"/>
  <c r="P28" i="7"/>
  <c r="Q27" i="7"/>
  <c r="M138" i="7"/>
  <c r="O138" i="7"/>
  <c r="M137" i="7"/>
  <c r="O137" i="7"/>
  <c r="M135" i="7"/>
  <c r="O135" i="7"/>
  <c r="F21" i="7"/>
  <c r="Q21" i="7"/>
  <c r="L29" i="7"/>
  <c r="M29" i="7"/>
  <c r="O29" i="7" s="1"/>
  <c r="Q29" i="7"/>
  <c r="P92" i="7"/>
  <c r="Q92" i="7"/>
  <c r="M63" i="7"/>
  <c r="O63" i="7"/>
  <c r="M60" i="7"/>
  <c r="O60" i="7"/>
  <c r="M62" i="7"/>
  <c r="O62" i="7"/>
  <c r="L102" i="7"/>
  <c r="M102" i="7" s="1"/>
  <c r="H103" i="7"/>
  <c r="Q102" i="7"/>
  <c r="P30" i="7"/>
  <c r="Q30" i="7"/>
  <c r="H18" i="7"/>
  <c r="Q17" i="7"/>
  <c r="F96" i="7"/>
  <c r="V30" i="1"/>
  <c r="Q30" i="1"/>
  <c r="V31" i="1"/>
  <c r="J18" i="7"/>
  <c r="J93" i="7"/>
  <c r="J92" i="7"/>
  <c r="M558" i="7"/>
  <c r="M708" i="7"/>
  <c r="F99" i="7"/>
  <c r="P98" i="7"/>
  <c r="P102" i="7"/>
  <c r="P99" i="7"/>
  <c r="F98" i="7"/>
  <c r="F102" i="7"/>
  <c r="H100" i="7"/>
  <c r="L100" i="7"/>
  <c r="K123" i="11"/>
  <c r="M91" i="11"/>
  <c r="P30" i="1"/>
  <c r="O27" i="1"/>
  <c r="P107" i="7"/>
  <c r="F106" i="7"/>
  <c r="F92" i="7"/>
  <c r="H93" i="7"/>
  <c r="Q93" i="7"/>
  <c r="H97" i="7"/>
  <c r="Q97" i="7"/>
  <c r="L92" i="7"/>
  <c r="M92" i="7" s="1"/>
  <c r="O92" i="7" s="1"/>
  <c r="L106" i="7"/>
  <c r="M106" i="7" s="1"/>
  <c r="O106" i="7" s="1"/>
  <c r="L107" i="7"/>
  <c r="M107" i="7" s="1"/>
  <c r="L96" i="7"/>
  <c r="L30" i="7"/>
  <c r="M30" i="7"/>
  <c r="P29" i="7"/>
  <c r="F29" i="7"/>
  <c r="AH22" i="7"/>
  <c r="P21" i="7"/>
  <c r="H22" i="7"/>
  <c r="P27" i="7"/>
  <c r="F17" i="7"/>
  <c r="N184" i="10"/>
  <c r="P17" i="7"/>
  <c r="L17" i="7"/>
  <c r="M17" i="7" s="1"/>
  <c r="O64" i="7"/>
  <c r="M6" i="7"/>
  <c r="L21" i="7"/>
  <c r="M21" i="7" s="1"/>
  <c r="L27" i="7"/>
  <c r="M27" i="7" s="1"/>
  <c r="F27" i="7"/>
  <c r="E156" i="10"/>
  <c r="E97" i="10"/>
  <c r="K88" i="10"/>
  <c r="L88" i="10" s="1"/>
  <c r="O88" i="10"/>
  <c r="E161" i="10"/>
  <c r="K98" i="10"/>
  <c r="L98" i="10" s="1"/>
  <c r="E98" i="10"/>
  <c r="O148" i="10"/>
  <c r="E147" i="10"/>
  <c r="E157" i="10"/>
  <c r="O158" i="10"/>
  <c r="O147" i="10"/>
  <c r="O149" i="10"/>
  <c r="E154" i="10"/>
  <c r="E148" i="10"/>
  <c r="I152" i="10"/>
  <c r="I161" i="10"/>
  <c r="L161" i="10"/>
  <c r="I153" i="10"/>
  <c r="L193" i="10"/>
  <c r="N193" i="10"/>
  <c r="L186" i="10"/>
  <c r="N186" i="10"/>
  <c r="N192" i="10"/>
  <c r="I147" i="10"/>
  <c r="I148" i="10"/>
  <c r="E149" i="10"/>
  <c r="E151" i="10"/>
  <c r="K154" i="10"/>
  <c r="L154" i="10" s="1"/>
  <c r="N154" i="10" s="1"/>
  <c r="K155" i="10"/>
  <c r="L155" i="10" s="1"/>
  <c r="K153" i="10"/>
  <c r="L153" i="10" s="1"/>
  <c r="K147" i="10"/>
  <c r="K148" i="10"/>
  <c r="L148" i="10" s="1"/>
  <c r="I86" i="10"/>
  <c r="I87" i="10"/>
  <c r="I98" i="10"/>
  <c r="J107" i="10"/>
  <c r="L128" i="10"/>
  <c r="N128" i="10"/>
  <c r="L121" i="10"/>
  <c r="N121" i="10"/>
  <c r="N127" i="10"/>
  <c r="O82" i="10"/>
  <c r="O83" i="10"/>
  <c r="K87" i="10"/>
  <c r="L87" i="10" s="1"/>
  <c r="N87" i="10" s="1"/>
  <c r="O89" i="10"/>
  <c r="O90" i="10"/>
  <c r="E82" i="10"/>
  <c r="E83" i="10"/>
  <c r="I97" i="10"/>
  <c r="E89" i="10"/>
  <c r="E90" i="10"/>
  <c r="E92" i="10"/>
  <c r="O92" i="10"/>
  <c r="O93" i="10"/>
  <c r="I82" i="10"/>
  <c r="O87" i="10"/>
  <c r="K24" i="10"/>
  <c r="L24" i="10" s="1"/>
  <c r="N24" i="10" s="1"/>
  <c r="E23" i="10"/>
  <c r="E25" i="10"/>
  <c r="E27" i="10"/>
  <c r="O27" i="10"/>
  <c r="E28" i="10"/>
  <c r="K19" i="10"/>
  <c r="O19" i="10"/>
  <c r="O25" i="10"/>
  <c r="K28" i="10"/>
  <c r="L28" i="10" s="1"/>
  <c r="N28" i="10" s="1"/>
  <c r="K21" i="10"/>
  <c r="L21" i="10" s="1"/>
  <c r="N21" i="10" s="1"/>
  <c r="L56" i="10"/>
  <c r="N56" i="10"/>
  <c r="L63" i="10"/>
  <c r="N63" i="10"/>
  <c r="N62" i="10"/>
  <c r="K18" i="10"/>
  <c r="L18" i="10" s="1"/>
  <c r="E18" i="10"/>
  <c r="I17" i="10"/>
  <c r="O23" i="10"/>
  <c r="K23" i="10"/>
  <c r="L23" i="10" s="1"/>
  <c r="N54" i="10"/>
  <c r="K22" i="10"/>
  <c r="E22" i="10"/>
  <c r="K17" i="10"/>
  <c r="L17" i="10" s="1"/>
  <c r="E17" i="10"/>
  <c r="N50" i="10"/>
  <c r="O22" i="10"/>
  <c r="K141" i="6"/>
  <c r="L141" i="6" s="1"/>
  <c r="K142" i="6"/>
  <c r="L142" i="6" s="1"/>
  <c r="O155" i="6"/>
  <c r="E155" i="6"/>
  <c r="N175" i="6"/>
  <c r="K146" i="6"/>
  <c r="L146" i="6" s="1"/>
  <c r="I143" i="6"/>
  <c r="E156" i="6"/>
  <c r="K148" i="6"/>
  <c r="K149" i="6"/>
  <c r="K150" i="6"/>
  <c r="L150" i="6" s="1"/>
  <c r="O212" i="6"/>
  <c r="K208" i="6"/>
  <c r="L208" i="6" s="1"/>
  <c r="E209" i="6"/>
  <c r="E213" i="6"/>
  <c r="E212" i="6"/>
  <c r="E217" i="6"/>
  <c r="E210" i="6"/>
  <c r="K213" i="6"/>
  <c r="L213" i="6" s="1"/>
  <c r="K217" i="6"/>
  <c r="L217" i="6"/>
  <c r="K210" i="6"/>
  <c r="L210" i="6" s="1"/>
  <c r="E215" i="6"/>
  <c r="E203" i="6"/>
  <c r="E211" i="6"/>
  <c r="E218" i="6"/>
  <c r="K204" i="6"/>
  <c r="L204" i="6"/>
  <c r="O209" i="6"/>
  <c r="O204" i="6"/>
  <c r="E204" i="6"/>
  <c r="K203" i="6"/>
  <c r="L203" i="6" s="1"/>
  <c r="N203" i="6" s="1"/>
  <c r="K211" i="6"/>
  <c r="L211" i="6" s="1"/>
  <c r="K215" i="6"/>
  <c r="L215" i="6" s="1"/>
  <c r="N237" i="6"/>
  <c r="I205" i="6"/>
  <c r="I215" i="6"/>
  <c r="L246" i="6"/>
  <c r="N246" i="6"/>
  <c r="L239" i="6"/>
  <c r="N239" i="6"/>
  <c r="N245" i="6"/>
  <c r="K218" i="6"/>
  <c r="L218" i="6"/>
  <c r="N218" i="6" s="1"/>
  <c r="K209" i="6"/>
  <c r="L209" i="6" s="1"/>
  <c r="N209" i="6" s="1"/>
  <c r="K207" i="6"/>
  <c r="K205" i="6"/>
  <c r="O205" i="6"/>
  <c r="O207" i="6"/>
  <c r="L184" i="6"/>
  <c r="N184" i="6"/>
  <c r="L177" i="6"/>
  <c r="N177" i="6"/>
  <c r="N183" i="6"/>
  <c r="L101" i="6"/>
  <c r="L104" i="6"/>
  <c r="L122" i="6"/>
  <c r="N122" i="6"/>
  <c r="L115" i="6"/>
  <c r="N115" i="6"/>
  <c r="N121" i="6"/>
  <c r="K81" i="6"/>
  <c r="L81" i="6" s="1"/>
  <c r="N81" i="6" s="1"/>
  <c r="K83" i="6"/>
  <c r="O81" i="6"/>
  <c r="O83" i="6"/>
  <c r="AC23" i="6"/>
  <c r="AC22" i="6"/>
  <c r="AC21" i="6"/>
  <c r="AC18" i="6"/>
  <c r="G27" i="6"/>
  <c r="G25" i="6"/>
  <c r="G24" i="6"/>
  <c r="G23" i="6"/>
  <c r="G22" i="6"/>
  <c r="G21" i="6"/>
  <c r="G19" i="6"/>
  <c r="G18" i="6"/>
  <c r="G17" i="6"/>
  <c r="AA23" i="6"/>
  <c r="AA22" i="6"/>
  <c r="AA21" i="6"/>
  <c r="AA18" i="6"/>
  <c r="Y23" i="6"/>
  <c r="Y22" i="6"/>
  <c r="Y21" i="6"/>
  <c r="Y18" i="6"/>
  <c r="G31" i="6"/>
  <c r="W96" i="5"/>
  <c r="I96" i="5"/>
  <c r="G96" i="5"/>
  <c r="P96" i="5"/>
  <c r="G27" i="5"/>
  <c r="G32" i="6"/>
  <c r="W32" i="6"/>
  <c r="I32" i="6"/>
  <c r="W31" i="6"/>
  <c r="W22" i="6"/>
  <c r="W21" i="6"/>
  <c r="U31" i="6"/>
  <c r="U23" i="6"/>
  <c r="U22" i="6"/>
  <c r="U21" i="6"/>
  <c r="O84" i="5"/>
  <c r="G92" i="5"/>
  <c r="M60" i="6"/>
  <c r="M59" i="6"/>
  <c r="M53" i="6"/>
  <c r="J53" i="6"/>
  <c r="M52" i="6"/>
  <c r="J52" i="6"/>
  <c r="M51" i="6"/>
  <c r="N51" i="6"/>
  <c r="J51" i="6"/>
  <c r="M50" i="6"/>
  <c r="J50" i="6"/>
  <c r="M49" i="6"/>
  <c r="J49" i="6"/>
  <c r="M48" i="6"/>
  <c r="J48" i="6"/>
  <c r="M47" i="6"/>
  <c r="J47" i="6"/>
  <c r="L45" i="6"/>
  <c r="M44" i="6"/>
  <c r="N44" i="6"/>
  <c r="N45" i="6"/>
  <c r="J44" i="6"/>
  <c r="G29" i="6"/>
  <c r="L15" i="6"/>
  <c r="L14" i="6"/>
  <c r="N2" i="6"/>
  <c r="L59" i="6"/>
  <c r="L60" i="6"/>
  <c r="I18" i="6"/>
  <c r="L2" i="6"/>
  <c r="M24" i="1"/>
  <c r="V24" i="1" s="1"/>
  <c r="W24" i="1" s="1"/>
  <c r="J2" i="6"/>
  <c r="L24" i="1"/>
  <c r="Y104" i="5"/>
  <c r="Z104" i="5"/>
  <c r="Z103" i="5"/>
  <c r="W104" i="5"/>
  <c r="X104" i="5"/>
  <c r="J104" i="5"/>
  <c r="X103" i="5"/>
  <c r="U104" i="5"/>
  <c r="V104" i="5"/>
  <c r="V103" i="5"/>
  <c r="E25" i="5"/>
  <c r="G94" i="5"/>
  <c r="Y87" i="5"/>
  <c r="Y86" i="5"/>
  <c r="Y85" i="5"/>
  <c r="W86" i="5"/>
  <c r="U86" i="5"/>
  <c r="G86" i="5"/>
  <c r="U21" i="5"/>
  <c r="G89" i="5"/>
  <c r="G88" i="5"/>
  <c r="G87" i="5"/>
  <c r="P87" i="5"/>
  <c r="G82" i="5"/>
  <c r="G81" i="5"/>
  <c r="W97" i="5"/>
  <c r="W85" i="5"/>
  <c r="U97" i="5"/>
  <c r="G97" i="5"/>
  <c r="U85" i="5"/>
  <c r="G85" i="5"/>
  <c r="P85" i="5"/>
  <c r="M124" i="5"/>
  <c r="M123" i="5"/>
  <c r="M117" i="5"/>
  <c r="J117" i="5"/>
  <c r="M116" i="5"/>
  <c r="J116" i="5"/>
  <c r="M115" i="5"/>
  <c r="N115" i="5"/>
  <c r="J115" i="5"/>
  <c r="M114" i="5"/>
  <c r="J114" i="5"/>
  <c r="M113" i="5"/>
  <c r="J113" i="5"/>
  <c r="M112" i="5"/>
  <c r="J112" i="5"/>
  <c r="M111" i="5"/>
  <c r="J111" i="5"/>
  <c r="L109" i="5"/>
  <c r="M108" i="5"/>
  <c r="N108" i="5"/>
  <c r="N109" i="5"/>
  <c r="J108" i="5"/>
  <c r="Y103" i="5"/>
  <c r="W103" i="5"/>
  <c r="U103" i="5"/>
  <c r="W95" i="5"/>
  <c r="U95" i="5"/>
  <c r="I95" i="5"/>
  <c r="G95" i="5"/>
  <c r="G91" i="5"/>
  <c r="P91" i="5"/>
  <c r="Y81" i="5"/>
  <c r="G80" i="5"/>
  <c r="L78" i="5"/>
  <c r="L77" i="5"/>
  <c r="N65" i="5"/>
  <c r="L123" i="5"/>
  <c r="L117" i="5"/>
  <c r="I80" i="5"/>
  <c r="Z40" i="5"/>
  <c r="Y40" i="5"/>
  <c r="X40" i="5"/>
  <c r="W40" i="5"/>
  <c r="U40" i="5"/>
  <c r="V40" i="5"/>
  <c r="W27" i="5"/>
  <c r="I27" i="5"/>
  <c r="G26" i="5"/>
  <c r="G22" i="5"/>
  <c r="G21" i="5"/>
  <c r="G19" i="5"/>
  <c r="G18" i="5"/>
  <c r="Y20" i="5"/>
  <c r="Y18" i="5"/>
  <c r="W26" i="5"/>
  <c r="W20" i="5"/>
  <c r="U26" i="5"/>
  <c r="I26" i="5"/>
  <c r="U20" i="5"/>
  <c r="G24" i="5"/>
  <c r="G20" i="5"/>
  <c r="P20" i="5"/>
  <c r="G17" i="5"/>
  <c r="M774" i="2"/>
  <c r="M773" i="2"/>
  <c r="V17" i="1"/>
  <c r="AA17" i="1" s="1"/>
  <c r="M705" i="2"/>
  <c r="M704" i="2"/>
  <c r="V16" i="1"/>
  <c r="W16" i="1" s="1"/>
  <c r="M567" i="2"/>
  <c r="V14" i="1"/>
  <c r="AF14" i="1" s="1"/>
  <c r="M498" i="2"/>
  <c r="M497" i="2"/>
  <c r="V13" i="1"/>
  <c r="AG13" i="1" s="1"/>
  <c r="M429" i="2"/>
  <c r="M428" i="2"/>
  <c r="V12" i="1"/>
  <c r="W12" i="1" s="1"/>
  <c r="M360" i="2"/>
  <c r="M359" i="2"/>
  <c r="V11" i="1"/>
  <c r="M291" i="2"/>
  <c r="M290" i="2"/>
  <c r="V10" i="1"/>
  <c r="AC10" i="1" s="1"/>
  <c r="M222" i="2"/>
  <c r="M221" i="2"/>
  <c r="V9" i="1"/>
  <c r="M152" i="2"/>
  <c r="V8" i="1"/>
  <c r="W8" i="1" s="1"/>
  <c r="M83" i="2"/>
  <c r="V7" i="1"/>
  <c r="AC7" i="1" s="1"/>
  <c r="M14" i="2"/>
  <c r="V6" i="1"/>
  <c r="W6" i="1" s="1"/>
  <c r="L15" i="5"/>
  <c r="L14" i="5"/>
  <c r="M61" i="5"/>
  <c r="M60" i="5"/>
  <c r="M54" i="5"/>
  <c r="J54" i="5"/>
  <c r="M53" i="5"/>
  <c r="J53" i="5"/>
  <c r="M52" i="5"/>
  <c r="J52" i="5"/>
  <c r="M51" i="5"/>
  <c r="J51" i="5"/>
  <c r="M50" i="5"/>
  <c r="J50" i="5"/>
  <c r="M49" i="5"/>
  <c r="J49" i="5"/>
  <c r="M48" i="5"/>
  <c r="J48" i="5"/>
  <c r="L46" i="5"/>
  <c r="M45" i="5"/>
  <c r="N45" i="5"/>
  <c r="N46" i="5"/>
  <c r="J45" i="5"/>
  <c r="I18" i="5"/>
  <c r="I19" i="5"/>
  <c r="H443" i="3"/>
  <c r="H444" i="3"/>
  <c r="H445" i="3"/>
  <c r="H446" i="3"/>
  <c r="H447" i="3"/>
  <c r="H442" i="3"/>
  <c r="H441" i="3"/>
  <c r="H420" i="3"/>
  <c r="H421" i="3"/>
  <c r="H422" i="3"/>
  <c r="H423" i="3"/>
  <c r="H424" i="3"/>
  <c r="H425" i="3"/>
  <c r="H426" i="3"/>
  <c r="H419" i="3"/>
  <c r="H41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68" i="3"/>
  <c r="H367" i="3"/>
  <c r="H279" i="3"/>
  <c r="H280" i="3"/>
  <c r="H281" i="3"/>
  <c r="H282" i="3"/>
  <c r="H278" i="3"/>
  <c r="H277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24" i="3"/>
  <c r="H438" i="3"/>
  <c r="H437" i="3"/>
  <c r="H436" i="3"/>
  <c r="H433" i="3"/>
  <c r="H434" i="3"/>
  <c r="H435" i="3"/>
  <c r="H432" i="3"/>
  <c r="H431" i="3"/>
  <c r="H430" i="3"/>
  <c r="H411" i="3"/>
  <c r="H412" i="3"/>
  <c r="H413" i="3"/>
  <c r="H414" i="3"/>
  <c r="H415" i="3"/>
  <c r="H407" i="3"/>
  <c r="H408" i="3"/>
  <c r="M98" i="10"/>
  <c r="H409" i="3"/>
  <c r="M156" i="10"/>
  <c r="N156" i="10" s="1"/>
  <c r="H410" i="3"/>
  <c r="H406" i="3"/>
  <c r="H405" i="3"/>
  <c r="M147" i="10"/>
  <c r="H404" i="3"/>
  <c r="H403" i="3"/>
  <c r="M18" i="10"/>
  <c r="H364" i="3"/>
  <c r="H363" i="3"/>
  <c r="H357" i="3"/>
  <c r="H358" i="3"/>
  <c r="H359" i="3"/>
  <c r="H360" i="3"/>
  <c r="H361" i="3"/>
  <c r="H362" i="3"/>
  <c r="H356" i="3"/>
  <c r="H355" i="3"/>
  <c r="H354" i="3"/>
  <c r="H353" i="3"/>
  <c r="H352" i="3"/>
  <c r="H349" i="3"/>
  <c r="H342" i="3"/>
  <c r="H343" i="3"/>
  <c r="H344" i="3"/>
  <c r="H345" i="3"/>
  <c r="H346" i="3"/>
  <c r="H347" i="3"/>
  <c r="H348" i="3"/>
  <c r="H341" i="3"/>
  <c r="H340" i="3"/>
  <c r="H337" i="3"/>
  <c r="M218" i="6"/>
  <c r="H336" i="3"/>
  <c r="H335" i="3"/>
  <c r="M150" i="6"/>
  <c r="H334" i="3"/>
  <c r="M148" i="6"/>
  <c r="N148" i="6" s="1"/>
  <c r="H333" i="3"/>
  <c r="M141" i="6"/>
  <c r="H330" i="3"/>
  <c r="H328" i="3"/>
  <c r="H329" i="3"/>
  <c r="H327" i="3"/>
  <c r="H326" i="3"/>
  <c r="H325" i="3"/>
  <c r="H321" i="3"/>
  <c r="H320" i="3"/>
  <c r="H319" i="3"/>
  <c r="H318" i="3"/>
  <c r="H310" i="3"/>
  <c r="H311" i="3"/>
  <c r="H312" i="3"/>
  <c r="H313" i="3"/>
  <c r="H314" i="3"/>
  <c r="H315" i="3"/>
  <c r="H316" i="3"/>
  <c r="H317" i="3"/>
  <c r="H309" i="3"/>
  <c r="H308" i="3"/>
  <c r="M141" i="7"/>
  <c r="O141" i="7"/>
  <c r="O147" i="7"/>
  <c r="M66" i="7"/>
  <c r="O66" i="7"/>
  <c r="M73" i="7"/>
  <c r="O73" i="7"/>
  <c r="O822" i="7"/>
  <c r="M816" i="7"/>
  <c r="O816" i="7"/>
  <c r="M823" i="7"/>
  <c r="O823" i="7"/>
  <c r="J96" i="7"/>
  <c r="W43" i="1"/>
  <c r="J98" i="7"/>
  <c r="J97" i="7"/>
  <c r="J100" i="7"/>
  <c r="M100" i="7"/>
  <c r="J21" i="7"/>
  <c r="M65" i="7"/>
  <c r="K49" i="7"/>
  <c r="J27" i="7"/>
  <c r="M61" i="7"/>
  <c r="L82" i="10"/>
  <c r="L156" i="10"/>
  <c r="L97" i="10"/>
  <c r="L93" i="10"/>
  <c r="N93" i="10" s="1"/>
  <c r="L83" i="10"/>
  <c r="L84" i="10"/>
  <c r="L107" i="10"/>
  <c r="N107" i="10"/>
  <c r="N110" i="10"/>
  <c r="L158" i="10"/>
  <c r="G30" i="10"/>
  <c r="E29" i="10"/>
  <c r="K29" i="10"/>
  <c r="L29" i="10" s="1"/>
  <c r="N29" i="10" s="1"/>
  <c r="P29" i="10"/>
  <c r="O29" i="10"/>
  <c r="K159" i="10"/>
  <c r="L159" i="10"/>
  <c r="N159" i="10" s="1"/>
  <c r="E159" i="10"/>
  <c r="O159" i="10"/>
  <c r="P159" i="10"/>
  <c r="P94" i="10"/>
  <c r="K94" i="10"/>
  <c r="L94" i="10" s="1"/>
  <c r="N94" i="10" s="1"/>
  <c r="O94" i="10"/>
  <c r="G95" i="10"/>
  <c r="M95" i="10"/>
  <c r="E94" i="10"/>
  <c r="I42" i="10"/>
  <c r="L42" i="10"/>
  <c r="N42" i="10"/>
  <c r="I31" i="10"/>
  <c r="I30" i="10"/>
  <c r="I43" i="10"/>
  <c r="L43" i="10"/>
  <c r="N43" i="10"/>
  <c r="I160" i="10"/>
  <c r="I27" i="10"/>
  <c r="I33" i="10"/>
  <c r="I147" i="6"/>
  <c r="I148" i="6"/>
  <c r="I149" i="6"/>
  <c r="L164" i="6"/>
  <c r="N164" i="6"/>
  <c r="I163" i="6"/>
  <c r="L163" i="6"/>
  <c r="N163" i="6"/>
  <c r="N166" i="6"/>
  <c r="L151" i="6"/>
  <c r="I225" i="6"/>
  <c r="K21" i="6"/>
  <c r="L21" i="6" s="1"/>
  <c r="P21" i="6"/>
  <c r="I17" i="6"/>
  <c r="E24" i="6"/>
  <c r="P24" i="6"/>
  <c r="K29" i="6"/>
  <c r="P29" i="6"/>
  <c r="K32" i="6"/>
  <c r="L32" i="6" s="1"/>
  <c r="N32" i="6" s="1"/>
  <c r="P32" i="6"/>
  <c r="E19" i="6"/>
  <c r="P19" i="6"/>
  <c r="O22" i="6"/>
  <c r="P22" i="6"/>
  <c r="I19" i="6"/>
  <c r="I29" i="6"/>
  <c r="K31" i="6"/>
  <c r="L31" i="6" s="1"/>
  <c r="P31" i="6"/>
  <c r="E25" i="6"/>
  <c r="P25" i="6"/>
  <c r="O17" i="6"/>
  <c r="P17" i="6"/>
  <c r="E27" i="6"/>
  <c r="P27" i="6"/>
  <c r="I208" i="6"/>
  <c r="I213" i="6"/>
  <c r="J225" i="6"/>
  <c r="I207" i="6"/>
  <c r="L207" i="6"/>
  <c r="K23" i="6"/>
  <c r="L23" i="6" s="1"/>
  <c r="P23" i="6"/>
  <c r="L50" i="6"/>
  <c r="N50" i="6"/>
  <c r="L49" i="6"/>
  <c r="N49" i="6"/>
  <c r="L47" i="6"/>
  <c r="N47" i="6"/>
  <c r="O18" i="6"/>
  <c r="P18" i="6"/>
  <c r="L172" i="6"/>
  <c r="I17" i="5"/>
  <c r="E85" i="5"/>
  <c r="AG31" i="1"/>
  <c r="AC31" i="1"/>
  <c r="M93" i="10"/>
  <c r="M94" i="10"/>
  <c r="M159" i="10"/>
  <c r="M29" i="10"/>
  <c r="M30" i="10"/>
  <c r="M744" i="2"/>
  <c r="M747" i="2"/>
  <c r="M746" i="2"/>
  <c r="O736" i="7"/>
  <c r="O744" i="7"/>
  <c r="L860" i="7"/>
  <c r="M860" i="7" s="1"/>
  <c r="P860" i="7"/>
  <c r="Q860" i="7"/>
  <c r="F860" i="7"/>
  <c r="M631" i="7"/>
  <c r="P100" i="7"/>
  <c r="Q100" i="7"/>
  <c r="F18" i="7"/>
  <c r="Q18" i="7"/>
  <c r="P18" i="7"/>
  <c r="Q103" i="7"/>
  <c r="H104" i="7"/>
  <c r="F103" i="7"/>
  <c r="L103" i="7"/>
  <c r="M103" i="7" s="1"/>
  <c r="P103" i="7"/>
  <c r="L18" i="7"/>
  <c r="M18" i="7"/>
  <c r="F22" i="7"/>
  <c r="Q22" i="7"/>
  <c r="F100" i="7"/>
  <c r="K124" i="7"/>
  <c r="F28" i="7"/>
  <c r="Q28" i="7"/>
  <c r="L28" i="7"/>
  <c r="M28" i="7"/>
  <c r="O886" i="7"/>
  <c r="O894" i="7"/>
  <c r="O811" i="7"/>
  <c r="O586" i="7"/>
  <c r="O594" i="7"/>
  <c r="O511" i="7"/>
  <c r="O519" i="7"/>
  <c r="O361" i="7"/>
  <c r="O369" i="7"/>
  <c r="O286" i="7"/>
  <c r="O294" i="7"/>
  <c r="K92" i="5"/>
  <c r="L92" i="5" s="1"/>
  <c r="G93" i="5"/>
  <c r="P92" i="5"/>
  <c r="I25" i="5"/>
  <c r="K22" i="5"/>
  <c r="P22" i="5"/>
  <c r="E94" i="5"/>
  <c r="P94" i="5"/>
  <c r="K26" i="5"/>
  <c r="L26" i="5" s="1"/>
  <c r="P26" i="5"/>
  <c r="K81" i="5"/>
  <c r="P81" i="5"/>
  <c r="E82" i="5"/>
  <c r="P82" i="5"/>
  <c r="O17" i="5"/>
  <c r="P17" i="5"/>
  <c r="L50" i="5"/>
  <c r="L48" i="5"/>
  <c r="L51" i="5"/>
  <c r="E24" i="5"/>
  <c r="P24" i="5"/>
  <c r="O19" i="5"/>
  <c r="P19" i="5"/>
  <c r="L114" i="5"/>
  <c r="N114" i="5"/>
  <c r="L113" i="5"/>
  <c r="N113" i="5"/>
  <c r="L111" i="5"/>
  <c r="N111" i="5"/>
  <c r="K97" i="5"/>
  <c r="L97" i="5" s="1"/>
  <c r="N97" i="5" s="1"/>
  <c r="P97" i="5"/>
  <c r="O89" i="5"/>
  <c r="P89" i="5"/>
  <c r="I104" i="5"/>
  <c r="L104" i="5"/>
  <c r="N104" i="5"/>
  <c r="K86" i="5"/>
  <c r="L86" i="5" s="1"/>
  <c r="N86" i="5" s="1"/>
  <c r="P86" i="5"/>
  <c r="K27" i="5"/>
  <c r="L27" i="5" s="1"/>
  <c r="N27" i="5" s="1"/>
  <c r="P27" i="5"/>
  <c r="E95" i="5"/>
  <c r="P95" i="5"/>
  <c r="K18" i="5"/>
  <c r="P18" i="5"/>
  <c r="E88" i="5"/>
  <c r="P88" i="5"/>
  <c r="K21" i="5"/>
  <c r="L21" i="5" s="1"/>
  <c r="P21" i="5"/>
  <c r="K80" i="5"/>
  <c r="L80" i="5" s="1"/>
  <c r="P80" i="5"/>
  <c r="I97" i="5"/>
  <c r="O94" i="5"/>
  <c r="M54" i="2"/>
  <c r="M57" i="2"/>
  <c r="M608" i="2"/>
  <c r="M606" i="2"/>
  <c r="M609" i="2"/>
  <c r="M123" i="2"/>
  <c r="M126" i="2"/>
  <c r="M195" i="2"/>
  <c r="M333" i="2"/>
  <c r="M332" i="2"/>
  <c r="M330" i="2"/>
  <c r="M401" i="2"/>
  <c r="M402" i="2"/>
  <c r="M399" i="2"/>
  <c r="M815" i="2"/>
  <c r="M813" i="2"/>
  <c r="M816" i="2"/>
  <c r="M261" i="2"/>
  <c r="M263" i="2"/>
  <c r="M264" i="2"/>
  <c r="M539" i="2"/>
  <c r="M537" i="2"/>
  <c r="M540" i="2"/>
  <c r="M471" i="2"/>
  <c r="M470" i="2"/>
  <c r="M468" i="2"/>
  <c r="M436" i="7"/>
  <c r="O436" i="7"/>
  <c r="O444" i="7"/>
  <c r="X31" i="1"/>
  <c r="Y31" i="1" s="1"/>
  <c r="N95" i="11"/>
  <c r="N169" i="11"/>
  <c r="N96" i="11"/>
  <c r="N97" i="11"/>
  <c r="N175" i="11"/>
  <c r="N101" i="11"/>
  <c r="N178" i="11"/>
  <c r="N29" i="11"/>
  <c r="N165" i="11"/>
  <c r="N91" i="11"/>
  <c r="N92" i="11"/>
  <c r="J124" i="7"/>
  <c r="J125" i="7"/>
  <c r="M125" i="7"/>
  <c r="O125" i="7"/>
  <c r="M779" i="7"/>
  <c r="P97" i="7"/>
  <c r="L97" i="7"/>
  <c r="M97" i="7" s="1"/>
  <c r="O97" i="7" s="1"/>
  <c r="F97" i="7"/>
  <c r="P93" i="7"/>
  <c r="L93" i="7"/>
  <c r="M93" i="7" s="1"/>
  <c r="F93" i="7"/>
  <c r="L22" i="7"/>
  <c r="P22" i="7"/>
  <c r="M155" i="10"/>
  <c r="N155" i="10" s="1"/>
  <c r="M83" i="10"/>
  <c r="N83" i="10" s="1"/>
  <c r="M89" i="10"/>
  <c r="M152" i="10"/>
  <c r="M28" i="10"/>
  <c r="M158" i="10"/>
  <c r="M19" i="10"/>
  <c r="N19" i="10" s="1"/>
  <c r="M84" i="10"/>
  <c r="N84" i="10" s="1"/>
  <c r="M149" i="10"/>
  <c r="M148" i="10"/>
  <c r="M24" i="10"/>
  <c r="M151" i="10"/>
  <c r="M86" i="10"/>
  <c r="M153" i="10"/>
  <c r="M88" i="10"/>
  <c r="N88" i="10" s="1"/>
  <c r="M97" i="10"/>
  <c r="M160" i="10"/>
  <c r="M32" i="10"/>
  <c r="N32" i="10" s="1"/>
  <c r="M17" i="10"/>
  <c r="M82" i="10"/>
  <c r="N82" i="10"/>
  <c r="M27" i="10"/>
  <c r="M33" i="10"/>
  <c r="M161" i="10"/>
  <c r="N161" i="10" s="1"/>
  <c r="M157" i="10"/>
  <c r="M92" i="10"/>
  <c r="M87" i="10"/>
  <c r="M90" i="10"/>
  <c r="M154" i="10"/>
  <c r="L172" i="10"/>
  <c r="N172" i="10"/>
  <c r="I157" i="10"/>
  <c r="L157" i="10"/>
  <c r="I154" i="10"/>
  <c r="L151" i="10"/>
  <c r="I149" i="10"/>
  <c r="L147" i="10"/>
  <c r="I92" i="10"/>
  <c r="L92" i="10"/>
  <c r="L86" i="10"/>
  <c r="N86" i="10" s="1"/>
  <c r="M212" i="6"/>
  <c r="M204" i="6"/>
  <c r="M203" i="6"/>
  <c r="M79" i="6"/>
  <c r="N79" i="6"/>
  <c r="M208" i="6"/>
  <c r="L149" i="6"/>
  <c r="M156" i="6"/>
  <c r="N156" i="6" s="1"/>
  <c r="M25" i="10"/>
  <c r="M22" i="10"/>
  <c r="M81" i="6"/>
  <c r="M143" i="6"/>
  <c r="M84" i="6"/>
  <c r="N84" i="6"/>
  <c r="M146" i="6"/>
  <c r="N146" i="6" s="1"/>
  <c r="M145" i="6"/>
  <c r="N145" i="6" s="1"/>
  <c r="M83" i="6"/>
  <c r="M85" i="6"/>
  <c r="M86" i="6"/>
  <c r="N86" i="6" s="1"/>
  <c r="M147" i="6"/>
  <c r="M210" i="6"/>
  <c r="M80" i="6"/>
  <c r="M211" i="6"/>
  <c r="N211" i="6" s="1"/>
  <c r="M142" i="6"/>
  <c r="M209" i="6"/>
  <c r="M155" i="6"/>
  <c r="M207" i="6"/>
  <c r="N207" i="6" s="1"/>
  <c r="M21" i="10"/>
  <c r="M23" i="10"/>
  <c r="M205" i="6"/>
  <c r="N205" i="6" s="1"/>
  <c r="M217" i="6"/>
  <c r="M149" i="6"/>
  <c r="I19" i="10"/>
  <c r="L19" i="10"/>
  <c r="L22" i="10"/>
  <c r="N22" i="10" s="1"/>
  <c r="L205" i="6"/>
  <c r="I210" i="6"/>
  <c r="I211" i="6"/>
  <c r="N101" i="6"/>
  <c r="N104" i="6"/>
  <c r="E27" i="5"/>
  <c r="O27" i="5"/>
  <c r="L86" i="6"/>
  <c r="L83" i="6"/>
  <c r="N83" i="6" s="1"/>
  <c r="E17" i="6"/>
  <c r="E32" i="6"/>
  <c r="E22" i="6"/>
  <c r="O32" i="6"/>
  <c r="M32" i="6"/>
  <c r="E80" i="5"/>
  <c r="E96" i="5"/>
  <c r="K96" i="5"/>
  <c r="L96" i="5" s="1"/>
  <c r="O96" i="5"/>
  <c r="E81" i="5"/>
  <c r="E86" i="5"/>
  <c r="O86" i="5"/>
  <c r="K89" i="5"/>
  <c r="E89" i="5"/>
  <c r="K94" i="5"/>
  <c r="K25" i="5"/>
  <c r="L25" i="5" s="1"/>
  <c r="O25" i="5"/>
  <c r="O21" i="6"/>
  <c r="E18" i="6"/>
  <c r="E21" i="6"/>
  <c r="N60" i="6"/>
  <c r="M31" i="6"/>
  <c r="O29" i="6"/>
  <c r="O31" i="6"/>
  <c r="O19" i="6"/>
  <c r="E29" i="6"/>
  <c r="E31" i="6"/>
  <c r="N59" i="6"/>
  <c r="K19" i="6"/>
  <c r="K24" i="6"/>
  <c r="K25" i="6"/>
  <c r="L25" i="6" s="1"/>
  <c r="K27" i="6"/>
  <c r="L27" i="6" s="1"/>
  <c r="O23" i="6"/>
  <c r="L53" i="6"/>
  <c r="N53" i="6"/>
  <c r="K17" i="6"/>
  <c r="K18" i="6"/>
  <c r="K22" i="6"/>
  <c r="L22" i="6" s="1"/>
  <c r="E23" i="6"/>
  <c r="O24" i="6"/>
  <c r="O25" i="6"/>
  <c r="O27" i="6"/>
  <c r="E84" i="5"/>
  <c r="K84" i="5"/>
  <c r="E97" i="5"/>
  <c r="O95" i="5"/>
  <c r="E19" i="5"/>
  <c r="O88" i="5"/>
  <c r="O92" i="5"/>
  <c r="E92" i="5"/>
  <c r="O80" i="5"/>
  <c r="E91" i="5"/>
  <c r="O97" i="5"/>
  <c r="I81" i="5"/>
  <c r="O91" i="5"/>
  <c r="O81" i="5"/>
  <c r="K88" i="5"/>
  <c r="L88" i="5" s="1"/>
  <c r="K95" i="5"/>
  <c r="L95" i="5" s="1"/>
  <c r="N95" i="5" s="1"/>
  <c r="K91" i="5"/>
  <c r="L124" i="5"/>
  <c r="N124" i="5"/>
  <c r="N117" i="5"/>
  <c r="N123" i="5"/>
  <c r="O87" i="5"/>
  <c r="K82" i="5"/>
  <c r="L82" i="5" s="1"/>
  <c r="K85" i="5"/>
  <c r="L85" i="5" s="1"/>
  <c r="E87" i="5"/>
  <c r="K87" i="5"/>
  <c r="O82" i="5"/>
  <c r="O85" i="5"/>
  <c r="E21" i="5"/>
  <c r="K19" i="5"/>
  <c r="L19" i="5" s="1"/>
  <c r="O21" i="5"/>
  <c r="E20" i="5"/>
  <c r="K20" i="5"/>
  <c r="E22" i="5"/>
  <c r="O22" i="5"/>
  <c r="O20" i="5"/>
  <c r="E18" i="5"/>
  <c r="O18" i="5"/>
  <c r="N52" i="5"/>
  <c r="K24" i="5"/>
  <c r="L24" i="5" s="1"/>
  <c r="E26" i="5"/>
  <c r="O26" i="5"/>
  <c r="K17" i="5"/>
  <c r="L17" i="5" s="1"/>
  <c r="O24" i="5"/>
  <c r="E17" i="5"/>
  <c r="N2" i="5"/>
  <c r="L60" i="5"/>
  <c r="N60" i="5"/>
  <c r="H300" i="3"/>
  <c r="H301" i="3"/>
  <c r="H302" i="3"/>
  <c r="H303" i="3"/>
  <c r="M96" i="5"/>
  <c r="H304" i="3"/>
  <c r="H305" i="3"/>
  <c r="H299" i="3"/>
  <c r="H298" i="3"/>
  <c r="M83" i="5"/>
  <c r="H297" i="3"/>
  <c r="H290" i="3"/>
  <c r="H291" i="3"/>
  <c r="H292" i="3"/>
  <c r="H293" i="3"/>
  <c r="H294" i="3"/>
  <c r="H289" i="3"/>
  <c r="M24" i="6"/>
  <c r="H288" i="3"/>
  <c r="H287" i="3"/>
  <c r="H286" i="3"/>
  <c r="H274" i="3"/>
  <c r="H273" i="3"/>
  <c r="H272" i="3"/>
  <c r="H271" i="3"/>
  <c r="H268" i="3"/>
  <c r="H267" i="3"/>
  <c r="H266" i="3"/>
  <c r="H265" i="3"/>
  <c r="H262" i="3"/>
  <c r="H261" i="3"/>
  <c r="H260" i="3"/>
  <c r="H259" i="3"/>
  <c r="H256" i="3"/>
  <c r="H255" i="3"/>
  <c r="H254" i="3"/>
  <c r="H253" i="3"/>
  <c r="H252" i="3"/>
  <c r="H248" i="3"/>
  <c r="H249" i="3"/>
  <c r="H247" i="3"/>
  <c r="H246" i="3"/>
  <c r="H245" i="3"/>
  <c r="H212" i="3"/>
  <c r="H192" i="3"/>
  <c r="H193" i="3"/>
  <c r="H191" i="3"/>
  <c r="H190" i="3"/>
  <c r="H189" i="3"/>
  <c r="H188" i="3"/>
  <c r="H187" i="3"/>
  <c r="H186" i="3"/>
  <c r="H185" i="3"/>
  <c r="H221" i="3"/>
  <c r="H220" i="3"/>
  <c r="H219" i="3"/>
  <c r="H218" i="3"/>
  <c r="H217" i="3"/>
  <c r="H216" i="3"/>
  <c r="H215" i="3"/>
  <c r="H211" i="3"/>
  <c r="H210" i="3"/>
  <c r="H209" i="3"/>
  <c r="H208" i="3"/>
  <c r="H207" i="3"/>
  <c r="H206" i="3"/>
  <c r="H205" i="3"/>
  <c r="H202" i="3"/>
  <c r="H201" i="3"/>
  <c r="H200" i="3"/>
  <c r="H199" i="3"/>
  <c r="H198" i="3"/>
  <c r="H197" i="3"/>
  <c r="H196" i="3"/>
  <c r="H182" i="3"/>
  <c r="H181" i="3"/>
  <c r="H180" i="3"/>
  <c r="H179" i="3"/>
  <c r="H178" i="3"/>
  <c r="H177" i="3"/>
  <c r="H176" i="3"/>
  <c r="H173" i="3"/>
  <c r="H172" i="3"/>
  <c r="H171" i="3"/>
  <c r="H170" i="3"/>
  <c r="H169" i="3"/>
  <c r="H168" i="3"/>
  <c r="H167" i="3"/>
  <c r="H166" i="3"/>
  <c r="H165" i="3"/>
  <c r="H157" i="3"/>
  <c r="H158" i="3"/>
  <c r="H159" i="3"/>
  <c r="H160" i="3"/>
  <c r="H161" i="3"/>
  <c r="H162" i="3"/>
  <c r="H156" i="3"/>
  <c r="H155" i="3"/>
  <c r="I40" i="5"/>
  <c r="J40" i="5"/>
  <c r="L40" i="5"/>
  <c r="L43" i="5"/>
  <c r="L61" i="5"/>
  <c r="N61" i="5"/>
  <c r="O819" i="7"/>
  <c r="L110" i="10"/>
  <c r="L45" i="10"/>
  <c r="I32" i="10"/>
  <c r="L32" i="10"/>
  <c r="O30" i="10"/>
  <c r="P30" i="10"/>
  <c r="E30" i="10"/>
  <c r="G31" i="10"/>
  <c r="K30" i="10"/>
  <c r="L30" i="10" s="1"/>
  <c r="P95" i="10"/>
  <c r="O95" i="10"/>
  <c r="E95" i="10"/>
  <c r="K95" i="10"/>
  <c r="L95" i="10" s="1"/>
  <c r="G96" i="10"/>
  <c r="N45" i="10"/>
  <c r="L225" i="6"/>
  <c r="L228" i="6"/>
  <c r="L166" i="6"/>
  <c r="L148" i="6"/>
  <c r="AC24" i="1"/>
  <c r="AG24" i="1"/>
  <c r="L234" i="6"/>
  <c r="N234" i="6"/>
  <c r="J39" i="6"/>
  <c r="I39" i="6"/>
  <c r="N110" i="6"/>
  <c r="N1074" i="7"/>
  <c r="N998" i="7"/>
  <c r="N999" i="7"/>
  <c r="N1076" i="7"/>
  <c r="N849" i="7"/>
  <c r="N699" i="7"/>
  <c r="N926" i="7"/>
  <c r="N624" i="7"/>
  <c r="N549" i="7"/>
  <c r="N1071" i="7"/>
  <c r="N996" i="7"/>
  <c r="N997" i="7"/>
  <c r="O997" i="7" s="1"/>
  <c r="N1073" i="7"/>
  <c r="N923" i="7"/>
  <c r="O923" i="7"/>
  <c r="N1001" i="7"/>
  <c r="O1001" i="7" s="1"/>
  <c r="N1000" i="7"/>
  <c r="N1077" i="7"/>
  <c r="N1079" i="7"/>
  <c r="O1079" i="7" s="1"/>
  <c r="N927" i="7"/>
  <c r="N928" i="7"/>
  <c r="N929" i="7"/>
  <c r="O929" i="7" s="1"/>
  <c r="N993" i="7"/>
  <c r="O993" i="7" s="1"/>
  <c r="N1068" i="7"/>
  <c r="N992" i="7"/>
  <c r="N1067" i="7"/>
  <c r="M1021" i="7"/>
  <c r="M124" i="7"/>
  <c r="O124" i="7"/>
  <c r="O130" i="7"/>
  <c r="O661" i="7"/>
  <c r="O669" i="7"/>
  <c r="O136" i="7"/>
  <c r="M140" i="7"/>
  <c r="O140" i="7"/>
  <c r="L104" i="7"/>
  <c r="M104" i="7" s="1"/>
  <c r="O104" i="7" s="1"/>
  <c r="F104" i="7"/>
  <c r="H105" i="7"/>
  <c r="Q104" i="7"/>
  <c r="P104" i="7"/>
  <c r="L20" i="5"/>
  <c r="L89" i="5"/>
  <c r="I103" i="5"/>
  <c r="L22" i="5"/>
  <c r="I24" i="5"/>
  <c r="K93" i="5"/>
  <c r="L93" i="5" s="1"/>
  <c r="P93" i="5"/>
  <c r="M93" i="5"/>
  <c r="O93" i="5"/>
  <c r="E93" i="5"/>
  <c r="J103" i="5"/>
  <c r="N98" i="7"/>
  <c r="N848" i="7"/>
  <c r="N323" i="7"/>
  <c r="N248" i="7"/>
  <c r="N698" i="7"/>
  <c r="N473" i="7"/>
  <c r="O473" i="7" s="1"/>
  <c r="N548" i="7"/>
  <c r="N774" i="7"/>
  <c r="N773" i="7"/>
  <c r="N623" i="7"/>
  <c r="N924" i="7"/>
  <c r="O924" i="7" s="1"/>
  <c r="N319" i="11"/>
  <c r="N468" i="11"/>
  <c r="N245" i="11"/>
  <c r="N391" i="11"/>
  <c r="N317" i="11"/>
  <c r="N318" i="11"/>
  <c r="N324" i="7"/>
  <c r="O324" i="7" s="1"/>
  <c r="N474" i="7"/>
  <c r="N625" i="7"/>
  <c r="N925" i="7"/>
  <c r="O925" i="7" s="1"/>
  <c r="N626" i="7"/>
  <c r="O626" i="7"/>
  <c r="N775" i="7"/>
  <c r="N551" i="7"/>
  <c r="N325" i="7"/>
  <c r="N776" i="7"/>
  <c r="N851" i="7"/>
  <c r="N550" i="7"/>
  <c r="N850" i="7"/>
  <c r="O850" i="7"/>
  <c r="N700" i="7"/>
  <c r="N475" i="7"/>
  <c r="N701" i="7"/>
  <c r="N249" i="7"/>
  <c r="N250" i="7"/>
  <c r="O250" i="7"/>
  <c r="N461" i="11"/>
  <c r="N239" i="11"/>
  <c r="N246" i="7"/>
  <c r="N247" i="7"/>
  <c r="N171" i="7"/>
  <c r="O171" i="7"/>
  <c r="N172" i="7"/>
  <c r="N96" i="7"/>
  <c r="O96" i="7" s="1"/>
  <c r="N696" i="7"/>
  <c r="O696" i="7" s="1"/>
  <c r="N846" i="7"/>
  <c r="N321" i="7"/>
  <c r="O321" i="7" s="1"/>
  <c r="N621" i="7"/>
  <c r="N396" i="7"/>
  <c r="N921" i="7"/>
  <c r="O921" i="7" s="1"/>
  <c r="N622" i="7"/>
  <c r="N472" i="7"/>
  <c r="N847" i="7"/>
  <c r="N697" i="7"/>
  <c r="N771" i="7"/>
  <c r="N547" i="7"/>
  <c r="O547" i="7" s="1"/>
  <c r="N546" i="7"/>
  <c r="O546" i="7" s="1"/>
  <c r="N322" i="7"/>
  <c r="O322" i="7" s="1"/>
  <c r="N922" i="7"/>
  <c r="N772" i="7"/>
  <c r="N471" i="7"/>
  <c r="N397" i="7"/>
  <c r="N469" i="11"/>
  <c r="N395" i="11"/>
  <c r="N396" i="11"/>
  <c r="N92" i="7"/>
  <c r="N842" i="7"/>
  <c r="N692" i="7"/>
  <c r="N917" i="7"/>
  <c r="N843" i="7"/>
  <c r="N543" i="7"/>
  <c r="O543" i="7" s="1"/>
  <c r="N167" i="7"/>
  <c r="O167" i="7"/>
  <c r="N768" i="7"/>
  <c r="N542" i="7"/>
  <c r="N242" i="7"/>
  <c r="O242" i="7" s="1"/>
  <c r="N318" i="7"/>
  <c r="O318" i="7" s="1"/>
  <c r="N693" i="7"/>
  <c r="N393" i="7"/>
  <c r="N618" i="7"/>
  <c r="N468" i="7"/>
  <c r="N168" i="7"/>
  <c r="O168" i="7" s="1"/>
  <c r="N317" i="7"/>
  <c r="N467" i="7"/>
  <c r="N617" i="7"/>
  <c r="N392" i="7"/>
  <c r="N243" i="7"/>
  <c r="N767" i="7"/>
  <c r="O767" i="7" s="1"/>
  <c r="N918" i="7"/>
  <c r="N769" i="7"/>
  <c r="N464" i="11"/>
  <c r="N93" i="7"/>
  <c r="N97" i="7"/>
  <c r="N99" i="7"/>
  <c r="O99" i="7"/>
  <c r="N100" i="7"/>
  <c r="M96" i="7"/>
  <c r="N149" i="10"/>
  <c r="N22" i="7"/>
  <c r="O22" i="7" s="1"/>
  <c r="N21" i="7"/>
  <c r="N18" i="7"/>
  <c r="O18" i="7" s="1"/>
  <c r="N17" i="7"/>
  <c r="N151" i="10"/>
  <c r="M22" i="7"/>
  <c r="M49" i="7"/>
  <c r="N175" i="10"/>
  <c r="L175" i="10"/>
  <c r="I155" i="10"/>
  <c r="L181" i="10"/>
  <c r="L89" i="10"/>
  <c r="N89" i="10" s="1"/>
  <c r="I90" i="10"/>
  <c r="N149" i="6"/>
  <c r="M24" i="5"/>
  <c r="M27" i="5"/>
  <c r="M19" i="5"/>
  <c r="M151" i="6"/>
  <c r="N151" i="6" s="1"/>
  <c r="M213" i="6"/>
  <c r="M97" i="5"/>
  <c r="M153" i="6"/>
  <c r="N153" i="6"/>
  <c r="M215" i="6"/>
  <c r="N215" i="6" s="1"/>
  <c r="M95" i="5"/>
  <c r="M26" i="5"/>
  <c r="N26" i="5"/>
  <c r="L238" i="6"/>
  <c r="N238" i="6"/>
  <c r="N172" i="6"/>
  <c r="L114" i="6"/>
  <c r="N114" i="6"/>
  <c r="L29" i="6"/>
  <c r="I82" i="5"/>
  <c r="I94" i="5"/>
  <c r="L94" i="5"/>
  <c r="M18" i="6"/>
  <c r="M81" i="5"/>
  <c r="N81" i="5" s="1"/>
  <c r="M84" i="5"/>
  <c r="M17" i="6"/>
  <c r="M19" i="6"/>
  <c r="M80" i="5"/>
  <c r="N80" i="5" s="1"/>
  <c r="M27" i="6"/>
  <c r="M22" i="6"/>
  <c r="M25" i="6"/>
  <c r="M20" i="5"/>
  <c r="M86" i="5"/>
  <c r="M89" i="5"/>
  <c r="M88" i="5"/>
  <c r="M21" i="6"/>
  <c r="M25" i="5"/>
  <c r="M94" i="5"/>
  <c r="L18" i="6"/>
  <c r="N18" i="6" s="1"/>
  <c r="M87" i="5"/>
  <c r="N87" i="5" s="1"/>
  <c r="M85" i="5"/>
  <c r="M29" i="6"/>
  <c r="M82" i="5"/>
  <c r="M23" i="6"/>
  <c r="M91" i="5"/>
  <c r="L19" i="6"/>
  <c r="L17" i="6"/>
  <c r="N17" i="6" s="1"/>
  <c r="L84" i="5"/>
  <c r="L81" i="5"/>
  <c r="L18" i="5"/>
  <c r="M17" i="5"/>
  <c r="M22" i="5"/>
  <c r="M18" i="5"/>
  <c r="M21" i="5"/>
  <c r="N50" i="5"/>
  <c r="N51" i="5"/>
  <c r="N48" i="5"/>
  <c r="L54" i="5"/>
  <c r="N54" i="5"/>
  <c r="R7" i="1"/>
  <c r="O2" i="2"/>
  <c r="AI666" i="2"/>
  <c r="AH666" i="2"/>
  <c r="AI664" i="2"/>
  <c r="AH664" i="2"/>
  <c r="AG666" i="2"/>
  <c r="AF666" i="2"/>
  <c r="AG664" i="2"/>
  <c r="AF664" i="2"/>
  <c r="AE666" i="2"/>
  <c r="AD666" i="2"/>
  <c r="AE664" i="2"/>
  <c r="AD664" i="2"/>
  <c r="AC666" i="2"/>
  <c r="AB666" i="2"/>
  <c r="AC664" i="2"/>
  <c r="AB664" i="2"/>
  <c r="AA666" i="2"/>
  <c r="Z666" i="2"/>
  <c r="AA664" i="2"/>
  <c r="Z664" i="2"/>
  <c r="Y666" i="2"/>
  <c r="X666" i="2"/>
  <c r="W664" i="2"/>
  <c r="Y664" i="2"/>
  <c r="X664" i="2"/>
  <c r="H645" i="2"/>
  <c r="L645" i="2"/>
  <c r="H644" i="2"/>
  <c r="F644" i="2"/>
  <c r="H643" i="2"/>
  <c r="F643" i="2"/>
  <c r="H641" i="2"/>
  <c r="F641" i="2"/>
  <c r="H638" i="2"/>
  <c r="AH643" i="2"/>
  <c r="AH642" i="2"/>
  <c r="AH641" i="2"/>
  <c r="AF643" i="2"/>
  <c r="AF642" i="2"/>
  <c r="AF641" i="2"/>
  <c r="AD643" i="2"/>
  <c r="AD642" i="2"/>
  <c r="AD641" i="2"/>
  <c r="AB643" i="2"/>
  <c r="AB642" i="2"/>
  <c r="AB641" i="2"/>
  <c r="Z643" i="2"/>
  <c r="Z642" i="2"/>
  <c r="Z641" i="2"/>
  <c r="X643" i="2"/>
  <c r="X642" i="2"/>
  <c r="X641" i="2"/>
  <c r="H646" i="2"/>
  <c r="H647" i="2"/>
  <c r="H655" i="2"/>
  <c r="F655" i="2"/>
  <c r="H654" i="2"/>
  <c r="F654" i="2"/>
  <c r="H653" i="2"/>
  <c r="H652" i="2"/>
  <c r="F652" i="2"/>
  <c r="H651" i="2"/>
  <c r="F651" i="2"/>
  <c r="V653" i="2"/>
  <c r="V652" i="2"/>
  <c r="J652" i="2"/>
  <c r="K653" i="2"/>
  <c r="F645" i="2"/>
  <c r="V643" i="2"/>
  <c r="V641" i="2"/>
  <c r="AH780" i="2"/>
  <c r="AF780" i="2"/>
  <c r="AD780" i="2"/>
  <c r="AB780" i="2"/>
  <c r="Z780" i="2"/>
  <c r="X780" i="2"/>
  <c r="V780" i="2"/>
  <c r="AH711" i="2"/>
  <c r="AF711" i="2"/>
  <c r="AD711" i="2"/>
  <c r="AB711" i="2"/>
  <c r="Z711" i="2"/>
  <c r="X711" i="2"/>
  <c r="V711" i="2"/>
  <c r="AH573" i="2"/>
  <c r="AF573" i="2"/>
  <c r="AD573" i="2"/>
  <c r="AB573" i="2"/>
  <c r="Z573" i="2"/>
  <c r="X573" i="2"/>
  <c r="V573" i="2"/>
  <c r="AH504" i="2"/>
  <c r="AF504" i="2"/>
  <c r="AD504" i="2"/>
  <c r="AB504" i="2"/>
  <c r="Z504" i="2"/>
  <c r="X504" i="2"/>
  <c r="V504" i="2"/>
  <c r="AH435" i="2"/>
  <c r="AF435" i="2"/>
  <c r="AD435" i="2"/>
  <c r="AB435" i="2"/>
  <c r="Z435" i="2"/>
  <c r="X435" i="2"/>
  <c r="V435" i="2"/>
  <c r="AH367" i="2"/>
  <c r="AF367" i="2"/>
  <c r="AD367" i="2"/>
  <c r="AB367" i="2"/>
  <c r="Z367" i="2"/>
  <c r="X367" i="2"/>
  <c r="V367" i="2"/>
  <c r="AH20" i="2"/>
  <c r="AH19" i="2"/>
  <c r="AF20" i="2"/>
  <c r="AF19" i="2"/>
  <c r="AD20" i="2"/>
  <c r="AD19" i="2"/>
  <c r="AB20" i="2"/>
  <c r="AB19" i="2"/>
  <c r="Z20" i="2"/>
  <c r="Z19" i="2"/>
  <c r="X20" i="2"/>
  <c r="X19" i="2"/>
  <c r="V27" i="2"/>
  <c r="V26" i="2"/>
  <c r="V20" i="2"/>
  <c r="V19" i="2"/>
  <c r="V97" i="2"/>
  <c r="V98" i="2"/>
  <c r="H100" i="2"/>
  <c r="Q100" i="2"/>
  <c r="H99" i="2"/>
  <c r="Q99" i="2"/>
  <c r="H98" i="2"/>
  <c r="H97" i="2"/>
  <c r="Q97" i="2"/>
  <c r="H96" i="2"/>
  <c r="Q96" i="2"/>
  <c r="H92" i="2"/>
  <c r="H90" i="2"/>
  <c r="Q90" i="2"/>
  <c r="H88" i="2"/>
  <c r="H86" i="2"/>
  <c r="AH90" i="2"/>
  <c r="AH89" i="2"/>
  <c r="AH88" i="2"/>
  <c r="AF90" i="2"/>
  <c r="AF89" i="2"/>
  <c r="AF88" i="2"/>
  <c r="AD90" i="2"/>
  <c r="AD89" i="2"/>
  <c r="AD88" i="2"/>
  <c r="AB90" i="2"/>
  <c r="AB89" i="2"/>
  <c r="AB88" i="2"/>
  <c r="Z90" i="2"/>
  <c r="Z89" i="2"/>
  <c r="Z88" i="2"/>
  <c r="X90" i="2"/>
  <c r="X88" i="2"/>
  <c r="V90" i="2"/>
  <c r="V88" i="2"/>
  <c r="AH159" i="2"/>
  <c r="AH158" i="2"/>
  <c r="AH157" i="2"/>
  <c r="AF159" i="2"/>
  <c r="AF158" i="2"/>
  <c r="AF157" i="2"/>
  <c r="AD159" i="2"/>
  <c r="AD158" i="2"/>
  <c r="AD157" i="2"/>
  <c r="AB159" i="2"/>
  <c r="AB158" i="2"/>
  <c r="AB157" i="2"/>
  <c r="Z159" i="2"/>
  <c r="Z158" i="2"/>
  <c r="Z157" i="2"/>
  <c r="X159" i="2"/>
  <c r="V159" i="2"/>
  <c r="X157" i="2"/>
  <c r="V157" i="2"/>
  <c r="K236" i="2"/>
  <c r="AH228" i="2"/>
  <c r="AH227" i="2"/>
  <c r="AH226" i="2"/>
  <c r="AF228" i="2"/>
  <c r="AF227" i="2"/>
  <c r="AF226" i="2"/>
  <c r="AD228" i="2"/>
  <c r="AD227" i="2"/>
  <c r="AD226" i="2"/>
  <c r="AB228" i="2"/>
  <c r="AB227" i="2"/>
  <c r="AB226" i="2"/>
  <c r="Z228" i="2"/>
  <c r="Z227" i="2"/>
  <c r="Z226" i="2"/>
  <c r="X228" i="2"/>
  <c r="V228" i="2"/>
  <c r="J228" i="2"/>
  <c r="X226" i="2"/>
  <c r="V226" i="2"/>
  <c r="H228" i="2"/>
  <c r="Q228" i="2"/>
  <c r="H226" i="2"/>
  <c r="H224" i="2"/>
  <c r="Q224" i="2"/>
  <c r="V235" i="2"/>
  <c r="J235" i="2"/>
  <c r="V236" i="2"/>
  <c r="H238" i="2"/>
  <c r="Q238" i="2"/>
  <c r="H237" i="2"/>
  <c r="Q237" i="2"/>
  <c r="H236" i="2"/>
  <c r="F236" i="2"/>
  <c r="H235" i="2"/>
  <c r="Q235" i="2"/>
  <c r="H234" i="2"/>
  <c r="Q234" i="2"/>
  <c r="H230" i="2"/>
  <c r="AH297" i="2"/>
  <c r="AF297" i="2"/>
  <c r="AD297" i="2"/>
  <c r="AB297" i="2"/>
  <c r="Z297" i="2"/>
  <c r="X297" i="2"/>
  <c r="V297" i="2"/>
  <c r="AH296" i="2"/>
  <c r="AF296" i="2"/>
  <c r="AD296" i="2"/>
  <c r="AB296" i="2"/>
  <c r="Z296" i="2"/>
  <c r="X296" i="2"/>
  <c r="V296" i="2"/>
  <c r="V305" i="2"/>
  <c r="V304" i="2"/>
  <c r="J304" i="2"/>
  <c r="K305" i="2"/>
  <c r="H307" i="2"/>
  <c r="H306" i="2"/>
  <c r="Q306" i="2"/>
  <c r="H305" i="2"/>
  <c r="H304" i="2"/>
  <c r="H303" i="2"/>
  <c r="Q303" i="2"/>
  <c r="H299" i="2"/>
  <c r="H297" i="2"/>
  <c r="Q297" i="2"/>
  <c r="H295" i="2"/>
  <c r="H293" i="2"/>
  <c r="H376" i="2"/>
  <c r="H375" i="2"/>
  <c r="Q375" i="2"/>
  <c r="H374" i="2"/>
  <c r="H373" i="2"/>
  <c r="Q373" i="2"/>
  <c r="H372" i="2"/>
  <c r="H368" i="2"/>
  <c r="H367" i="2"/>
  <c r="H366" i="2"/>
  <c r="H364" i="2"/>
  <c r="F364" i="2"/>
  <c r="H362" i="2"/>
  <c r="H447" i="2"/>
  <c r="H446" i="2"/>
  <c r="H445" i="2"/>
  <c r="H444" i="2"/>
  <c r="H443" i="2"/>
  <c r="H437" i="2"/>
  <c r="H436" i="2"/>
  <c r="H435" i="2"/>
  <c r="H433" i="2"/>
  <c r="H431" i="2"/>
  <c r="H514" i="2"/>
  <c r="H513" i="2"/>
  <c r="H512" i="2"/>
  <c r="Q512" i="2"/>
  <c r="H511" i="2"/>
  <c r="H510" i="2"/>
  <c r="Q510" i="2"/>
  <c r="H506" i="2"/>
  <c r="H505" i="2"/>
  <c r="Q505" i="2"/>
  <c r="H504" i="2"/>
  <c r="Q504" i="2"/>
  <c r="H502" i="2"/>
  <c r="H500" i="2"/>
  <c r="H575" i="2"/>
  <c r="H580" i="2"/>
  <c r="Q580" i="2"/>
  <c r="H574" i="2"/>
  <c r="Q574" i="2"/>
  <c r="H573" i="2"/>
  <c r="Q573" i="2"/>
  <c r="H571" i="2"/>
  <c r="H569" i="2"/>
  <c r="K374" i="2"/>
  <c r="V374" i="2"/>
  <c r="V373" i="2"/>
  <c r="J373" i="2"/>
  <c r="K445" i="2"/>
  <c r="V444" i="2"/>
  <c r="J444" i="2"/>
  <c r="V445" i="2"/>
  <c r="K512" i="2"/>
  <c r="V511" i="2"/>
  <c r="J511" i="2"/>
  <c r="V512" i="2"/>
  <c r="H585" i="2"/>
  <c r="Q585" i="2"/>
  <c r="H584" i="2"/>
  <c r="Q584" i="2"/>
  <c r="H583" i="2"/>
  <c r="Q583" i="2"/>
  <c r="H582" i="2"/>
  <c r="Q582" i="2"/>
  <c r="H581" i="2"/>
  <c r="Q581" i="2"/>
  <c r="V583" i="2"/>
  <c r="V582" i="2"/>
  <c r="J582" i="2"/>
  <c r="AH777" i="2"/>
  <c r="AF777" i="2"/>
  <c r="AD777" i="2"/>
  <c r="AB777" i="2"/>
  <c r="Z777" i="2"/>
  <c r="X777" i="2"/>
  <c r="V777" i="2"/>
  <c r="H796" i="2"/>
  <c r="Q796" i="2"/>
  <c r="H795" i="2"/>
  <c r="Q795" i="2"/>
  <c r="H794" i="2"/>
  <c r="Q794" i="2"/>
  <c r="H793" i="2"/>
  <c r="Q793" i="2"/>
  <c r="H792" i="2"/>
  <c r="Q792" i="2"/>
  <c r="H783" i="2"/>
  <c r="H782" i="2"/>
  <c r="Q782" i="2"/>
  <c r="H781" i="2"/>
  <c r="Q781" i="2"/>
  <c r="H780" i="2"/>
  <c r="Q780" i="2"/>
  <c r="V793" i="2"/>
  <c r="J793" i="2"/>
  <c r="V794" i="2"/>
  <c r="H778" i="2"/>
  <c r="H776" i="2"/>
  <c r="AI804" i="2"/>
  <c r="AH804" i="2"/>
  <c r="AI803" i="2"/>
  <c r="AH803" i="2"/>
  <c r="AI802" i="2"/>
  <c r="AH802" i="2"/>
  <c r="AH781" i="2"/>
  <c r="AH779" i="2"/>
  <c r="AH778" i="2"/>
  <c r="AG804" i="2"/>
  <c r="AF804" i="2"/>
  <c r="AG803" i="2"/>
  <c r="AF803" i="2"/>
  <c r="AG802" i="2"/>
  <c r="AF802" i="2"/>
  <c r="AF781" i="2"/>
  <c r="AF779" i="2"/>
  <c r="AF778" i="2"/>
  <c r="AE804" i="2"/>
  <c r="AD804" i="2"/>
  <c r="AE803" i="2"/>
  <c r="AD803" i="2"/>
  <c r="AE802" i="2"/>
  <c r="AD802" i="2"/>
  <c r="AD781" i="2"/>
  <c r="AD779" i="2"/>
  <c r="AD778" i="2"/>
  <c r="AC804" i="2"/>
  <c r="AB804" i="2"/>
  <c r="AC803" i="2"/>
  <c r="AB803" i="2"/>
  <c r="AC802" i="2"/>
  <c r="AB802" i="2"/>
  <c r="AB781" i="2"/>
  <c r="AB779" i="2"/>
  <c r="AB778" i="2"/>
  <c r="AA805" i="2"/>
  <c r="Z805" i="2"/>
  <c r="AA804" i="2"/>
  <c r="Z804" i="2"/>
  <c r="AA803" i="2"/>
  <c r="Z803" i="2"/>
  <c r="AA802" i="2"/>
  <c r="Z802" i="2"/>
  <c r="Z781" i="2"/>
  <c r="Z779" i="2"/>
  <c r="Z778" i="2"/>
  <c r="AI597" i="2"/>
  <c r="AH597" i="2"/>
  <c r="AI596" i="2"/>
  <c r="AH596" i="2"/>
  <c r="AI595" i="2"/>
  <c r="AH595" i="2"/>
  <c r="AH574" i="2"/>
  <c r="AH572" i="2"/>
  <c r="AH571" i="2"/>
  <c r="AG597" i="2"/>
  <c r="AF597" i="2"/>
  <c r="AG596" i="2"/>
  <c r="AF596" i="2"/>
  <c r="AG595" i="2"/>
  <c r="AF595" i="2"/>
  <c r="AF574" i="2"/>
  <c r="AF572" i="2"/>
  <c r="AF571" i="2"/>
  <c r="AE597" i="2"/>
  <c r="AD597" i="2"/>
  <c r="AE596" i="2"/>
  <c r="AD596" i="2"/>
  <c r="AE595" i="2"/>
  <c r="AD595" i="2"/>
  <c r="AD574" i="2"/>
  <c r="AD572" i="2"/>
  <c r="AD571" i="2"/>
  <c r="AC597" i="2"/>
  <c r="AB597" i="2"/>
  <c r="AC596" i="2"/>
  <c r="AB596" i="2"/>
  <c r="AC595" i="2"/>
  <c r="AB595" i="2"/>
  <c r="AB574" i="2"/>
  <c r="AB572" i="2"/>
  <c r="AB571" i="2"/>
  <c r="AA597" i="2"/>
  <c r="Z597" i="2"/>
  <c r="AA596" i="2"/>
  <c r="Z596" i="2"/>
  <c r="AA595" i="2"/>
  <c r="Z595" i="2"/>
  <c r="Z574" i="2"/>
  <c r="Z572" i="2"/>
  <c r="Z571" i="2"/>
  <c r="AI527" i="2"/>
  <c r="AH527" i="2"/>
  <c r="AI526" i="2"/>
  <c r="AH526" i="2"/>
  <c r="AH505" i="2"/>
  <c r="AH503" i="2"/>
  <c r="AH502" i="2"/>
  <c r="AG527" i="2"/>
  <c r="AF527" i="2"/>
  <c r="AG526" i="2"/>
  <c r="AF526" i="2"/>
  <c r="AF505" i="2"/>
  <c r="AF503" i="2"/>
  <c r="AF502" i="2"/>
  <c r="AE527" i="2"/>
  <c r="AD527" i="2"/>
  <c r="AE526" i="2"/>
  <c r="AD526" i="2"/>
  <c r="AD505" i="2"/>
  <c r="AD503" i="2"/>
  <c r="AD502" i="2"/>
  <c r="AC527" i="2"/>
  <c r="AB527" i="2"/>
  <c r="AC526" i="2"/>
  <c r="AB526" i="2"/>
  <c r="AB505" i="2"/>
  <c r="AB503" i="2"/>
  <c r="AB502" i="2"/>
  <c r="AA527" i="2"/>
  <c r="Z527" i="2"/>
  <c r="AA526" i="2"/>
  <c r="Z526" i="2"/>
  <c r="Z505" i="2"/>
  <c r="Z503" i="2"/>
  <c r="Z502" i="2"/>
  <c r="AH459" i="2"/>
  <c r="AI458" i="2"/>
  <c r="AH458" i="2"/>
  <c r="AI457" i="2"/>
  <c r="AH457" i="2"/>
  <c r="AH436" i="2"/>
  <c r="AH434" i="2"/>
  <c r="AH433" i="2"/>
  <c r="AF459" i="2"/>
  <c r="AG458" i="2"/>
  <c r="AF458" i="2"/>
  <c r="AG457" i="2"/>
  <c r="AF457" i="2"/>
  <c r="AF436" i="2"/>
  <c r="AF434" i="2"/>
  <c r="AF433" i="2"/>
  <c r="AD459" i="2"/>
  <c r="AE458" i="2"/>
  <c r="AD458" i="2"/>
  <c r="AE457" i="2"/>
  <c r="AD457" i="2"/>
  <c r="AD436" i="2"/>
  <c r="AD434" i="2"/>
  <c r="AD433" i="2"/>
  <c r="AB459" i="2"/>
  <c r="AC458" i="2"/>
  <c r="AB458" i="2"/>
  <c r="AC457" i="2"/>
  <c r="AB457" i="2"/>
  <c r="AB436" i="2"/>
  <c r="AB434" i="2"/>
  <c r="AB433" i="2"/>
  <c r="Z459" i="2"/>
  <c r="AA458" i="2"/>
  <c r="Z458" i="2"/>
  <c r="AA457" i="2"/>
  <c r="Z457" i="2"/>
  <c r="Z436" i="2"/>
  <c r="Z434" i="2"/>
  <c r="Z433" i="2"/>
  <c r="AI389" i="2"/>
  <c r="AH389" i="2"/>
  <c r="AI388" i="2"/>
  <c r="AH388" i="2"/>
  <c r="AH366" i="2"/>
  <c r="AH365" i="2"/>
  <c r="AH364" i="2"/>
  <c r="AG389" i="2"/>
  <c r="AF389" i="2"/>
  <c r="AG388" i="2"/>
  <c r="AF388" i="2"/>
  <c r="AF366" i="2"/>
  <c r="AF365" i="2"/>
  <c r="AF364" i="2"/>
  <c r="AE389" i="2"/>
  <c r="AD389" i="2"/>
  <c r="AE388" i="2"/>
  <c r="AD388" i="2"/>
  <c r="AD366" i="2"/>
  <c r="AD365" i="2"/>
  <c r="AD364" i="2"/>
  <c r="AC389" i="2"/>
  <c r="AB389" i="2"/>
  <c r="AC388" i="2"/>
  <c r="AB388" i="2"/>
  <c r="AB366" i="2"/>
  <c r="AB365" i="2"/>
  <c r="AB364" i="2"/>
  <c r="AA389" i="2"/>
  <c r="Z389" i="2"/>
  <c r="AA388" i="2"/>
  <c r="Z388" i="2"/>
  <c r="Z366" i="2"/>
  <c r="Z365" i="2"/>
  <c r="Z364" i="2"/>
  <c r="AI320" i="2"/>
  <c r="AH320" i="2"/>
  <c r="AI319" i="2"/>
  <c r="AH319" i="2"/>
  <c r="AH295" i="2"/>
  <c r="AG320" i="2"/>
  <c r="AF320" i="2"/>
  <c r="AG319" i="2"/>
  <c r="AF319" i="2"/>
  <c r="AF295" i="2"/>
  <c r="AE320" i="2"/>
  <c r="AD320" i="2"/>
  <c r="AE319" i="2"/>
  <c r="AD319" i="2"/>
  <c r="AD295" i="2"/>
  <c r="AC320" i="2"/>
  <c r="AB320" i="2"/>
  <c r="AC319" i="2"/>
  <c r="AB319" i="2"/>
  <c r="AB295" i="2"/>
  <c r="AA320" i="2"/>
  <c r="Z320" i="2"/>
  <c r="AA319" i="2"/>
  <c r="Z319" i="2"/>
  <c r="Z295" i="2"/>
  <c r="AI251" i="2"/>
  <c r="AH251" i="2"/>
  <c r="AI250" i="2"/>
  <c r="AH250" i="2"/>
  <c r="AG251" i="2"/>
  <c r="AF251" i="2"/>
  <c r="AG250" i="2"/>
  <c r="AF250" i="2"/>
  <c r="AE251" i="2"/>
  <c r="AD251" i="2"/>
  <c r="AE250" i="2"/>
  <c r="AD250" i="2"/>
  <c r="AC251" i="2"/>
  <c r="AB251" i="2"/>
  <c r="AC250" i="2"/>
  <c r="AB250" i="2"/>
  <c r="AA251" i="2"/>
  <c r="Z251" i="2"/>
  <c r="AA250" i="2"/>
  <c r="Z250" i="2"/>
  <c r="AI113" i="2"/>
  <c r="AH113" i="2"/>
  <c r="AI112" i="2"/>
  <c r="AH112" i="2"/>
  <c r="AG113" i="2"/>
  <c r="AF113" i="2"/>
  <c r="AG112" i="2"/>
  <c r="AF112" i="2"/>
  <c r="AE113" i="2"/>
  <c r="AD113" i="2"/>
  <c r="AE112" i="2"/>
  <c r="AD112" i="2"/>
  <c r="AC113" i="2"/>
  <c r="AB113" i="2"/>
  <c r="AC112" i="2"/>
  <c r="AB112" i="2"/>
  <c r="AA113" i="2"/>
  <c r="Z113" i="2"/>
  <c r="AA112" i="2"/>
  <c r="Z112" i="2"/>
  <c r="AI43" i="2"/>
  <c r="AH43" i="2"/>
  <c r="AG43" i="2"/>
  <c r="AF43" i="2"/>
  <c r="AE43" i="2"/>
  <c r="AD43" i="2"/>
  <c r="AC43" i="2"/>
  <c r="AB43" i="2"/>
  <c r="AA43" i="2"/>
  <c r="Z43" i="2"/>
  <c r="N225" i="6"/>
  <c r="N228" i="6"/>
  <c r="N17" i="5"/>
  <c r="L185" i="10"/>
  <c r="N185" i="10"/>
  <c r="O96" i="10"/>
  <c r="K96" i="10"/>
  <c r="L96" i="10"/>
  <c r="P96" i="10"/>
  <c r="E96" i="10"/>
  <c r="M96" i="10"/>
  <c r="N96" i="10" s="1"/>
  <c r="O31" i="10"/>
  <c r="P31" i="10"/>
  <c r="K31" i="10"/>
  <c r="L31" i="10"/>
  <c r="E31" i="10"/>
  <c r="M31" i="10"/>
  <c r="N31" i="10" s="1"/>
  <c r="N23" i="6"/>
  <c r="I27" i="6"/>
  <c r="L39" i="6"/>
  <c r="L42" i="6"/>
  <c r="AA24" i="1"/>
  <c r="L24" i="6"/>
  <c r="N24" i="6"/>
  <c r="L53" i="5"/>
  <c r="N53" i="5"/>
  <c r="L103" i="5"/>
  <c r="L106" i="5"/>
  <c r="L87" i="5"/>
  <c r="N112" i="5"/>
  <c r="L116" i="10"/>
  <c r="N116" i="10"/>
  <c r="L120" i="10"/>
  <c r="N120" i="10"/>
  <c r="N49" i="5"/>
  <c r="M130" i="7"/>
  <c r="AA34" i="1"/>
  <c r="O144" i="7"/>
  <c r="F306" i="2"/>
  <c r="L584" i="2"/>
  <c r="F373" i="2"/>
  <c r="F375" i="2"/>
  <c r="P27" i="2"/>
  <c r="F647" i="2"/>
  <c r="L647" i="2"/>
  <c r="M647" i="2"/>
  <c r="P647" i="2"/>
  <c r="H648" i="2"/>
  <c r="F27" i="2"/>
  <c r="H225" i="2"/>
  <c r="Q225" i="2"/>
  <c r="Q105" i="7"/>
  <c r="L105" i="7"/>
  <c r="M105" i="7" s="1"/>
  <c r="P105" i="7"/>
  <c r="F105" i="7"/>
  <c r="I91" i="5"/>
  <c r="L91" i="5"/>
  <c r="H95" i="2"/>
  <c r="Q95" i="2"/>
  <c r="H93" i="2"/>
  <c r="Q92" i="2"/>
  <c r="H777" i="2"/>
  <c r="Q777" i="2"/>
  <c r="Q776" i="2"/>
  <c r="F513" i="2"/>
  <c r="Q513" i="2"/>
  <c r="Q444" i="2"/>
  <c r="H369" i="2"/>
  <c r="Q368" i="2"/>
  <c r="F512" i="2"/>
  <c r="H365" i="2"/>
  <c r="Q364" i="2"/>
  <c r="F376" i="2"/>
  <c r="Q376" i="2"/>
  <c r="H89" i="2"/>
  <c r="Q89" i="2"/>
  <c r="Q88" i="2"/>
  <c r="P645" i="2"/>
  <c r="F511" i="2"/>
  <c r="Q511" i="2"/>
  <c r="F366" i="2"/>
  <c r="Q366" i="2"/>
  <c r="H294" i="2"/>
  <c r="Q294" i="2"/>
  <c r="Q293" i="2"/>
  <c r="F307" i="2"/>
  <c r="Q307" i="2"/>
  <c r="L236" i="2"/>
  <c r="M236" i="2"/>
  <c r="Q236" i="2"/>
  <c r="H227" i="2"/>
  <c r="Q227" i="2"/>
  <c r="Q226" i="2"/>
  <c r="H576" i="2"/>
  <c r="Q575" i="2"/>
  <c r="H501" i="2"/>
  <c r="Q501" i="2"/>
  <c r="Q500" i="2"/>
  <c r="H779" i="2"/>
  <c r="Q779" i="2"/>
  <c r="Q778" i="2"/>
  <c r="H503" i="2"/>
  <c r="Q503" i="2"/>
  <c r="Q502" i="2"/>
  <c r="F514" i="2"/>
  <c r="Q514" i="2"/>
  <c r="F372" i="2"/>
  <c r="Q372" i="2"/>
  <c r="H302" i="2"/>
  <c r="Q302" i="2"/>
  <c r="H300" i="2"/>
  <c r="Q299" i="2"/>
  <c r="L512" i="2"/>
  <c r="M512" i="2"/>
  <c r="H570" i="2"/>
  <c r="Q570" i="2"/>
  <c r="Q569" i="2"/>
  <c r="H784" i="2"/>
  <c r="Q783" i="2"/>
  <c r="F367" i="2"/>
  <c r="Q367" i="2"/>
  <c r="H296" i="2"/>
  <c r="Q296" i="2"/>
  <c r="Q295" i="2"/>
  <c r="P512" i="2"/>
  <c r="H572" i="2"/>
  <c r="Q572" i="2"/>
  <c r="Q571" i="2"/>
  <c r="L374" i="2"/>
  <c r="M374" i="2"/>
  <c r="Q374" i="2"/>
  <c r="F304" i="2"/>
  <c r="Q304" i="2"/>
  <c r="H233" i="2"/>
  <c r="Q233" i="2"/>
  <c r="H231" i="2"/>
  <c r="H232" i="2"/>
  <c r="Q230" i="2"/>
  <c r="L98" i="2"/>
  <c r="Q98" i="2"/>
  <c r="H509" i="2"/>
  <c r="Q509" i="2"/>
  <c r="H507" i="2"/>
  <c r="Q506" i="2"/>
  <c r="H363" i="2"/>
  <c r="Q363" i="2"/>
  <c r="Q362" i="2"/>
  <c r="P305" i="2"/>
  <c r="Q305" i="2"/>
  <c r="H87" i="2"/>
  <c r="Q87" i="2"/>
  <c r="Q86" i="2"/>
  <c r="F583" i="2"/>
  <c r="L583" i="2"/>
  <c r="M583" i="2"/>
  <c r="P583" i="2"/>
  <c r="H371" i="2"/>
  <c r="F368" i="2"/>
  <c r="L653" i="2"/>
  <c r="M653" i="2"/>
  <c r="P653" i="2"/>
  <c r="F653" i="2"/>
  <c r="P794" i="2"/>
  <c r="L794" i="2"/>
  <c r="M794" i="2"/>
  <c r="F794" i="2"/>
  <c r="H650" i="2"/>
  <c r="F650" i="2"/>
  <c r="F646" i="2"/>
  <c r="P374" i="2"/>
  <c r="F305" i="2"/>
  <c r="P236" i="2"/>
  <c r="L305" i="2"/>
  <c r="M305" i="2"/>
  <c r="O61" i="7"/>
  <c r="O49" i="7"/>
  <c r="O55" i="7"/>
  <c r="M55" i="7"/>
  <c r="N181" i="10"/>
  <c r="N242" i="6"/>
  <c r="L176" i="6"/>
  <c r="N176" i="6"/>
  <c r="N180" i="6"/>
  <c r="N118" i="6"/>
  <c r="L116" i="5"/>
  <c r="N116" i="5"/>
  <c r="N29" i="6"/>
  <c r="N25" i="5"/>
  <c r="N40" i="5"/>
  <c r="N43" i="5"/>
  <c r="F98" i="2"/>
  <c r="P98" i="2"/>
  <c r="F374" i="2"/>
  <c r="H714" i="2"/>
  <c r="H724" i="2"/>
  <c r="Q724" i="2"/>
  <c r="H725" i="2"/>
  <c r="V722" i="2"/>
  <c r="J722" i="2"/>
  <c r="V723" i="2"/>
  <c r="H723" i="2"/>
  <c r="H722" i="2"/>
  <c r="H721" i="2"/>
  <c r="H713" i="2"/>
  <c r="H712" i="2"/>
  <c r="Q712" i="2"/>
  <c r="H711" i="2"/>
  <c r="H709" i="2"/>
  <c r="H707" i="2"/>
  <c r="AH708" i="2"/>
  <c r="AF708" i="2"/>
  <c r="AD708" i="2"/>
  <c r="AH736" i="2"/>
  <c r="AH735" i="2"/>
  <c r="AF736" i="2"/>
  <c r="AF735" i="2"/>
  <c r="AD736" i="2"/>
  <c r="AD735" i="2"/>
  <c r="AB736" i="2"/>
  <c r="AB735" i="2"/>
  <c r="AB708" i="2"/>
  <c r="Z708" i="2"/>
  <c r="X708" i="2"/>
  <c r="V708" i="2"/>
  <c r="AI736" i="2"/>
  <c r="AI735" i="2"/>
  <c r="AI734" i="2"/>
  <c r="AH734" i="2"/>
  <c r="AI733" i="2"/>
  <c r="AH733" i="2"/>
  <c r="AH712" i="2"/>
  <c r="AH710" i="2"/>
  <c r="AH709" i="2"/>
  <c r="AG736" i="2"/>
  <c r="AG735" i="2"/>
  <c r="AG734" i="2"/>
  <c r="AF734" i="2"/>
  <c r="AG733" i="2"/>
  <c r="AF733" i="2"/>
  <c r="AF712" i="2"/>
  <c r="AF710" i="2"/>
  <c r="AF709" i="2"/>
  <c r="AE736" i="2"/>
  <c r="AE735" i="2"/>
  <c r="AE734" i="2"/>
  <c r="AD734" i="2"/>
  <c r="AE733" i="2"/>
  <c r="AD733" i="2"/>
  <c r="AD712" i="2"/>
  <c r="AD710" i="2"/>
  <c r="AD709" i="2"/>
  <c r="AC736" i="2"/>
  <c r="AC735" i="2"/>
  <c r="AC734" i="2"/>
  <c r="AB734" i="2"/>
  <c r="AC733" i="2"/>
  <c r="AB733" i="2"/>
  <c r="AB712" i="2"/>
  <c r="AB710" i="2"/>
  <c r="AB709" i="2"/>
  <c r="AA736" i="2"/>
  <c r="Z736" i="2"/>
  <c r="AA735" i="2"/>
  <c r="Z735" i="2"/>
  <c r="AA734" i="2"/>
  <c r="Z734" i="2"/>
  <c r="AA733" i="2"/>
  <c r="Z733" i="2"/>
  <c r="Z712" i="2"/>
  <c r="Z710" i="2"/>
  <c r="Z709" i="2"/>
  <c r="H161" i="2"/>
  <c r="H159" i="2"/>
  <c r="H164" i="2"/>
  <c r="H165" i="2"/>
  <c r="AD165" i="2"/>
  <c r="Z165" i="2"/>
  <c r="AH165" i="2"/>
  <c r="AF165" i="2"/>
  <c r="AB165" i="2"/>
  <c r="X165" i="2"/>
  <c r="V164" i="2"/>
  <c r="J164" i="2"/>
  <c r="V165" i="2"/>
  <c r="H163" i="2"/>
  <c r="H157" i="2"/>
  <c r="H155" i="2"/>
  <c r="AB163" i="2"/>
  <c r="AH163" i="2"/>
  <c r="AF163" i="2"/>
  <c r="AI181" i="2"/>
  <c r="AH181" i="2"/>
  <c r="AG181" i="2"/>
  <c r="AF181" i="2"/>
  <c r="AB181" i="2"/>
  <c r="AE181" i="2"/>
  <c r="AD181" i="2"/>
  <c r="AD163" i="2"/>
  <c r="AC181" i="2"/>
  <c r="Z163" i="2"/>
  <c r="AA181" i="2"/>
  <c r="Z181" i="2"/>
  <c r="W666" i="2"/>
  <c r="K666" i="2"/>
  <c r="V666" i="2"/>
  <c r="V664" i="2"/>
  <c r="X805" i="2"/>
  <c r="Y805" i="2"/>
  <c r="X804" i="2"/>
  <c r="Y804" i="2"/>
  <c r="Y803" i="2"/>
  <c r="X803" i="2"/>
  <c r="Y802" i="2"/>
  <c r="X802" i="2"/>
  <c r="W805" i="2"/>
  <c r="V805" i="2"/>
  <c r="J805" i="2"/>
  <c r="W804" i="2"/>
  <c r="V804" i="2"/>
  <c r="W803" i="2"/>
  <c r="K803" i="2"/>
  <c r="K807" i="2"/>
  <c r="V803" i="2"/>
  <c r="W802" i="2"/>
  <c r="V802" i="2"/>
  <c r="X781" i="2"/>
  <c r="X779" i="2"/>
  <c r="X778" i="2"/>
  <c r="X574" i="2"/>
  <c r="X572" i="2"/>
  <c r="X571" i="2"/>
  <c r="Y597" i="2"/>
  <c r="Y596" i="2"/>
  <c r="Y595" i="2"/>
  <c r="X597" i="2"/>
  <c r="X596" i="2"/>
  <c r="X595" i="2"/>
  <c r="W597" i="2"/>
  <c r="W596" i="2"/>
  <c r="K596" i="2"/>
  <c r="W595" i="2"/>
  <c r="V597" i="2"/>
  <c r="V596" i="2"/>
  <c r="V595" i="2"/>
  <c r="Y527" i="2"/>
  <c r="Y526" i="2"/>
  <c r="X527" i="2"/>
  <c r="X526" i="2"/>
  <c r="W527" i="2"/>
  <c r="K527" i="2"/>
  <c r="W526" i="2"/>
  <c r="V527" i="2"/>
  <c r="V526" i="2"/>
  <c r="X505" i="2"/>
  <c r="X503" i="2"/>
  <c r="X502" i="2"/>
  <c r="Y458" i="2"/>
  <c r="Y457" i="2"/>
  <c r="X459" i="2"/>
  <c r="X458" i="2"/>
  <c r="X457" i="2"/>
  <c r="V459" i="2"/>
  <c r="W458" i="2"/>
  <c r="K458" i="2"/>
  <c r="V458" i="2"/>
  <c r="W457" i="2"/>
  <c r="V457" i="2"/>
  <c r="X436" i="2"/>
  <c r="X434" i="2"/>
  <c r="X433" i="2"/>
  <c r="Y389" i="2"/>
  <c r="Y388" i="2"/>
  <c r="X389" i="2"/>
  <c r="X388" i="2"/>
  <c r="W389" i="2"/>
  <c r="K389" i="2"/>
  <c r="V389" i="2"/>
  <c r="W388" i="2"/>
  <c r="V388" i="2"/>
  <c r="X366" i="2"/>
  <c r="X365" i="2"/>
  <c r="X364" i="2"/>
  <c r="Y320" i="2"/>
  <c r="Y319" i="2"/>
  <c r="X320" i="2"/>
  <c r="X319" i="2"/>
  <c r="W320" i="2"/>
  <c r="K320" i="2"/>
  <c r="V320" i="2"/>
  <c r="W319" i="2"/>
  <c r="V319" i="2"/>
  <c r="X295" i="2"/>
  <c r="X227" i="2"/>
  <c r="Y251" i="2"/>
  <c r="Y250" i="2"/>
  <c r="X251" i="2"/>
  <c r="X250" i="2"/>
  <c r="W251" i="2"/>
  <c r="V251" i="2"/>
  <c r="W250" i="2"/>
  <c r="V250" i="2"/>
  <c r="J250" i="2"/>
  <c r="X112" i="2"/>
  <c r="Y113" i="2"/>
  <c r="Y112" i="2"/>
  <c r="X113" i="2"/>
  <c r="W113" i="2"/>
  <c r="V113" i="2"/>
  <c r="W112" i="2"/>
  <c r="V112" i="2"/>
  <c r="X89" i="2"/>
  <c r="Y43" i="2"/>
  <c r="X43" i="2"/>
  <c r="W43" i="2"/>
  <c r="V43" i="2"/>
  <c r="X736" i="2"/>
  <c r="X735" i="2"/>
  <c r="Y736" i="2"/>
  <c r="Y735" i="2"/>
  <c r="Y734" i="2"/>
  <c r="X734" i="2"/>
  <c r="Y733" i="2"/>
  <c r="X733" i="2"/>
  <c r="X712" i="2"/>
  <c r="X710" i="2"/>
  <c r="X709" i="2"/>
  <c r="W736" i="2"/>
  <c r="V736" i="2"/>
  <c r="J736" i="2"/>
  <c r="W735" i="2"/>
  <c r="V735" i="2"/>
  <c r="W734" i="2"/>
  <c r="K734" i="2"/>
  <c r="V734" i="2"/>
  <c r="J734" i="2"/>
  <c r="W733" i="2"/>
  <c r="V733" i="2"/>
  <c r="J733" i="2"/>
  <c r="Y181" i="2"/>
  <c r="X181" i="2"/>
  <c r="W181" i="2"/>
  <c r="X163" i="2"/>
  <c r="X158" i="2"/>
  <c r="R6" i="1"/>
  <c r="L25" i="10"/>
  <c r="N25" i="10" s="1"/>
  <c r="N51" i="10"/>
  <c r="L55" i="10"/>
  <c r="N55" i="10"/>
  <c r="N39" i="6"/>
  <c r="N42" i="6"/>
  <c r="N48" i="6"/>
  <c r="N103" i="5"/>
  <c r="N106" i="5"/>
  <c r="P648" i="2"/>
  <c r="F648" i="2"/>
  <c r="H649" i="2"/>
  <c r="L648" i="2"/>
  <c r="Q784" i="2"/>
  <c r="H785" i="2"/>
  <c r="F714" i="2"/>
  <c r="H715" i="2"/>
  <c r="Q714" i="2"/>
  <c r="P300" i="2"/>
  <c r="H301" i="2"/>
  <c r="L300" i="2"/>
  <c r="M300" i="2"/>
  <c r="F300" i="2"/>
  <c r="Q300" i="2"/>
  <c r="L157" i="2"/>
  <c r="Q157" i="2"/>
  <c r="F165" i="2"/>
  <c r="Q165" i="2"/>
  <c r="F709" i="2"/>
  <c r="Q709" i="2"/>
  <c r="F371" i="2"/>
  <c r="Q371" i="2"/>
  <c r="P232" i="2"/>
  <c r="F232" i="2"/>
  <c r="L232" i="2"/>
  <c r="M232" i="2"/>
  <c r="Q232" i="2"/>
  <c r="P163" i="2"/>
  <c r="Q163" i="2"/>
  <c r="P164" i="2"/>
  <c r="Q164" i="2"/>
  <c r="F711" i="2"/>
  <c r="Q711" i="2"/>
  <c r="F725" i="2"/>
  <c r="Q725" i="2"/>
  <c r="F231" i="2"/>
  <c r="L231" i="2"/>
  <c r="P231" i="2"/>
  <c r="Q231" i="2"/>
  <c r="F365" i="2"/>
  <c r="Q365" i="2"/>
  <c r="P159" i="2"/>
  <c r="Q159" i="2"/>
  <c r="P713" i="2"/>
  <c r="Q713" i="2"/>
  <c r="L713" i="2"/>
  <c r="H577" i="2"/>
  <c r="L576" i="2"/>
  <c r="M576" i="2"/>
  <c r="F576" i="2"/>
  <c r="P576" i="2"/>
  <c r="Q576" i="2"/>
  <c r="P721" i="2"/>
  <c r="Q721" i="2"/>
  <c r="F723" i="2"/>
  <c r="Q723" i="2"/>
  <c r="L369" i="2"/>
  <c r="M369" i="2"/>
  <c r="Q369" i="2"/>
  <c r="P369" i="2"/>
  <c r="H370" i="2"/>
  <c r="F369" i="2"/>
  <c r="L93" i="2"/>
  <c r="F93" i="2"/>
  <c r="Q93" i="2"/>
  <c r="P93" i="2"/>
  <c r="H94" i="2"/>
  <c r="P161" i="2"/>
  <c r="Q161" i="2"/>
  <c r="F507" i="2"/>
  <c r="Q507" i="2"/>
  <c r="L507" i="2"/>
  <c r="M507" i="2"/>
  <c r="P507" i="2"/>
  <c r="H508" i="2"/>
  <c r="F722" i="2"/>
  <c r="Q722" i="2"/>
  <c r="L155" i="2"/>
  <c r="Q155" i="2"/>
  <c r="P707" i="2"/>
  <c r="Q707" i="2"/>
  <c r="L714" i="2"/>
  <c r="M714" i="2" s="1"/>
  <c r="O65" i="7"/>
  <c r="O69" i="7"/>
  <c r="N189" i="10"/>
  <c r="N124" i="10"/>
  <c r="N120" i="5"/>
  <c r="N57" i="5"/>
  <c r="P712" i="2"/>
  <c r="F712" i="2"/>
  <c r="L723" i="2"/>
  <c r="M723" i="2" s="1"/>
  <c r="F724" i="2"/>
  <c r="P725" i="2"/>
  <c r="L709" i="2"/>
  <c r="M709" i="2" s="1"/>
  <c r="P724" i="2"/>
  <c r="L707" i="2"/>
  <c r="M707" i="2" s="1"/>
  <c r="P711" i="2"/>
  <c r="L725" i="2"/>
  <c r="L712" i="2"/>
  <c r="M712" i="2" s="1"/>
  <c r="P723" i="2"/>
  <c r="F707" i="2"/>
  <c r="F713" i="2"/>
  <c r="L724" i="2"/>
  <c r="L711" i="2"/>
  <c r="M711" i="2" s="1"/>
  <c r="P722" i="2"/>
  <c r="P709" i="2"/>
  <c r="F721" i="2"/>
  <c r="L721" i="2"/>
  <c r="P714" i="2"/>
  <c r="L722" i="2"/>
  <c r="P165" i="2"/>
  <c r="L164" i="2"/>
  <c r="M164" i="2" s="1"/>
  <c r="O164" i="2" s="1"/>
  <c r="L165" i="2"/>
  <c r="M165" i="2" s="1"/>
  <c r="O165" i="2" s="1"/>
  <c r="P155" i="2"/>
  <c r="F155" i="2"/>
  <c r="P157" i="2"/>
  <c r="F163" i="2"/>
  <c r="L163" i="2"/>
  <c r="M163" i="2" s="1"/>
  <c r="F164" i="2"/>
  <c r="F159" i="2"/>
  <c r="L159" i="2"/>
  <c r="M159" i="2" s="1"/>
  <c r="F157" i="2"/>
  <c r="F161" i="2"/>
  <c r="L161" i="2"/>
  <c r="N688" i="2"/>
  <c r="N687" i="2"/>
  <c r="N682" i="2"/>
  <c r="K682" i="2"/>
  <c r="K681" i="2"/>
  <c r="K680" i="2"/>
  <c r="N679" i="2"/>
  <c r="K679" i="2"/>
  <c r="K678" i="2"/>
  <c r="K677" i="2"/>
  <c r="K676" i="2"/>
  <c r="K675" i="2"/>
  <c r="M673" i="2"/>
  <c r="K672" i="2"/>
  <c r="V655" i="2"/>
  <c r="J655" i="2"/>
  <c r="V654" i="2"/>
  <c r="J654" i="2"/>
  <c r="V651" i="2"/>
  <c r="P646" i="2"/>
  <c r="V642" i="2"/>
  <c r="M623" i="2"/>
  <c r="M15" i="1"/>
  <c r="K623" i="2"/>
  <c r="L15" i="1"/>
  <c r="N59" i="10"/>
  <c r="L52" i="6"/>
  <c r="N52" i="6"/>
  <c r="N56" i="6"/>
  <c r="J640" i="2"/>
  <c r="L649" i="2"/>
  <c r="F649" i="2"/>
  <c r="P649" i="2"/>
  <c r="L785" i="2"/>
  <c r="Q785" i="2"/>
  <c r="H786" i="2"/>
  <c r="P785" i="2"/>
  <c r="F785" i="2"/>
  <c r="L508" i="2"/>
  <c r="F508" i="2"/>
  <c r="P508" i="2"/>
  <c r="Q508" i="2"/>
  <c r="P94" i="2"/>
  <c r="Q94" i="2"/>
  <c r="F94" i="2"/>
  <c r="L94" i="2"/>
  <c r="P370" i="2"/>
  <c r="L370" i="2"/>
  <c r="Q370" i="2"/>
  <c r="F370" i="2"/>
  <c r="L301" i="2"/>
  <c r="Q301" i="2"/>
  <c r="F301" i="2"/>
  <c r="P301" i="2"/>
  <c r="J644" i="2"/>
  <c r="J645" i="2"/>
  <c r="F715" i="2"/>
  <c r="L715" i="2"/>
  <c r="M715" i="2"/>
  <c r="Q715" i="2"/>
  <c r="H716" i="2"/>
  <c r="H717" i="2"/>
  <c r="P715" i="2"/>
  <c r="L577" i="2"/>
  <c r="P577" i="2"/>
  <c r="H578" i="2"/>
  <c r="Q577" i="2"/>
  <c r="F577" i="2"/>
  <c r="J666" i="2"/>
  <c r="J639" i="2"/>
  <c r="M645" i="2"/>
  <c r="P654" i="2"/>
  <c r="P650" i="2"/>
  <c r="F638" i="2"/>
  <c r="P641" i="2"/>
  <c r="O679" i="2"/>
  <c r="P644" i="2"/>
  <c r="P643" i="2"/>
  <c r="P651" i="2"/>
  <c r="P652" i="2"/>
  <c r="L646" i="2"/>
  <c r="P655" i="2"/>
  <c r="L638" i="2"/>
  <c r="P638" i="2"/>
  <c r="L651" i="2"/>
  <c r="M651" i="2"/>
  <c r="H639" i="2"/>
  <c r="L644" i="2"/>
  <c r="L652" i="2"/>
  <c r="M652" i="2"/>
  <c r="L641" i="2"/>
  <c r="L643" i="2"/>
  <c r="L654" i="2"/>
  <c r="M654" i="2"/>
  <c r="L655" i="2"/>
  <c r="M655" i="2"/>
  <c r="H642" i="2"/>
  <c r="F642" i="2"/>
  <c r="N826" i="2"/>
  <c r="N825" i="2"/>
  <c r="N820" i="2"/>
  <c r="K820" i="2"/>
  <c r="K819" i="2"/>
  <c r="K818" i="2"/>
  <c r="N817" i="2"/>
  <c r="K817" i="2"/>
  <c r="K816" i="2"/>
  <c r="K815" i="2"/>
  <c r="K814" i="2"/>
  <c r="K813" i="2"/>
  <c r="M811" i="2"/>
  <c r="K810" i="2"/>
  <c r="V796" i="2"/>
  <c r="J796" i="2"/>
  <c r="V795" i="2"/>
  <c r="J795" i="2"/>
  <c r="K796" i="2"/>
  <c r="V792" i="2"/>
  <c r="K792" i="2"/>
  <c r="M817" i="2"/>
  <c r="V781" i="2"/>
  <c r="V779" i="2"/>
  <c r="V778" i="2"/>
  <c r="M761" i="2"/>
  <c r="M17" i="1"/>
  <c r="K761" i="2"/>
  <c r="L17" i="1"/>
  <c r="J777" i="2"/>
  <c r="J807" i="2"/>
  <c r="M807" i="2"/>
  <c r="O807" i="2"/>
  <c r="J806" i="2"/>
  <c r="M785" i="2"/>
  <c r="M649" i="2"/>
  <c r="J643" i="2"/>
  <c r="M643" i="2"/>
  <c r="M665" i="2"/>
  <c r="O665" i="2"/>
  <c r="J803" i="2"/>
  <c r="M803" i="2"/>
  <c r="O803" i="2"/>
  <c r="J802" i="2"/>
  <c r="J642" i="2"/>
  <c r="M648" i="2"/>
  <c r="F786" i="2"/>
  <c r="H787" i="2"/>
  <c r="L786" i="2"/>
  <c r="Q786" i="2"/>
  <c r="H789" i="2"/>
  <c r="P786" i="2"/>
  <c r="Q717" i="2"/>
  <c r="L717" i="2"/>
  <c r="M717" i="2"/>
  <c r="F717" i="2"/>
  <c r="H718" i="2"/>
  <c r="P717" i="2"/>
  <c r="L716" i="2"/>
  <c r="F716" i="2"/>
  <c r="P716" i="2"/>
  <c r="Q716" i="2"/>
  <c r="P578" i="2"/>
  <c r="H579" i="2"/>
  <c r="L578" i="2"/>
  <c r="F578" i="2"/>
  <c r="Q578" i="2"/>
  <c r="J781" i="2"/>
  <c r="J779" i="2"/>
  <c r="J664" i="2"/>
  <c r="J638" i="2"/>
  <c r="M638" i="2"/>
  <c r="M636" i="2"/>
  <c r="J641" i="2"/>
  <c r="K664" i="2"/>
  <c r="J780" i="2"/>
  <c r="K805" i="2"/>
  <c r="M805" i="2"/>
  <c r="O805" i="2"/>
  <c r="K804" i="2"/>
  <c r="L639" i="2"/>
  <c r="M639" i="2"/>
  <c r="F639" i="2"/>
  <c r="P793" i="2"/>
  <c r="F793" i="2"/>
  <c r="P781" i="2"/>
  <c r="F781" i="2"/>
  <c r="F784" i="2"/>
  <c r="F783" i="2"/>
  <c r="P778" i="2"/>
  <c r="F778" i="2"/>
  <c r="P792" i="2"/>
  <c r="F792" i="2"/>
  <c r="F796" i="2"/>
  <c r="P795" i="2"/>
  <c r="F795" i="2"/>
  <c r="P782" i="2"/>
  <c r="F782" i="2"/>
  <c r="P780" i="2"/>
  <c r="F780" i="2"/>
  <c r="F776" i="2"/>
  <c r="L650" i="2"/>
  <c r="H640" i="2"/>
  <c r="F640" i="2"/>
  <c r="P639" i="2"/>
  <c r="M666" i="2"/>
  <c r="O666" i="2"/>
  <c r="M644" i="2"/>
  <c r="M661" i="2"/>
  <c r="P642" i="2"/>
  <c r="L642" i="2"/>
  <c r="L783" i="2"/>
  <c r="J776" i="2"/>
  <c r="L792" i="2"/>
  <c r="M792" i="2"/>
  <c r="P776" i="2"/>
  <c r="O817" i="2"/>
  <c r="P796" i="2"/>
  <c r="J782" i="2"/>
  <c r="O761" i="2"/>
  <c r="M825" i="2"/>
  <c r="M826" i="2"/>
  <c r="O826" i="2"/>
  <c r="F779" i="2"/>
  <c r="L782" i="2"/>
  <c r="L776" i="2"/>
  <c r="P783" i="2"/>
  <c r="L781" i="2"/>
  <c r="L793" i="2"/>
  <c r="M793" i="2"/>
  <c r="L795" i="2"/>
  <c r="M795" i="2"/>
  <c r="L796" i="2"/>
  <c r="M796" i="2"/>
  <c r="L778" i="2"/>
  <c r="L780" i="2"/>
  <c r="N757" i="2"/>
  <c r="N756" i="2"/>
  <c r="N751" i="2"/>
  <c r="K751" i="2"/>
  <c r="K750" i="2"/>
  <c r="K749" i="2"/>
  <c r="N748" i="2"/>
  <c r="K748" i="2"/>
  <c r="K747" i="2"/>
  <c r="K746" i="2"/>
  <c r="K745" i="2"/>
  <c r="K744" i="2"/>
  <c r="M742" i="2"/>
  <c r="K741" i="2"/>
  <c r="V725" i="2"/>
  <c r="J725" i="2"/>
  <c r="V724" i="2"/>
  <c r="J724" i="2"/>
  <c r="K725" i="2"/>
  <c r="V721" i="2"/>
  <c r="V712" i="2"/>
  <c r="J712" i="2"/>
  <c r="V710" i="2"/>
  <c r="J710" i="2"/>
  <c r="V709" i="2"/>
  <c r="M734" i="2"/>
  <c r="J708" i="2"/>
  <c r="M692" i="2"/>
  <c r="M16" i="1"/>
  <c r="K692" i="2"/>
  <c r="L16" i="1"/>
  <c r="K585" i="2"/>
  <c r="N619" i="2"/>
  <c r="N618" i="2"/>
  <c r="N613" i="2"/>
  <c r="K613" i="2"/>
  <c r="K612" i="2"/>
  <c r="K611" i="2"/>
  <c r="N610" i="2"/>
  <c r="K610" i="2"/>
  <c r="K609" i="2"/>
  <c r="K608" i="2"/>
  <c r="K607" i="2"/>
  <c r="K606" i="2"/>
  <c r="M604" i="2"/>
  <c r="K603" i="2"/>
  <c r="V585" i="2"/>
  <c r="J585" i="2"/>
  <c r="V584" i="2"/>
  <c r="J584" i="2"/>
  <c r="V581" i="2"/>
  <c r="V574" i="2"/>
  <c r="V572" i="2"/>
  <c r="V571" i="2"/>
  <c r="M577" i="2"/>
  <c r="M554" i="2"/>
  <c r="M14" i="1"/>
  <c r="K554" i="2"/>
  <c r="L14" i="1"/>
  <c r="N550" i="2"/>
  <c r="N549" i="2"/>
  <c r="N544" i="2"/>
  <c r="K544" i="2"/>
  <c r="K543" i="2"/>
  <c r="K542" i="2"/>
  <c r="N541" i="2"/>
  <c r="K541" i="2"/>
  <c r="K540" i="2"/>
  <c r="K539" i="2"/>
  <c r="K538" i="2"/>
  <c r="K537" i="2"/>
  <c r="M535" i="2"/>
  <c r="K534" i="2"/>
  <c r="V514" i="2"/>
  <c r="J514" i="2"/>
  <c r="V513" i="2"/>
  <c r="J513" i="2"/>
  <c r="V510" i="2"/>
  <c r="V505" i="2"/>
  <c r="V503" i="2"/>
  <c r="V502" i="2"/>
  <c r="M485" i="2"/>
  <c r="M13" i="1"/>
  <c r="K485" i="2"/>
  <c r="L13" i="1"/>
  <c r="V366" i="2"/>
  <c r="V447" i="2"/>
  <c r="J447" i="2"/>
  <c r="V376" i="2"/>
  <c r="J376" i="2"/>
  <c r="V307" i="2"/>
  <c r="J307" i="2"/>
  <c r="V436" i="2"/>
  <c r="M94" i="2"/>
  <c r="N481" i="2"/>
  <c r="N480" i="2"/>
  <c r="N475" i="2"/>
  <c r="K475" i="2"/>
  <c r="K474" i="2"/>
  <c r="K473" i="2"/>
  <c r="N472" i="2"/>
  <c r="K472" i="2"/>
  <c r="K471" i="2"/>
  <c r="K470" i="2"/>
  <c r="K469" i="2"/>
  <c r="K468" i="2"/>
  <c r="M466" i="2"/>
  <c r="K465" i="2"/>
  <c r="V446" i="2"/>
  <c r="J446" i="2"/>
  <c r="V443" i="2"/>
  <c r="V434" i="2"/>
  <c r="V433" i="2"/>
  <c r="M416" i="2"/>
  <c r="M12" i="1"/>
  <c r="K416" i="2"/>
  <c r="L12" i="1"/>
  <c r="V365" i="2"/>
  <c r="N412" i="2"/>
  <c r="N411" i="2"/>
  <c r="N406" i="2"/>
  <c r="K406" i="2"/>
  <c r="K405" i="2"/>
  <c r="K404" i="2"/>
  <c r="N403" i="2"/>
  <c r="K403" i="2"/>
  <c r="K402" i="2"/>
  <c r="K401" i="2"/>
  <c r="K400" i="2"/>
  <c r="K399" i="2"/>
  <c r="M397" i="2"/>
  <c r="K396" i="2"/>
  <c r="V375" i="2"/>
  <c r="J375" i="2"/>
  <c r="V372" i="2"/>
  <c r="K372" i="2"/>
  <c r="M403" i="2"/>
  <c r="V364" i="2"/>
  <c r="M347" i="2"/>
  <c r="M11" i="1"/>
  <c r="K347" i="2"/>
  <c r="L11" i="1"/>
  <c r="V295" i="2"/>
  <c r="N343" i="2"/>
  <c r="N342" i="2"/>
  <c r="N337" i="2"/>
  <c r="K337" i="2"/>
  <c r="K336" i="2"/>
  <c r="K335" i="2"/>
  <c r="N334" i="2"/>
  <c r="K334" i="2"/>
  <c r="K333" i="2"/>
  <c r="K332" i="2"/>
  <c r="K331" i="2"/>
  <c r="K330" i="2"/>
  <c r="M328" i="2"/>
  <c r="K327" i="2"/>
  <c r="V306" i="2"/>
  <c r="J306" i="2"/>
  <c r="V303" i="2"/>
  <c r="M278" i="2"/>
  <c r="M10" i="1"/>
  <c r="K278" i="2"/>
  <c r="L10" i="1"/>
  <c r="V227" i="2"/>
  <c r="F100" i="2"/>
  <c r="F99" i="2"/>
  <c r="N274" i="2"/>
  <c r="N273" i="2"/>
  <c r="N268" i="2"/>
  <c r="K268" i="2"/>
  <c r="K267" i="2"/>
  <c r="K266" i="2"/>
  <c r="N265" i="2"/>
  <c r="K265" i="2"/>
  <c r="K264" i="2"/>
  <c r="K263" i="2"/>
  <c r="K262" i="2"/>
  <c r="K261" i="2"/>
  <c r="M259" i="2"/>
  <c r="K258" i="2"/>
  <c r="V238" i="2"/>
  <c r="J238" i="2"/>
  <c r="V237" i="2"/>
  <c r="J237" i="2"/>
  <c r="V234" i="2"/>
  <c r="F224" i="2"/>
  <c r="M209" i="2"/>
  <c r="M9" i="1"/>
  <c r="K209" i="2"/>
  <c r="L9" i="1"/>
  <c r="V158" i="2"/>
  <c r="N205" i="2"/>
  <c r="N204" i="2"/>
  <c r="N199" i="2"/>
  <c r="K199" i="2"/>
  <c r="K198" i="2"/>
  <c r="K197" i="2"/>
  <c r="N196" i="2"/>
  <c r="K196" i="2"/>
  <c r="K195" i="2"/>
  <c r="K194" i="2"/>
  <c r="K193" i="2"/>
  <c r="K192" i="2"/>
  <c r="M190" i="2"/>
  <c r="K189" i="2"/>
  <c r="V163" i="2"/>
  <c r="M140" i="2"/>
  <c r="M8" i="1"/>
  <c r="K140" i="2"/>
  <c r="L8" i="1"/>
  <c r="O623" i="2"/>
  <c r="M687" i="2"/>
  <c r="O687" i="2"/>
  <c r="V15" i="1"/>
  <c r="AC15" i="1" s="1"/>
  <c r="M786" i="2"/>
  <c r="H788" i="2"/>
  <c r="L787" i="2"/>
  <c r="M787" i="2"/>
  <c r="Q787" i="2"/>
  <c r="F787" i="2"/>
  <c r="P787" i="2"/>
  <c r="J711" i="2"/>
  <c r="M716" i="2"/>
  <c r="M680" i="2"/>
  <c r="L789" i="2"/>
  <c r="M789" i="2"/>
  <c r="P789" i="2"/>
  <c r="H790" i="2"/>
  <c r="Q789" i="2"/>
  <c r="F789" i="2"/>
  <c r="M646" i="2"/>
  <c r="P718" i="2"/>
  <c r="L718" i="2"/>
  <c r="M718" i="2" s="1"/>
  <c r="Q718" i="2"/>
  <c r="F718" i="2"/>
  <c r="H719" i="2"/>
  <c r="M678" i="2"/>
  <c r="M675" i="2"/>
  <c r="M677" i="2"/>
  <c r="L579" i="2"/>
  <c r="P579" i="2"/>
  <c r="Q579" i="2"/>
  <c r="F579" i="2"/>
  <c r="M578" i="2"/>
  <c r="J435" i="2"/>
  <c r="M681" i="2"/>
  <c r="K802" i="2"/>
  <c r="J778" i="2"/>
  <c r="M819" i="2"/>
  <c r="J458" i="2"/>
  <c r="J457" i="2"/>
  <c r="J436" i="2"/>
  <c r="J434" i="2"/>
  <c r="J225" i="2"/>
  <c r="J804" i="2"/>
  <c r="M804" i="2"/>
  <c r="O804" i="2"/>
  <c r="J367" i="2"/>
  <c r="J389" i="2"/>
  <c r="K597" i="2"/>
  <c r="J504" i="2"/>
  <c r="J595" i="2"/>
  <c r="J596" i="2"/>
  <c r="K736" i="2"/>
  <c r="M736" i="2"/>
  <c r="O736" i="2"/>
  <c r="K735" i="2"/>
  <c r="J431" i="2"/>
  <c r="J363" i="2"/>
  <c r="J294" i="2"/>
  <c r="P784" i="2"/>
  <c r="L784" i="2"/>
  <c r="F504" i="2"/>
  <c r="P299" i="2"/>
  <c r="F299" i="2"/>
  <c r="L573" i="2"/>
  <c r="F573" i="2"/>
  <c r="L373" i="2"/>
  <c r="M373" i="2"/>
  <c r="L238" i="2"/>
  <c r="M238" i="2"/>
  <c r="F238" i="2"/>
  <c r="L376" i="2"/>
  <c r="M376" i="2"/>
  <c r="F572" i="2"/>
  <c r="F571" i="2"/>
  <c r="P226" i="2"/>
  <c r="F226" i="2"/>
  <c r="F294" i="2"/>
  <c r="F293" i="2"/>
  <c r="L306" i="2"/>
  <c r="M306" i="2"/>
  <c r="L372" i="2"/>
  <c r="M372" i="2"/>
  <c r="P511" i="2"/>
  <c r="L777" i="2"/>
  <c r="M777" i="2"/>
  <c r="F777" i="2"/>
  <c r="P234" i="2"/>
  <c r="F234" i="2"/>
  <c r="L582" i="2"/>
  <c r="M582" i="2"/>
  <c r="F582" i="2"/>
  <c r="F233" i="2"/>
  <c r="F230" i="2"/>
  <c r="L307" i="2"/>
  <c r="M307" i="2"/>
  <c r="P505" i="2"/>
  <c r="F505" i="2"/>
  <c r="F574" i="2"/>
  <c r="M584" i="2"/>
  <c r="F584" i="2"/>
  <c r="H708" i="2"/>
  <c r="Q708" i="2"/>
  <c r="M721" i="2"/>
  <c r="P297" i="2"/>
  <c r="F297" i="2"/>
  <c r="F509" i="2"/>
  <c r="F506" i="2"/>
  <c r="H710" i="2"/>
  <c r="Q710" i="2"/>
  <c r="L375" i="2"/>
  <c r="M375" i="2"/>
  <c r="P367" i="2"/>
  <c r="P500" i="2"/>
  <c r="F500" i="2"/>
  <c r="P510" i="2"/>
  <c r="F510" i="2"/>
  <c r="F580" i="2"/>
  <c r="F575" i="2"/>
  <c r="L585" i="2"/>
  <c r="M585" i="2"/>
  <c r="F585" i="2"/>
  <c r="M722" i="2"/>
  <c r="L295" i="2"/>
  <c r="F295" i="2"/>
  <c r="L513" i="2"/>
  <c r="M513" i="2"/>
  <c r="P228" i="2"/>
  <c r="F228" i="2"/>
  <c r="L303" i="2"/>
  <c r="M303" i="2"/>
  <c r="F303" i="2"/>
  <c r="F363" i="2"/>
  <c r="F362" i="2"/>
  <c r="L235" i="2"/>
  <c r="M235" i="2"/>
  <c r="F235" i="2"/>
  <c r="L364" i="2"/>
  <c r="L514" i="2"/>
  <c r="M514" i="2"/>
  <c r="L237" i="2"/>
  <c r="M237" i="2"/>
  <c r="F237" i="2"/>
  <c r="L304" i="2"/>
  <c r="M304" i="2"/>
  <c r="L366" i="2"/>
  <c r="F503" i="2"/>
  <c r="F502" i="2"/>
  <c r="P569" i="2"/>
  <c r="F569" i="2"/>
  <c r="L581" i="2"/>
  <c r="M581" i="2"/>
  <c r="F581" i="2"/>
  <c r="M664" i="2"/>
  <c r="M783" i="2"/>
  <c r="L640" i="2"/>
  <c r="M640" i="2"/>
  <c r="P640" i="2"/>
  <c r="M650" i="2"/>
  <c r="M781" i="2"/>
  <c r="M642" i="2"/>
  <c r="M641" i="2"/>
  <c r="M776" i="2"/>
  <c r="L504" i="2"/>
  <c r="M782" i="2"/>
  <c r="P513" i="2"/>
  <c r="M780" i="2"/>
  <c r="P504" i="2"/>
  <c r="P295" i="2"/>
  <c r="J713" i="2"/>
  <c r="M713" i="2"/>
  <c r="O825" i="2"/>
  <c r="P777" i="2"/>
  <c r="M820" i="2"/>
  <c r="O820" i="2"/>
  <c r="P779" i="2"/>
  <c r="L779" i="2"/>
  <c r="M779" i="2"/>
  <c r="O748" i="2"/>
  <c r="J362" i="2"/>
  <c r="P362" i="2"/>
  <c r="P237" i="2"/>
  <c r="P506" i="2"/>
  <c r="P235" i="2"/>
  <c r="L230" i="2"/>
  <c r="J293" i="2"/>
  <c r="P574" i="2"/>
  <c r="O140" i="2"/>
  <c r="M204" i="2"/>
  <c r="M205" i="2"/>
  <c r="O205" i="2"/>
  <c r="M370" i="2"/>
  <c r="P575" i="2"/>
  <c r="H156" i="2"/>
  <c r="Q156" i="2"/>
  <c r="P307" i="2"/>
  <c r="P502" i="2"/>
  <c r="L502" i="2"/>
  <c r="F296" i="2"/>
  <c r="P304" i="2"/>
  <c r="P368" i="2"/>
  <c r="P373" i="2"/>
  <c r="P514" i="2"/>
  <c r="L569" i="2"/>
  <c r="P573" i="2"/>
  <c r="P581" i="2"/>
  <c r="P306" i="2"/>
  <c r="L226" i="2"/>
  <c r="P571" i="2"/>
  <c r="L505" i="2"/>
  <c r="P584" i="2"/>
  <c r="L234" i="2"/>
  <c r="M234" i="2"/>
  <c r="P238" i="2"/>
  <c r="P303" i="2"/>
  <c r="P376" i="2"/>
  <c r="L511" i="2"/>
  <c r="M511" i="2"/>
  <c r="H158" i="2"/>
  <c r="Q158" i="2"/>
  <c r="P372" i="2"/>
  <c r="L500" i="2"/>
  <c r="L510" i="2"/>
  <c r="M510" i="2"/>
  <c r="P585" i="2"/>
  <c r="M725" i="2"/>
  <c r="M724" i="2"/>
  <c r="P293" i="2"/>
  <c r="L362" i="2"/>
  <c r="P366" i="2"/>
  <c r="P375" i="2"/>
  <c r="L506" i="2"/>
  <c r="P582" i="2"/>
  <c r="L293" i="2"/>
  <c r="O734" i="2"/>
  <c r="O692" i="2"/>
  <c r="M756" i="2"/>
  <c r="O756" i="2"/>
  <c r="J707" i="2"/>
  <c r="O610" i="2"/>
  <c r="O554" i="2"/>
  <c r="M618" i="2"/>
  <c r="O618" i="2"/>
  <c r="L580" i="2"/>
  <c r="L574" i="2"/>
  <c r="L575" i="2"/>
  <c r="L571" i="2"/>
  <c r="O541" i="2"/>
  <c r="J501" i="2"/>
  <c r="J500" i="2"/>
  <c r="O485" i="2"/>
  <c r="M549" i="2"/>
  <c r="O549" i="2"/>
  <c r="L297" i="2"/>
  <c r="L367" i="2"/>
  <c r="J459" i="2"/>
  <c r="O472" i="2"/>
  <c r="J432" i="2"/>
  <c r="O416" i="2"/>
  <c r="M480" i="2"/>
  <c r="O480" i="2"/>
  <c r="O403" i="2"/>
  <c r="O347" i="2"/>
  <c r="M411" i="2"/>
  <c r="M412" i="2"/>
  <c r="O412" i="2"/>
  <c r="P364" i="2"/>
  <c r="L368" i="2"/>
  <c r="O334" i="2"/>
  <c r="L299" i="2"/>
  <c r="F302" i="2"/>
  <c r="O278" i="2"/>
  <c r="M342" i="2"/>
  <c r="P230" i="2"/>
  <c r="O265" i="2"/>
  <c r="O209" i="2"/>
  <c r="M273" i="2"/>
  <c r="O273" i="2"/>
  <c r="P224" i="2"/>
  <c r="F225" i="2"/>
  <c r="L228" i="2"/>
  <c r="L224" i="2"/>
  <c r="O196" i="2"/>
  <c r="H162" i="2"/>
  <c r="Q162" i="2"/>
  <c r="V100" i="2"/>
  <c r="V99" i="2"/>
  <c r="V89" i="2"/>
  <c r="P99" i="2"/>
  <c r="P100" i="2"/>
  <c r="L99" i="2"/>
  <c r="L100" i="2"/>
  <c r="N136" i="2"/>
  <c r="N135" i="2"/>
  <c r="N130" i="2"/>
  <c r="K130" i="2"/>
  <c r="K129" i="2"/>
  <c r="K128" i="2"/>
  <c r="N127" i="2"/>
  <c r="K127" i="2"/>
  <c r="K126" i="2"/>
  <c r="K125" i="2"/>
  <c r="K124" i="2"/>
  <c r="N123" i="2"/>
  <c r="K123" i="2"/>
  <c r="M121" i="2"/>
  <c r="N120" i="2"/>
  <c r="O120" i="2"/>
  <c r="O121" i="2"/>
  <c r="K120" i="2"/>
  <c r="K98" i="2"/>
  <c r="M98" i="2"/>
  <c r="V96" i="2"/>
  <c r="M71" i="2"/>
  <c r="M7" i="1"/>
  <c r="K71" i="2"/>
  <c r="L7" i="1"/>
  <c r="V25" i="2"/>
  <c r="N67" i="2"/>
  <c r="N66" i="2"/>
  <c r="N58" i="2"/>
  <c r="N61" i="2"/>
  <c r="N54" i="2"/>
  <c r="K58" i="2"/>
  <c r="K61" i="2"/>
  <c r="N51" i="2"/>
  <c r="O51" i="2"/>
  <c r="O52" i="2"/>
  <c r="K51" i="2"/>
  <c r="N129" i="2"/>
  <c r="N56" i="2"/>
  <c r="M52" i="2"/>
  <c r="M2" i="2"/>
  <c r="M6" i="1"/>
  <c r="K2" i="2"/>
  <c r="L6" i="1"/>
  <c r="O58" i="2"/>
  <c r="M688" i="2"/>
  <c r="O688" i="2"/>
  <c r="M682" i="2"/>
  <c r="O682" i="2"/>
  <c r="O127" i="2"/>
  <c r="M802" i="2"/>
  <c r="O802" i="2"/>
  <c r="K806" i="2"/>
  <c r="M806" i="2"/>
  <c r="O806" i="2"/>
  <c r="O664" i="2"/>
  <c r="O670" i="2"/>
  <c r="M670" i="2"/>
  <c r="AA15" i="1"/>
  <c r="M579" i="2"/>
  <c r="H791" i="2"/>
  <c r="P790" i="2"/>
  <c r="Q790" i="2"/>
  <c r="F790" i="2"/>
  <c r="L790" i="2"/>
  <c r="M790" i="2"/>
  <c r="F788" i="2"/>
  <c r="P788" i="2"/>
  <c r="Q788" i="2"/>
  <c r="L788" i="2"/>
  <c r="M788" i="2"/>
  <c r="P719" i="2"/>
  <c r="Q719" i="2"/>
  <c r="H720" i="2"/>
  <c r="L719" i="2"/>
  <c r="M719" i="2"/>
  <c r="F719" i="2"/>
  <c r="J597" i="2"/>
  <c r="M597" i="2"/>
  <c r="O597" i="2"/>
  <c r="M301" i="2"/>
  <c r="M230" i="2"/>
  <c r="M231" i="2"/>
  <c r="M508" i="2"/>
  <c r="J527" i="2"/>
  <c r="J526" i="2"/>
  <c r="M778" i="2"/>
  <c r="M818" i="2"/>
  <c r="J251" i="2"/>
  <c r="J388" i="2"/>
  <c r="K457" i="2"/>
  <c r="J433" i="2"/>
  <c r="K388" i="2"/>
  <c r="J366" i="2"/>
  <c r="M366" i="2"/>
  <c r="M295" i="2"/>
  <c r="K319" i="2"/>
  <c r="J319" i="2"/>
  <c r="J297" i="2"/>
  <c r="M297" i="2"/>
  <c r="J320" i="2"/>
  <c r="M320" i="2"/>
  <c r="O320" i="2"/>
  <c r="K595" i="2"/>
  <c r="M595" i="2"/>
  <c r="M611" i="2"/>
  <c r="M502" i="2"/>
  <c r="K526" i="2"/>
  <c r="J505" i="2"/>
  <c r="M505" i="2"/>
  <c r="K250" i="2"/>
  <c r="M250" i="2"/>
  <c r="M226" i="2"/>
  <c r="K251" i="2"/>
  <c r="N55" i="2"/>
  <c r="N672" i="2"/>
  <c r="O672" i="2"/>
  <c r="O673" i="2"/>
  <c r="N810" i="2"/>
  <c r="O810" i="2"/>
  <c r="O811" i="2"/>
  <c r="N534" i="2"/>
  <c r="O534" i="2"/>
  <c r="O535" i="2"/>
  <c r="N327" i="2"/>
  <c r="O327" i="2"/>
  <c r="O328" i="2"/>
  <c r="N603" i="2"/>
  <c r="O603" i="2"/>
  <c r="O604" i="2"/>
  <c r="N396" i="2"/>
  <c r="O396" i="2"/>
  <c r="O397" i="2"/>
  <c r="N189" i="2"/>
  <c r="O189" i="2"/>
  <c r="O190" i="2"/>
  <c r="N465" i="2"/>
  <c r="O465" i="2"/>
  <c r="O466" i="2"/>
  <c r="N258" i="2"/>
  <c r="O258" i="2"/>
  <c r="O259" i="2"/>
  <c r="N741" i="2"/>
  <c r="O741" i="2"/>
  <c r="O742" i="2"/>
  <c r="N60" i="2"/>
  <c r="N125" i="2"/>
  <c r="N675" i="2"/>
  <c r="O675" i="2"/>
  <c r="N813" i="2"/>
  <c r="O813" i="2"/>
  <c r="N192" i="2"/>
  <c r="N468" i="2"/>
  <c r="N261" i="2"/>
  <c r="N744" i="2"/>
  <c r="N537" i="2"/>
  <c r="N330" i="2"/>
  <c r="N606" i="2"/>
  <c r="N399" i="2"/>
  <c r="N59" i="2"/>
  <c r="H149" i="3"/>
  <c r="H133" i="3"/>
  <c r="H128" i="3"/>
  <c r="H8" i="3"/>
  <c r="H50" i="3"/>
  <c r="H58" i="3"/>
  <c r="H68" i="3"/>
  <c r="H78" i="3"/>
  <c r="H88" i="3"/>
  <c r="H39" i="3"/>
  <c r="H51" i="3"/>
  <c r="H99" i="3"/>
  <c r="H135" i="3"/>
  <c r="H62" i="3"/>
  <c r="H100" i="3"/>
  <c r="H136" i="3"/>
  <c r="H122" i="3"/>
  <c r="H63" i="3"/>
  <c r="H73" i="3"/>
  <c r="H83" i="3"/>
  <c r="H101" i="3"/>
  <c r="H42" i="3"/>
  <c r="N467" i="11"/>
  <c r="H74" i="3"/>
  <c r="H35" i="3"/>
  <c r="H142" i="3"/>
  <c r="H125" i="3"/>
  <c r="H65" i="3"/>
  <c r="N398" i="7"/>
  <c r="O398" i="7" s="1"/>
  <c r="H36" i="3"/>
  <c r="H141" i="3"/>
  <c r="H126" i="3"/>
  <c r="H150" i="3"/>
  <c r="H140" i="3"/>
  <c r="H127" i="3"/>
  <c r="H7" i="3"/>
  <c r="H57" i="3"/>
  <c r="H77" i="3"/>
  <c r="H148" i="3"/>
  <c r="H134" i="3"/>
  <c r="H129" i="3"/>
  <c r="H9" i="3"/>
  <c r="N159" i="2"/>
  <c r="H61" i="3"/>
  <c r="H79" i="3"/>
  <c r="H89" i="3"/>
  <c r="H34" i="3"/>
  <c r="H147" i="3"/>
  <c r="H10" i="3"/>
  <c r="N645" i="2"/>
  <c r="O645" i="2"/>
  <c r="H52" i="3"/>
  <c r="H70" i="3"/>
  <c r="H80" i="3"/>
  <c r="H144" i="3"/>
  <c r="H114" i="3"/>
  <c r="H11" i="3"/>
  <c r="H53" i="3"/>
  <c r="H143" i="3"/>
  <c r="H137" i="3"/>
  <c r="H115" i="3"/>
  <c r="H113" i="3"/>
  <c r="H12" i="3"/>
  <c r="H54" i="3"/>
  <c r="H64" i="3"/>
  <c r="H84" i="3"/>
  <c r="H102" i="3"/>
  <c r="H43" i="3"/>
  <c r="H55" i="3"/>
  <c r="H75" i="3"/>
  <c r="H85" i="3"/>
  <c r="H103" i="3"/>
  <c r="H76" i="3"/>
  <c r="H104" i="3"/>
  <c r="H37" i="3"/>
  <c r="H118" i="3"/>
  <c r="H87" i="3"/>
  <c r="H38" i="3"/>
  <c r="H151" i="3"/>
  <c r="H6" i="3"/>
  <c r="H86" i="3"/>
  <c r="H67" i="3"/>
  <c r="H105" i="3"/>
  <c r="N681" i="2"/>
  <c r="O681" i="2"/>
  <c r="N680" i="2"/>
  <c r="O680" i="2"/>
  <c r="N818" i="2"/>
  <c r="N819" i="2"/>
  <c r="N405" i="2"/>
  <c r="N611" i="2"/>
  <c r="N198" i="2"/>
  <c r="N404" i="2"/>
  <c r="N543" i="2"/>
  <c r="N266" i="2"/>
  <c r="N474" i="2"/>
  <c r="N267" i="2"/>
  <c r="N197" i="2"/>
  <c r="N750" i="2"/>
  <c r="N749" i="2"/>
  <c r="N612" i="2"/>
  <c r="N542" i="2"/>
  <c r="N335" i="2"/>
  <c r="N473" i="2"/>
  <c r="N336" i="2"/>
  <c r="N57" i="2"/>
  <c r="N126" i="2"/>
  <c r="H5" i="3"/>
  <c r="H30" i="3"/>
  <c r="H106" i="3"/>
  <c r="H69" i="3"/>
  <c r="H40" i="3"/>
  <c r="H121" i="3"/>
  <c r="H108" i="3"/>
  <c r="H27" i="3"/>
  <c r="H117" i="3"/>
  <c r="H28" i="3"/>
  <c r="H29" i="3"/>
  <c r="H120" i="3"/>
  <c r="H31" i="3"/>
  <c r="H107" i="3"/>
  <c r="H130" i="3"/>
  <c r="H23" i="3"/>
  <c r="H90" i="3"/>
  <c r="H41" i="3"/>
  <c r="H24" i="3"/>
  <c r="H109" i="3"/>
  <c r="H25" i="3"/>
  <c r="H116" i="3"/>
  <c r="H26" i="3"/>
  <c r="H44" i="3"/>
  <c r="H56" i="3"/>
  <c r="N678" i="2"/>
  <c r="O678" i="2"/>
  <c r="N677" i="2"/>
  <c r="O677" i="2"/>
  <c r="N676" i="2"/>
  <c r="O676" i="2"/>
  <c r="N816" i="2"/>
  <c r="O816" i="2"/>
  <c r="N815" i="2"/>
  <c r="O815" i="2"/>
  <c r="N814" i="2"/>
  <c r="N745" i="2"/>
  <c r="N608" i="2"/>
  <c r="N538" i="2"/>
  <c r="N471" i="2"/>
  <c r="N401" i="2"/>
  <c r="N331" i="2"/>
  <c r="N264" i="2"/>
  <c r="N194" i="2"/>
  <c r="N747" i="2"/>
  <c r="N607" i="2"/>
  <c r="N540" i="2"/>
  <c r="N333" i="2"/>
  <c r="N470" i="2"/>
  <c r="N400" i="2"/>
  <c r="N263" i="2"/>
  <c r="O263" i="2"/>
  <c r="N746" i="2"/>
  <c r="N609" i="2"/>
  <c r="N193" i="2"/>
  <c r="N539" i="2"/>
  <c r="N402" i="2"/>
  <c r="N332" i="2"/>
  <c r="N469" i="2"/>
  <c r="N262" i="2"/>
  <c r="N195" i="2"/>
  <c r="N124" i="2"/>
  <c r="H119" i="3"/>
  <c r="H17" i="3"/>
  <c r="H96" i="3"/>
  <c r="H47" i="3"/>
  <c r="H19" i="3"/>
  <c r="H20" i="3"/>
  <c r="H21" i="3"/>
  <c r="H22" i="3"/>
  <c r="H93" i="3"/>
  <c r="H15" i="3"/>
  <c r="H94" i="3"/>
  <c r="H95" i="3"/>
  <c r="H46" i="3"/>
  <c r="H18" i="3"/>
  <c r="H91" i="3"/>
  <c r="H92" i="3"/>
  <c r="H13" i="3"/>
  <c r="H14" i="3"/>
  <c r="H66" i="3"/>
  <c r="H45" i="3"/>
  <c r="H16" i="3"/>
  <c r="N128" i="2"/>
  <c r="M367" i="2"/>
  <c r="L708" i="2"/>
  <c r="M708" i="2"/>
  <c r="P708" i="2"/>
  <c r="F708" i="2"/>
  <c r="F710" i="2"/>
  <c r="L710" i="2"/>
  <c r="M710" i="2"/>
  <c r="P710" i="2"/>
  <c r="M569" i="2"/>
  <c r="J709" i="2"/>
  <c r="K733" i="2"/>
  <c r="M733" i="2"/>
  <c r="J735" i="2"/>
  <c r="M735" i="2"/>
  <c r="O735" i="2"/>
  <c r="M198" i="2"/>
  <c r="M181" i="2"/>
  <c r="M157" i="2"/>
  <c r="O157" i="2" s="1"/>
  <c r="M155" i="2"/>
  <c r="O155" i="2" s="1"/>
  <c r="P162" i="2"/>
  <c r="L162" i="2"/>
  <c r="M162" i="2" s="1"/>
  <c r="O162" i="2" s="1"/>
  <c r="P158" i="2"/>
  <c r="L158" i="2"/>
  <c r="M158" i="2" s="1"/>
  <c r="O158" i="2" s="1"/>
  <c r="F158" i="2"/>
  <c r="F156" i="2"/>
  <c r="P156" i="2"/>
  <c r="L156" i="2"/>
  <c r="M156" i="2" s="1"/>
  <c r="P503" i="2"/>
  <c r="F162" i="2"/>
  <c r="M784" i="2"/>
  <c r="P294" i="2"/>
  <c r="P580" i="2"/>
  <c r="L233" i="2"/>
  <c r="P363" i="2"/>
  <c r="P233" i="2"/>
  <c r="L572" i="2"/>
  <c r="M572" i="2"/>
  <c r="L503" i="2"/>
  <c r="L363" i="2"/>
  <c r="M363" i="2"/>
  <c r="M573" i="2"/>
  <c r="P97" i="2"/>
  <c r="F97" i="2"/>
  <c r="F86" i="2"/>
  <c r="F19" i="2"/>
  <c r="P92" i="2"/>
  <c r="F92" i="2"/>
  <c r="F23" i="2"/>
  <c r="P509" i="2"/>
  <c r="L294" i="2"/>
  <c r="M294" i="2"/>
  <c r="P25" i="2"/>
  <c r="F25" i="2"/>
  <c r="P90" i="2"/>
  <c r="F90" i="2"/>
  <c r="F501" i="2"/>
  <c r="P26" i="2"/>
  <c r="F26" i="2"/>
  <c r="P227" i="2"/>
  <c r="F227" i="2"/>
  <c r="P572" i="2"/>
  <c r="P96" i="2"/>
  <c r="F96" i="2"/>
  <c r="F17" i="2"/>
  <c r="F89" i="2"/>
  <c r="F88" i="2"/>
  <c r="L509" i="2"/>
  <c r="L570" i="2"/>
  <c r="M570" i="2"/>
  <c r="F570" i="2"/>
  <c r="M660" i="2"/>
  <c r="O411" i="2"/>
  <c r="M224" i="2"/>
  <c r="M659" i="2"/>
  <c r="L96" i="2"/>
  <c r="M96" i="2"/>
  <c r="M575" i="2"/>
  <c r="M504" i="2"/>
  <c r="M362" i="2"/>
  <c r="O204" i="2"/>
  <c r="P570" i="2"/>
  <c r="M619" i="2"/>
  <c r="O619" i="2"/>
  <c r="M406" i="2"/>
  <c r="O406" i="2"/>
  <c r="M613" i="2"/>
  <c r="O613" i="2"/>
  <c r="O71" i="2"/>
  <c r="M135" i="2"/>
  <c r="M199" i="2"/>
  <c r="O199" i="2"/>
  <c r="M293" i="2"/>
  <c r="M228" i="2"/>
  <c r="P501" i="2"/>
  <c r="P17" i="2"/>
  <c r="L296" i="2"/>
  <c r="P296" i="2"/>
  <c r="L501" i="2"/>
  <c r="M501" i="2"/>
  <c r="P23" i="2"/>
  <c r="M500" i="2"/>
  <c r="L90" i="2"/>
  <c r="P19" i="2"/>
  <c r="L227" i="2"/>
  <c r="M227" i="2"/>
  <c r="M751" i="2"/>
  <c r="O751" i="2"/>
  <c r="M757" i="2"/>
  <c r="O757" i="2"/>
  <c r="M596" i="2"/>
  <c r="O596" i="2"/>
  <c r="M574" i="2"/>
  <c r="M506" i="2"/>
  <c r="M544" i="2"/>
  <c r="O544" i="2"/>
  <c r="M550" i="2"/>
  <c r="O550" i="2"/>
  <c r="M475" i="2"/>
  <c r="O475" i="2"/>
  <c r="M481" i="2"/>
  <c r="O481" i="2"/>
  <c r="L365" i="2"/>
  <c r="P365" i="2"/>
  <c r="M389" i="2"/>
  <c r="O389" i="2"/>
  <c r="L371" i="2"/>
  <c r="M371" i="2"/>
  <c r="P371" i="2"/>
  <c r="M337" i="2"/>
  <c r="O337" i="2"/>
  <c r="M343" i="2"/>
  <c r="O343" i="2"/>
  <c r="L302" i="2"/>
  <c r="P302" i="2"/>
  <c r="O342" i="2"/>
  <c r="M299" i="2"/>
  <c r="L225" i="2"/>
  <c r="M225" i="2"/>
  <c r="P225" i="2"/>
  <c r="M268" i="2"/>
  <c r="O268" i="2"/>
  <c r="M274" i="2"/>
  <c r="O274" i="2"/>
  <c r="M99" i="2"/>
  <c r="M100" i="2"/>
  <c r="P86" i="2"/>
  <c r="P88" i="2"/>
  <c r="L86" i="2"/>
  <c r="L92" i="2"/>
  <c r="L97" i="2"/>
  <c r="M97" i="2"/>
  <c r="L88" i="2"/>
  <c r="M66" i="2"/>
  <c r="O808" i="2"/>
  <c r="M319" i="2"/>
  <c r="M325" i="2"/>
  <c r="AA10" i="1"/>
  <c r="M808" i="2"/>
  <c r="M543" i="2"/>
  <c r="O181" i="2"/>
  <c r="O187" i="2"/>
  <c r="M187" i="2"/>
  <c r="M739" i="2"/>
  <c r="M601" i="2"/>
  <c r="M526" i="2"/>
  <c r="N1003" i="7"/>
  <c r="O1003" i="7" s="1"/>
  <c r="N1080" i="7"/>
  <c r="O1080" i="7" s="1"/>
  <c r="N930" i="7"/>
  <c r="O930" i="7" s="1"/>
  <c r="N853" i="7"/>
  <c r="N161" i="2"/>
  <c r="O161" i="2" s="1"/>
  <c r="N647" i="2"/>
  <c r="O647" i="2"/>
  <c r="N648" i="2"/>
  <c r="O648" i="2"/>
  <c r="N649" i="2"/>
  <c r="O649" i="2"/>
  <c r="N156" i="2"/>
  <c r="N845" i="2"/>
  <c r="O845" i="2"/>
  <c r="N914" i="2"/>
  <c r="O914" i="2"/>
  <c r="N915" i="2"/>
  <c r="O915" i="2"/>
  <c r="N846" i="2"/>
  <c r="O846" i="2"/>
  <c r="N1090" i="7"/>
  <c r="O1090" i="7"/>
  <c r="N1011" i="7"/>
  <c r="O1011" i="7" s="1"/>
  <c r="N928" i="2"/>
  <c r="O928" i="2"/>
  <c r="N257" i="11"/>
  <c r="N859" i="2"/>
  <c r="N1091" i="7"/>
  <c r="N1012" i="7"/>
  <c r="O1012" i="7" s="1"/>
  <c r="N920" i="2"/>
  <c r="O920" i="2"/>
  <c r="N851" i="2"/>
  <c r="O851" i="2"/>
  <c r="N642" i="2"/>
  <c r="O642" i="2"/>
  <c r="N916" i="2"/>
  <c r="O916" i="2"/>
  <c r="N847" i="2"/>
  <c r="N848" i="2"/>
  <c r="N917" i="2"/>
  <c r="O917" i="2"/>
  <c r="N714" i="2"/>
  <c r="N921" i="2"/>
  <c r="O921" i="2"/>
  <c r="N922" i="2"/>
  <c r="O922" i="2"/>
  <c r="N852" i="2"/>
  <c r="O852" i="2" s="1"/>
  <c r="N853" i="2"/>
  <c r="N854" i="2"/>
  <c r="N923" i="2"/>
  <c r="O923" i="2"/>
  <c r="N855" i="2"/>
  <c r="O855" i="2" s="1"/>
  <c r="N856" i="2"/>
  <c r="N925" i="2"/>
  <c r="O925" i="2"/>
  <c r="N926" i="2"/>
  <c r="O926" i="2"/>
  <c r="N857" i="2"/>
  <c r="O857" i="2" s="1"/>
  <c r="N924" i="2"/>
  <c r="O924" i="2"/>
  <c r="N858" i="2"/>
  <c r="O858" i="2" s="1"/>
  <c r="N927" i="2"/>
  <c r="O927" i="2"/>
  <c r="N231" i="2"/>
  <c r="O231" i="2"/>
  <c r="N369" i="2"/>
  <c r="O369" i="2"/>
  <c r="N300" i="2"/>
  <c r="O300" i="2"/>
  <c r="N93" i="2"/>
  <c r="N232" i="2"/>
  <c r="O232" i="2"/>
  <c r="N507" i="2"/>
  <c r="O507" i="2"/>
  <c r="N576" i="2"/>
  <c r="O576" i="2"/>
  <c r="N301" i="2"/>
  <c r="O301" i="2"/>
  <c r="N715" i="2"/>
  <c r="N508" i="2"/>
  <c r="O508" i="2"/>
  <c r="N577" i="2"/>
  <c r="O577" i="2"/>
  <c r="N370" i="2"/>
  <c r="O370" i="2"/>
  <c r="N785" i="2"/>
  <c r="O785" i="2"/>
  <c r="N94" i="2"/>
  <c r="O94" i="2"/>
  <c r="N717" i="2"/>
  <c r="O717" i="2"/>
  <c r="N578" i="2"/>
  <c r="O578" i="2"/>
  <c r="N786" i="2"/>
  <c r="O786" i="2"/>
  <c r="N716" i="2"/>
  <c r="N789" i="2"/>
  <c r="O789" i="2"/>
  <c r="N787" i="2"/>
  <c r="O787" i="2"/>
  <c r="N718" i="2"/>
  <c r="N579" i="2"/>
  <c r="O579" i="2"/>
  <c r="N1093" i="7"/>
  <c r="N1014" i="7"/>
  <c r="N863" i="2"/>
  <c r="O863" i="2" s="1"/>
  <c r="N932" i="2"/>
  <c r="O932" i="2"/>
  <c r="N644" i="2"/>
  <c r="O644" i="2"/>
  <c r="N919" i="2"/>
  <c r="O919" i="2"/>
  <c r="N849" i="2"/>
  <c r="O849" i="2" s="1"/>
  <c r="N918" i="2"/>
  <c r="O918" i="2"/>
  <c r="N850" i="2"/>
  <c r="O850" i="2"/>
  <c r="N788" i="2"/>
  <c r="O788" i="2"/>
  <c r="N790" i="2"/>
  <c r="O790" i="2"/>
  <c r="N861" i="2"/>
  <c r="O861" i="2" s="1"/>
  <c r="N860" i="2"/>
  <c r="N929" i="2"/>
  <c r="O929" i="2"/>
  <c r="N930" i="2"/>
  <c r="O930" i="2"/>
  <c r="N1081" i="7"/>
  <c r="N1005" i="7"/>
  <c r="N1004" i="7"/>
  <c r="N1006" i="7"/>
  <c r="O1006" i="7" s="1"/>
  <c r="N1082" i="7"/>
  <c r="N1083" i="7"/>
  <c r="O1083" i="7"/>
  <c r="N1007" i="7"/>
  <c r="O1007" i="7"/>
  <c r="N1008" i="7"/>
  <c r="N1085" i="7"/>
  <c r="O1085" i="7" s="1"/>
  <c r="N1009" i="7"/>
  <c r="N1088" i="7"/>
  <c r="N1087" i="7"/>
  <c r="O1087" i="7" s="1"/>
  <c r="N1010" i="7"/>
  <c r="N1089" i="7"/>
  <c r="N931" i="7"/>
  <c r="O931" i="7"/>
  <c r="N932" i="7"/>
  <c r="O932" i="7" s="1"/>
  <c r="N933" i="7"/>
  <c r="O933" i="7" s="1"/>
  <c r="N934" i="7"/>
  <c r="N937" i="7"/>
  <c r="N935" i="7"/>
  <c r="N936" i="7"/>
  <c r="O936" i="7" s="1"/>
  <c r="N704" i="7"/>
  <c r="N855" i="7"/>
  <c r="O855" i="7" s="1"/>
  <c r="N554" i="7"/>
  <c r="O554" i="7" s="1"/>
  <c r="N856" i="7"/>
  <c r="N629" i="7"/>
  <c r="N780" i="7"/>
  <c r="O780" i="7" s="1"/>
  <c r="N705" i="7"/>
  <c r="N328" i="7"/>
  <c r="O328" i="7" s="1"/>
  <c r="N478" i="7"/>
  <c r="O478" i="7" s="1"/>
  <c r="N254" i="7"/>
  <c r="O254" i="7"/>
  <c r="N781" i="7"/>
  <c r="O781" i="7" s="1"/>
  <c r="N630" i="7"/>
  <c r="O630" i="7" s="1"/>
  <c r="N329" i="7"/>
  <c r="N555" i="7"/>
  <c r="O555" i="7" s="1"/>
  <c r="N706" i="7"/>
  <c r="N479" i="7"/>
  <c r="O479" i="7" s="1"/>
  <c r="N858" i="7"/>
  <c r="O858" i="7"/>
  <c r="N249" i="11"/>
  <c r="N782" i="7"/>
  <c r="O782" i="7" s="1"/>
  <c r="N556" i="7"/>
  <c r="O556" i="7" s="1"/>
  <c r="N707" i="7"/>
  <c r="N255" i="7"/>
  <c r="O255" i="7"/>
  <c r="N557" i="7"/>
  <c r="O557" i="7"/>
  <c r="N859" i="7"/>
  <c r="O859" i="7" s="1"/>
  <c r="N783" i="7"/>
  <c r="N103" i="7"/>
  <c r="N860" i="7"/>
  <c r="O860" i="7" s="1"/>
  <c r="N104" i="7"/>
  <c r="N1092" i="7"/>
  <c r="O1092" i="7" s="1"/>
  <c r="N1013" i="7"/>
  <c r="O1013" i="7" s="1"/>
  <c r="N931" i="2"/>
  <c r="O931" i="2"/>
  <c r="N862" i="2"/>
  <c r="N719" i="2"/>
  <c r="M749" i="2"/>
  <c r="O749" i="2"/>
  <c r="M750" i="2"/>
  <c r="O750" i="2"/>
  <c r="M302" i="2"/>
  <c r="M336" i="2"/>
  <c r="M251" i="2"/>
  <c r="O251" i="2"/>
  <c r="O404" i="2"/>
  <c r="O197" i="2"/>
  <c r="O262" i="2"/>
  <c r="L791" i="2"/>
  <c r="M791" i="2"/>
  <c r="F791" i="2"/>
  <c r="N791" i="2"/>
  <c r="P791" i="2"/>
  <c r="Q791" i="2"/>
  <c r="M233" i="2"/>
  <c r="M509" i="2"/>
  <c r="Q720" i="2"/>
  <c r="L720" i="2"/>
  <c r="M720" i="2"/>
  <c r="F720" i="2"/>
  <c r="P720" i="2"/>
  <c r="M612" i="2"/>
  <c r="O612" i="2"/>
  <c r="M93" i="2"/>
  <c r="O542" i="2"/>
  <c r="O335" i="2"/>
  <c r="M405" i="2"/>
  <c r="O405" i="2"/>
  <c r="O266" i="2"/>
  <c r="M267" i="2"/>
  <c r="O267" i="2"/>
  <c r="M388" i="2"/>
  <c r="N321" i="11"/>
  <c r="N778" i="7"/>
  <c r="O778" i="7"/>
  <c r="N256" i="11"/>
  <c r="N854" i="7"/>
  <c r="O854" i="7" s="1"/>
  <c r="N402" i="7"/>
  <c r="N327" i="7"/>
  <c r="N177" i="7"/>
  <c r="N938" i="7"/>
  <c r="O938" i="7" s="1"/>
  <c r="N178" i="7"/>
  <c r="O178" i="7" s="1"/>
  <c r="N779" i="7"/>
  <c r="O779" i="7"/>
  <c r="N703" i="7"/>
  <c r="O703" i="7"/>
  <c r="N553" i="7"/>
  <c r="N253" i="7"/>
  <c r="N403" i="7"/>
  <c r="N330" i="7"/>
  <c r="N252" i="7"/>
  <c r="O252" i="7"/>
  <c r="N857" i="7"/>
  <c r="O857" i="7" s="1"/>
  <c r="N708" i="7"/>
  <c r="N631" i="7"/>
  <c r="O631" i="7" s="1"/>
  <c r="N477" i="7"/>
  <c r="O477" i="7"/>
  <c r="N628" i="7"/>
  <c r="O628" i="7" s="1"/>
  <c r="N480" i="7"/>
  <c r="O480" i="7" s="1"/>
  <c r="N324" i="11"/>
  <c r="N399" i="11"/>
  <c r="N939" i="7"/>
  <c r="O939" i="7" s="1"/>
  <c r="N558" i="7"/>
  <c r="N248" i="11"/>
  <c r="N724" i="2"/>
  <c r="O724" i="2"/>
  <c r="N483" i="7"/>
  <c r="O483" i="7" s="1"/>
  <c r="N333" i="7"/>
  <c r="O333" i="7" s="1"/>
  <c r="N786" i="7"/>
  <c r="N634" i="7"/>
  <c r="O634" i="7"/>
  <c r="N863" i="7"/>
  <c r="O863" i="7" s="1"/>
  <c r="N258" i="7"/>
  <c r="O258" i="7" s="1"/>
  <c r="N108" i="7"/>
  <c r="N942" i="7"/>
  <c r="N711" i="7"/>
  <c r="N561" i="7"/>
  <c r="O561" i="7" s="1"/>
  <c r="N335" i="11"/>
  <c r="N106" i="7"/>
  <c r="N481" i="7"/>
  <c r="N404" i="7"/>
  <c r="N331" i="7"/>
  <c r="N784" i="7"/>
  <c r="N256" i="7"/>
  <c r="O256" i="7"/>
  <c r="N940" i="7"/>
  <c r="N632" i="7"/>
  <c r="O632" i="7" s="1"/>
  <c r="N861" i="7"/>
  <c r="N179" i="7"/>
  <c r="N559" i="7"/>
  <c r="N709" i="7"/>
  <c r="N941" i="7"/>
  <c r="N633" i="7"/>
  <c r="O633" i="7" s="1"/>
  <c r="N482" i="7"/>
  <c r="N405" i="7"/>
  <c r="O405" i="7" s="1"/>
  <c r="N862" i="7"/>
  <c r="O862" i="7" s="1"/>
  <c r="N180" i="7"/>
  <c r="O180" i="7"/>
  <c r="N785" i="7"/>
  <c r="O785" i="7" s="1"/>
  <c r="N560" i="7"/>
  <c r="N710" i="7"/>
  <c r="N332" i="7"/>
  <c r="N257" i="7"/>
  <c r="O257" i="7"/>
  <c r="N332" i="11"/>
  <c r="N252" i="11"/>
  <c r="N376" i="2"/>
  <c r="O376" i="2"/>
  <c r="N787" i="7"/>
  <c r="O787" i="7" s="1"/>
  <c r="N943" i="7"/>
  <c r="O943" i="7"/>
  <c r="N484" i="7"/>
  <c r="N562" i="7"/>
  <c r="O562" i="7"/>
  <c r="N334" i="7"/>
  <c r="O334" i="7" s="1"/>
  <c r="N259" i="7"/>
  <c r="N864" i="7"/>
  <c r="N109" i="7"/>
  <c r="N635" i="7"/>
  <c r="O635" i="7"/>
  <c r="N712" i="7"/>
  <c r="O712" i="7" s="1"/>
  <c r="N336" i="11"/>
  <c r="N482" i="11"/>
  <c r="N255" i="11"/>
  <c r="N481" i="11"/>
  <c r="N333" i="11"/>
  <c r="N405" i="11"/>
  <c r="N480" i="11"/>
  <c r="N253" i="11"/>
  <c r="N254" i="11"/>
  <c r="N793" i="2"/>
  <c r="O793" i="2"/>
  <c r="N485" i="11"/>
  <c r="N486" i="11"/>
  <c r="N406" i="11"/>
  <c r="N407" i="11"/>
  <c r="N339" i="11"/>
  <c r="N337" i="11"/>
  <c r="J43" i="2"/>
  <c r="M112" i="2"/>
  <c r="M90" i="2"/>
  <c r="O400" i="2"/>
  <c r="M580" i="2"/>
  <c r="K43" i="2"/>
  <c r="M43" i="2"/>
  <c r="M49" i="2"/>
  <c r="M527" i="2"/>
  <c r="N30" i="7"/>
  <c r="O30" i="7" s="1"/>
  <c r="N107" i="7"/>
  <c r="O107" i="7"/>
  <c r="N102" i="7"/>
  <c r="O102" i="7" s="1"/>
  <c r="N105" i="7"/>
  <c r="O105" i="7" s="1"/>
  <c r="N721" i="2"/>
  <c r="O721" i="2" s="1"/>
  <c r="N29" i="7"/>
  <c r="N27" i="7"/>
  <c r="O27" i="7" s="1"/>
  <c r="N28" i="7"/>
  <c r="O28" i="7"/>
  <c r="O468" i="2"/>
  <c r="O818" i="2"/>
  <c r="O261" i="2"/>
  <c r="M92" i="5"/>
  <c r="O744" i="2"/>
  <c r="O606" i="2"/>
  <c r="O193" i="2"/>
  <c r="N96" i="2"/>
  <c r="O96" i="2"/>
  <c r="N510" i="2"/>
  <c r="O510" i="2"/>
  <c r="N25" i="2"/>
  <c r="O25" i="2"/>
  <c r="N225" i="2"/>
  <c r="O225" i="2"/>
  <c r="N226" i="2"/>
  <c r="O226" i="2"/>
  <c r="N569" i="2"/>
  <c r="O569" i="2"/>
  <c r="N371" i="2"/>
  <c r="O371" i="2"/>
  <c r="N500" i="2"/>
  <c r="O500" i="2"/>
  <c r="N652" i="2"/>
  <c r="O652" i="2"/>
  <c r="N294" i="2"/>
  <c r="O294" i="2"/>
  <c r="N155" i="2"/>
  <c r="N163" i="2"/>
  <c r="N23" i="2"/>
  <c r="N723" i="2"/>
  <c r="O333" i="2"/>
  <c r="N19" i="2"/>
  <c r="N373" i="2"/>
  <c r="O373" i="2"/>
  <c r="N158" i="2"/>
  <c r="N575" i="2"/>
  <c r="O575" i="2"/>
  <c r="N585" i="2"/>
  <c r="O585" i="2"/>
  <c r="N162" i="2"/>
  <c r="N233" i="2"/>
  <c r="N97" i="2"/>
  <c r="O97" i="2"/>
  <c r="N779" i="2"/>
  <c r="O779" i="2"/>
  <c r="O192" i="2"/>
  <c r="N304" i="2"/>
  <c r="O304" i="2"/>
  <c r="N582" i="2"/>
  <c r="O582" i="2"/>
  <c r="N511" i="2"/>
  <c r="O511" i="2"/>
  <c r="O747" i="2"/>
  <c r="O609" i="2"/>
  <c r="N792" i="2"/>
  <c r="O792" i="2"/>
  <c r="N639" i="2"/>
  <c r="O639" i="2"/>
  <c r="N581" i="2"/>
  <c r="O581" i="2"/>
  <c r="N372" i="2"/>
  <c r="O372" i="2"/>
  <c r="N646" i="2"/>
  <c r="O646" i="2"/>
  <c r="N303" i="2"/>
  <c r="O303" i="2"/>
  <c r="N362" i="2"/>
  <c r="O362" i="2"/>
  <c r="N501" i="2"/>
  <c r="O501" i="2"/>
  <c r="N573" i="2"/>
  <c r="O573" i="2"/>
  <c r="N708" i="2"/>
  <c r="O708" i="2" s="1"/>
  <c r="O540" i="2"/>
  <c r="O264" i="2"/>
  <c r="N234" i="2"/>
  <c r="O234" i="2"/>
  <c r="O538" i="2"/>
  <c r="N570" i="2"/>
  <c r="O570" i="2"/>
  <c r="N504" i="2"/>
  <c r="O504" i="2"/>
  <c r="N224" i="2"/>
  <c r="O224" i="2"/>
  <c r="N777" i="2"/>
  <c r="O777" i="2"/>
  <c r="N513" i="2"/>
  <c r="O513" i="2"/>
  <c r="N638" i="2"/>
  <c r="O638" i="2"/>
  <c r="N712" i="2"/>
  <c r="O712" i="2" s="1"/>
  <c r="O194" i="2"/>
  <c r="O330" i="2"/>
  <c r="O608" i="2"/>
  <c r="N505" i="2"/>
  <c r="O505" i="2"/>
  <c r="N86" i="2"/>
  <c r="N17" i="2"/>
  <c r="N293" i="2"/>
  <c r="O293" i="2"/>
  <c r="O814" i="2"/>
  <c r="N640" i="2"/>
  <c r="O640" i="2"/>
  <c r="N796" i="2"/>
  <c r="O796" i="2"/>
  <c r="N795" i="2"/>
  <c r="O795" i="2"/>
  <c r="N366" i="2"/>
  <c r="O366" i="2"/>
  <c r="N707" i="2"/>
  <c r="O684" i="2"/>
  <c r="N363" i="2"/>
  <c r="O363" i="2"/>
  <c r="N655" i="2"/>
  <c r="O655" i="2"/>
  <c r="N776" i="2"/>
  <c r="O776" i="2"/>
  <c r="N514" i="2"/>
  <c r="O514" i="2"/>
  <c r="N643" i="2"/>
  <c r="O643" i="2"/>
  <c r="N641" i="2"/>
  <c r="O641" i="2"/>
  <c r="N368" i="2"/>
  <c r="N506" i="2"/>
  <c r="O506" i="2"/>
  <c r="N784" i="2"/>
  <c r="O784" i="2"/>
  <c r="O332" i="2"/>
  <c r="N295" i="2"/>
  <c r="O295" i="2"/>
  <c r="N227" i="2"/>
  <c r="O227" i="2"/>
  <c r="O611" i="2"/>
  <c r="N580" i="2"/>
  <c r="N503" i="2"/>
  <c r="N230" i="2"/>
  <c r="O230" i="2"/>
  <c r="N297" i="2"/>
  <c r="O297" i="2"/>
  <c r="N711" i="2"/>
  <c r="N725" i="2"/>
  <c r="N654" i="2"/>
  <c r="O654" i="2"/>
  <c r="N157" i="2"/>
  <c r="N306" i="2"/>
  <c r="O306" i="2"/>
  <c r="N99" i="2"/>
  <c r="O99" i="2"/>
  <c r="N367" i="2"/>
  <c r="O367" i="2"/>
  <c r="N27" i="2"/>
  <c r="O27" i="2"/>
  <c r="N305" i="2"/>
  <c r="O305" i="2"/>
  <c r="N583" i="2"/>
  <c r="O583" i="2"/>
  <c r="N236" i="2"/>
  <c r="O236" i="2"/>
  <c r="N374" i="2"/>
  <c r="O374" i="2"/>
  <c r="N512" i="2"/>
  <c r="O512" i="2"/>
  <c r="N653" i="2"/>
  <c r="O653" i="2"/>
  <c r="N794" i="2"/>
  <c r="O794" i="2"/>
  <c r="N98" i="2"/>
  <c r="O98" i="2"/>
  <c r="N237" i="2"/>
  <c r="O237" i="2"/>
  <c r="O402" i="2"/>
  <c r="O537" i="2"/>
  <c r="O746" i="2"/>
  <c r="N651" i="2"/>
  <c r="O651" i="2"/>
  <c r="N100" i="2"/>
  <c r="O100" i="2"/>
  <c r="N584" i="2"/>
  <c r="O584" i="2"/>
  <c r="N572" i="2"/>
  <c r="O572" i="2"/>
  <c r="N299" i="2"/>
  <c r="O299" i="2"/>
  <c r="N574" i="2"/>
  <c r="O574" i="2"/>
  <c r="N164" i="2"/>
  <c r="N365" i="2"/>
  <c r="N375" i="2"/>
  <c r="O375" i="2"/>
  <c r="N780" i="2"/>
  <c r="O780" i="2"/>
  <c r="O195" i="2"/>
  <c r="O331" i="2"/>
  <c r="N90" i="2"/>
  <c r="N307" i="2"/>
  <c r="O307" i="2"/>
  <c r="N26" i="2"/>
  <c r="O26" i="2"/>
  <c r="O399" i="2"/>
  <c r="O470" i="2"/>
  <c r="O539" i="2"/>
  <c r="O336" i="2"/>
  <c r="O819" i="2"/>
  <c r="N364" i="2"/>
  <c r="N650" i="2"/>
  <c r="O650" i="2"/>
  <c r="N502" i="2"/>
  <c r="O502" i="2"/>
  <c r="N781" i="2"/>
  <c r="O781" i="2"/>
  <c r="N778" i="2"/>
  <c r="O778" i="2"/>
  <c r="N509" i="2"/>
  <c r="N165" i="2"/>
  <c r="N720" i="2"/>
  <c r="O720" i="2" s="1"/>
  <c r="N713" i="2"/>
  <c r="O713" i="2" s="1"/>
  <c r="N782" i="2"/>
  <c r="O782" i="2"/>
  <c r="N296" i="2"/>
  <c r="N710" i="2"/>
  <c r="N92" i="2"/>
  <c r="N228" i="2"/>
  <c r="O228" i="2"/>
  <c r="N571" i="2"/>
  <c r="N709" i="2"/>
  <c r="O709" i="2" s="1"/>
  <c r="N88" i="2"/>
  <c r="N238" i="2"/>
  <c r="O238" i="2"/>
  <c r="N302" i="2"/>
  <c r="N235" i="2"/>
  <c r="O235" i="2"/>
  <c r="O401" i="2"/>
  <c r="O471" i="2"/>
  <c r="N783" i="2"/>
  <c r="O783" i="2"/>
  <c r="N722" i="2"/>
  <c r="O722" i="2" s="1"/>
  <c r="M161" i="2"/>
  <c r="O198" i="2"/>
  <c r="P89" i="2"/>
  <c r="L89" i="2"/>
  <c r="M89" i="2"/>
  <c r="N89" i="2"/>
  <c r="M571" i="2"/>
  <c r="M503" i="2"/>
  <c r="L87" i="2"/>
  <c r="M87" i="2"/>
  <c r="F87" i="2"/>
  <c r="N18" i="2"/>
  <c r="F18" i="2"/>
  <c r="P87" i="2"/>
  <c r="N20" i="2"/>
  <c r="F20" i="2"/>
  <c r="N87" i="2"/>
  <c r="P95" i="2"/>
  <c r="F95" i="2"/>
  <c r="N24" i="2"/>
  <c r="F24" i="2"/>
  <c r="M662" i="2"/>
  <c r="M86" i="2"/>
  <c r="O543" i="2"/>
  <c r="O250" i="2"/>
  <c r="M296" i="2"/>
  <c r="P18" i="2"/>
  <c r="P24" i="2"/>
  <c r="P20" i="2"/>
  <c r="O745" i="2"/>
  <c r="O733" i="2"/>
  <c r="O739" i="2"/>
  <c r="O595" i="2"/>
  <c r="O601" i="2"/>
  <c r="O125" i="2"/>
  <c r="O123" i="2"/>
  <c r="M365" i="2"/>
  <c r="M364" i="2"/>
  <c r="L95" i="2"/>
  <c r="N95" i="2"/>
  <c r="M136" i="2"/>
  <c r="O136" i="2"/>
  <c r="M130" i="2"/>
  <c r="O130" i="2"/>
  <c r="O126" i="2"/>
  <c r="O135" i="2"/>
  <c r="O56" i="2"/>
  <c r="O54" i="2"/>
  <c r="O57" i="2"/>
  <c r="M67" i="2"/>
  <c r="O67" i="2"/>
  <c r="M61" i="2"/>
  <c r="O61" i="2"/>
  <c r="O66" i="2"/>
  <c r="O256" i="2"/>
  <c r="O55" i="2"/>
  <c r="M113" i="2"/>
  <c r="O113" i="2"/>
  <c r="AG7" i="1"/>
  <c r="O23" i="2"/>
  <c r="O319" i="2"/>
  <c r="O325" i="2"/>
  <c r="M256" i="2"/>
  <c r="O526" i="2"/>
  <c r="M532" i="2"/>
  <c r="O388" i="2"/>
  <c r="O394" i="2"/>
  <c r="M394" i="2"/>
  <c r="O93" i="2"/>
  <c r="O938" i="2"/>
  <c r="O961" i="2"/>
  <c r="M95" i="2"/>
  <c r="O95" i="2"/>
  <c r="O302" i="2"/>
  <c r="O233" i="2"/>
  <c r="O248" i="2"/>
  <c r="O59" i="2"/>
  <c r="O20" i="2"/>
  <c r="O791" i="2"/>
  <c r="O800" i="2"/>
  <c r="O509" i="2"/>
  <c r="M60" i="2"/>
  <c r="O60" i="2"/>
  <c r="O128" i="2"/>
  <c r="M129" i="2"/>
  <c r="O129" i="2"/>
  <c r="O607" i="2"/>
  <c r="O615" i="2"/>
  <c r="M368" i="2"/>
  <c r="O527" i="2"/>
  <c r="O822" i="2"/>
  <c r="O296" i="2"/>
  <c r="O270" i="2"/>
  <c r="O86" i="2"/>
  <c r="O17" i="2"/>
  <c r="O503" i="2"/>
  <c r="O571" i="2"/>
  <c r="O662" i="2"/>
  <c r="O685" i="2"/>
  <c r="O339" i="2"/>
  <c r="O90" i="2"/>
  <c r="O365" i="2"/>
  <c r="M92" i="2"/>
  <c r="O201" i="2"/>
  <c r="O24" i="2"/>
  <c r="O89" i="2"/>
  <c r="O18" i="2"/>
  <c r="O87" i="2"/>
  <c r="O546" i="2"/>
  <c r="O580" i="2"/>
  <c r="O112" i="2"/>
  <c r="M88" i="2"/>
  <c r="O88" i="2"/>
  <c r="O753" i="2"/>
  <c r="O408" i="2"/>
  <c r="O364" i="2"/>
  <c r="O43" i="2"/>
  <c r="O49" i="2"/>
  <c r="M118" i="2"/>
  <c r="AA7" i="1"/>
  <c r="O118" i="2"/>
  <c r="O524" i="2"/>
  <c r="O965" i="2"/>
  <c r="O966" i="2"/>
  <c r="O532" i="2"/>
  <c r="O317" i="2"/>
  <c r="O340" i="2"/>
  <c r="AF10" i="1"/>
  <c r="O19" i="2"/>
  <c r="O41" i="2"/>
  <c r="O368" i="2"/>
  <c r="O386" i="2"/>
  <c r="O409" i="2"/>
  <c r="O124" i="2"/>
  <c r="O132" i="2"/>
  <c r="O92" i="2"/>
  <c r="O110" i="2"/>
  <c r="O823" i="2"/>
  <c r="O271" i="2"/>
  <c r="O689" i="2"/>
  <c r="O690" i="2"/>
  <c r="O593" i="2"/>
  <c r="O616" i="2"/>
  <c r="O63" i="2"/>
  <c r="O547" i="2"/>
  <c r="O827" i="2"/>
  <c r="O828" i="2"/>
  <c r="O275" i="2"/>
  <c r="O276" i="2"/>
  <c r="O413" i="2"/>
  <c r="O414" i="2"/>
  <c r="O620" i="2"/>
  <c r="O621" i="2"/>
  <c r="O344" i="2"/>
  <c r="O345" i="2"/>
  <c r="O64" i="2"/>
  <c r="O133" i="2"/>
  <c r="O551" i="2"/>
  <c r="O552" i="2"/>
  <c r="O137" i="2"/>
  <c r="O138" i="2"/>
  <c r="O68" i="2"/>
  <c r="O69" i="2"/>
  <c r="O848" i="7" l="1"/>
  <c r="O775" i="7"/>
  <c r="L96" i="6"/>
  <c r="O700" i="7"/>
  <c r="M421" i="7"/>
  <c r="O847" i="7"/>
  <c r="O872" i="7" s="1"/>
  <c r="O895" i="7" s="1"/>
  <c r="N27" i="6"/>
  <c r="O332" i="7"/>
  <c r="O327" i="7"/>
  <c r="N22" i="6"/>
  <c r="M795" i="7"/>
  <c r="M871" i="7"/>
  <c r="AC44" i="1"/>
  <c r="AG44" i="1"/>
  <c r="W44" i="1"/>
  <c r="N210" i="6"/>
  <c r="O1071" i="7"/>
  <c r="AC35" i="1"/>
  <c r="AA35" i="1"/>
  <c r="M316" i="2"/>
  <c r="P36" i="1"/>
  <c r="O707" i="2"/>
  <c r="O402" i="7"/>
  <c r="O705" i="7"/>
  <c r="O1081" i="7"/>
  <c r="M590" i="2"/>
  <c r="N24" i="5"/>
  <c r="O468" i="7"/>
  <c r="O474" i="7"/>
  <c r="N157" i="10"/>
  <c r="P24" i="1"/>
  <c r="M719" i="7"/>
  <c r="O542" i="7"/>
  <c r="M569" i="7"/>
  <c r="N94" i="5"/>
  <c r="N22" i="5"/>
  <c r="O482" i="7"/>
  <c r="O940" i="7"/>
  <c r="Q8" i="1"/>
  <c r="N82" i="5"/>
  <c r="N19" i="6"/>
  <c r="O622" i="7"/>
  <c r="AC11" i="1"/>
  <c r="W11" i="1"/>
  <c r="O708" i="7"/>
  <c r="O711" i="2"/>
  <c r="O259" i="7"/>
  <c r="O711" i="7"/>
  <c r="O329" i="7"/>
  <c r="O1010" i="7"/>
  <c r="O701" i="7"/>
  <c r="O859" i="2"/>
  <c r="N18" i="10"/>
  <c r="L104" i="10"/>
  <c r="P26" i="1"/>
  <c r="N143" i="6"/>
  <c r="O481" i="7"/>
  <c r="O553" i="7"/>
  <c r="O1008" i="7"/>
  <c r="O856" i="2"/>
  <c r="O159" i="2"/>
  <c r="N91" i="5"/>
  <c r="N21" i="5"/>
  <c r="N25" i="6"/>
  <c r="N37" i="6" s="1"/>
  <c r="N57" i="6" s="1"/>
  <c r="N19" i="5"/>
  <c r="O472" i="7"/>
  <c r="O1000" i="7"/>
  <c r="N217" i="6"/>
  <c r="N92" i="10"/>
  <c r="N90" i="10"/>
  <c r="N33" i="10"/>
  <c r="O397" i="7"/>
  <c r="O768" i="7"/>
  <c r="M335" i="11"/>
  <c r="O335" i="11" s="1"/>
  <c r="O467" i="7"/>
  <c r="O549" i="7"/>
  <c r="O854" i="2"/>
  <c r="O1077" i="7"/>
  <c r="L38" i="10"/>
  <c r="O928" i="7"/>
  <c r="O484" i="7"/>
  <c r="O709" i="7"/>
  <c r="O927" i="7"/>
  <c r="N158" i="10"/>
  <c r="O629" i="7"/>
  <c r="O710" i="7"/>
  <c r="M570" i="7"/>
  <c r="O704" i="7"/>
  <c r="O864" i="7"/>
  <c r="O558" i="7"/>
  <c r="O856" i="7"/>
  <c r="O715" i="2"/>
  <c r="O853" i="2"/>
  <c r="O710" i="2"/>
  <c r="Q9" i="1"/>
  <c r="N213" i="6"/>
  <c r="O922" i="7"/>
  <c r="O621" i="7"/>
  <c r="O548" i="7"/>
  <c r="L37" i="5"/>
  <c r="N31" i="6"/>
  <c r="N21" i="6"/>
  <c r="N147" i="10"/>
  <c r="Q24" i="1"/>
  <c r="X24" i="1" s="1"/>
  <c r="Y24" i="1" s="1"/>
  <c r="P43" i="1"/>
  <c r="W36" i="1"/>
  <c r="AG41" i="1"/>
  <c r="N83" i="5"/>
  <c r="O471" i="7"/>
  <c r="M121" i="7"/>
  <c r="O941" i="7"/>
  <c r="M1020" i="7"/>
  <c r="O706" i="7"/>
  <c r="O331" i="7"/>
  <c r="O783" i="7"/>
  <c r="O848" i="2"/>
  <c r="O869" i="2" s="1"/>
  <c r="O892" i="2" s="1"/>
  <c r="O896" i="2" s="1"/>
  <c r="O897" i="2" s="1"/>
  <c r="M730" i="2"/>
  <c r="N85" i="5"/>
  <c r="O776" i="7"/>
  <c r="O992" i="7"/>
  <c r="O1022" i="7" s="1"/>
  <c r="O1045" i="7" s="1"/>
  <c r="N204" i="6"/>
  <c r="M46" i="7"/>
  <c r="N153" i="10"/>
  <c r="M45" i="7"/>
  <c r="O98" i="7"/>
  <c r="AA42" i="1"/>
  <c r="O692" i="7"/>
  <c r="AC40" i="1"/>
  <c r="AA19" i="1"/>
  <c r="O1005" i="7"/>
  <c r="O935" i="7"/>
  <c r="O716" i="2"/>
  <c r="N18" i="5"/>
  <c r="N38" i="5" s="1"/>
  <c r="N58" i="5" s="1"/>
  <c r="N62" i="5" s="1"/>
  <c r="N63" i="5" s="1"/>
  <c r="O617" i="7"/>
  <c r="O772" i="7"/>
  <c r="O926" i="7"/>
  <c r="O393" i="7"/>
  <c r="O725" i="2"/>
  <c r="O179" i="7"/>
  <c r="O404" i="7"/>
  <c r="O177" i="7"/>
  <c r="O718" i="2"/>
  <c r="P8" i="1"/>
  <c r="X8" i="1" s="1"/>
  <c r="Y8" i="1" s="1"/>
  <c r="M385" i="2"/>
  <c r="M315" i="2"/>
  <c r="N20" i="5"/>
  <c r="O769" i="7"/>
  <c r="O996" i="7"/>
  <c r="N142" i="6"/>
  <c r="O103" i="7"/>
  <c r="N141" i="6"/>
  <c r="O21" i="7"/>
  <c r="Q25" i="1"/>
  <c r="AG42" i="1"/>
  <c r="O247" i="7"/>
  <c r="O272" i="7" s="1"/>
  <c r="O295" i="7" s="1"/>
  <c r="M332" i="11"/>
  <c r="O325" i="7"/>
  <c r="O347" i="7" s="1"/>
  <c r="O370" i="7" s="1"/>
  <c r="AG19" i="1"/>
  <c r="Q39" i="1"/>
  <c r="X39" i="1" s="1"/>
  <c r="Y39" i="1" s="1"/>
  <c r="O497" i="7"/>
  <c r="O520" i="7" s="1"/>
  <c r="M593" i="2"/>
  <c r="Z14" i="1" s="1"/>
  <c r="M798" i="2"/>
  <c r="M937" i="2"/>
  <c r="M178" i="2"/>
  <c r="M521" i="2"/>
  <c r="M522" i="2"/>
  <c r="O719" i="2"/>
  <c r="M523" i="2"/>
  <c r="O723" i="2"/>
  <c r="M176" i="2"/>
  <c r="O156" i="2"/>
  <c r="M592" i="2"/>
  <c r="O647" i="7"/>
  <c r="O670" i="7" s="1"/>
  <c r="L36" i="6"/>
  <c r="L35" i="6"/>
  <c r="M866" i="2"/>
  <c r="M177" i="2"/>
  <c r="L39" i="10"/>
  <c r="L167" i="10"/>
  <c r="M946" i="7"/>
  <c r="O917" i="7"/>
  <c r="O947" i="7" s="1"/>
  <c r="M1094" i="7"/>
  <c r="M944" i="7"/>
  <c r="W29" i="1"/>
  <c r="AG29" i="1"/>
  <c r="AA29" i="1"/>
  <c r="M247" i="2"/>
  <c r="M246" i="2"/>
  <c r="M245" i="2"/>
  <c r="M868" i="2"/>
  <c r="O771" i="7"/>
  <c r="O797" i="7" s="1"/>
  <c r="O820" i="7" s="1"/>
  <c r="O824" i="7" s="1"/>
  <c r="O825" i="7" s="1"/>
  <c r="N97" i="10"/>
  <c r="M729" i="2"/>
  <c r="M591" i="2"/>
  <c r="O163" i="2"/>
  <c r="M107" i="2"/>
  <c r="M799" i="2"/>
  <c r="M419" i="7"/>
  <c r="M195" i="7"/>
  <c r="M194" i="7"/>
  <c r="M196" i="7"/>
  <c r="W25" i="1"/>
  <c r="AC25" i="1"/>
  <c r="AG25" i="1"/>
  <c r="AA25" i="1"/>
  <c r="L103" i="10"/>
  <c r="L102" i="10"/>
  <c r="Q27" i="1"/>
  <c r="X27" i="1" s="1"/>
  <c r="Y27" i="1" s="1"/>
  <c r="V27" i="1"/>
  <c r="L159" i="6"/>
  <c r="L160" i="6"/>
  <c r="M936" i="2"/>
  <c r="M383" i="2"/>
  <c r="M384" i="2"/>
  <c r="L221" i="6"/>
  <c r="L222" i="6"/>
  <c r="M728" i="2"/>
  <c r="O172" i="7"/>
  <c r="L34" i="6"/>
  <c r="N96" i="5"/>
  <c r="L100" i="5"/>
  <c r="AC29" i="1"/>
  <c r="N80" i="6"/>
  <c r="L97" i="6"/>
  <c r="M869" i="7"/>
  <c r="O714" i="2"/>
  <c r="O731" i="2" s="1"/>
  <c r="O754" i="2" s="1"/>
  <c r="M119" i="7"/>
  <c r="M571" i="7"/>
  <c r="O21" i="1"/>
  <c r="P21" i="1"/>
  <c r="O970" i="7"/>
  <c r="O974" i="7" s="1"/>
  <c r="O975" i="7" s="1"/>
  <c r="O560" i="7"/>
  <c r="M797" i="2"/>
  <c r="M800" i="2" s="1"/>
  <c r="Z17" i="1" s="1"/>
  <c r="M109" i="2"/>
  <c r="N17" i="10"/>
  <c r="O41" i="1"/>
  <c r="P41" i="1"/>
  <c r="O1097" i="7"/>
  <c r="O1120" i="7" s="1"/>
  <c r="O1124" i="7" s="1"/>
  <c r="O1125" i="7" s="1"/>
  <c r="N23" i="10"/>
  <c r="W31" i="1"/>
  <c r="AA31" i="1"/>
  <c r="M721" i="7"/>
  <c r="M867" i="2"/>
  <c r="M935" i="2"/>
  <c r="N84" i="5"/>
  <c r="O392" i="7"/>
  <c r="N148" i="10"/>
  <c r="N170" i="10" s="1"/>
  <c r="N190" i="10" s="1"/>
  <c r="L37" i="10"/>
  <c r="V26" i="1"/>
  <c r="Q26" i="1"/>
  <c r="X26" i="1" s="1"/>
  <c r="Y26" i="1" s="1"/>
  <c r="L169" i="10"/>
  <c r="L168" i="10"/>
  <c r="AG35" i="1"/>
  <c r="O324" i="11"/>
  <c r="O253" i="7"/>
  <c r="O707" i="7"/>
  <c r="M314" i="2"/>
  <c r="M317" i="2" s="1"/>
  <c r="Z10" i="1" s="1"/>
  <c r="O93" i="7"/>
  <c r="N85" i="6"/>
  <c r="L35" i="5"/>
  <c r="L36" i="5"/>
  <c r="N95" i="10"/>
  <c r="N105" i="10" s="1"/>
  <c r="N125" i="10" s="1"/>
  <c r="N98" i="10"/>
  <c r="L220" i="6"/>
  <c r="M44" i="7"/>
  <c r="M47" i="7" s="1"/>
  <c r="Z33" i="1" s="1"/>
  <c r="O17" i="7"/>
  <c r="L158" i="6"/>
  <c r="M644" i="7"/>
  <c r="O22" i="1"/>
  <c r="Q22" i="1" s="1"/>
  <c r="X22" i="1" s="1"/>
  <c r="Y22" i="1" s="1"/>
  <c r="O46" i="1"/>
  <c r="Q46" i="1" s="1"/>
  <c r="X46" i="1" s="1"/>
  <c r="Y46" i="1" s="1"/>
  <c r="P46" i="1"/>
  <c r="M38" i="2"/>
  <c r="O100" i="7"/>
  <c r="X30" i="1"/>
  <c r="Y30" i="1" s="1"/>
  <c r="W37" i="1"/>
  <c r="AA37" i="1"/>
  <c r="AC37" i="1"/>
  <c r="M1095" i="7"/>
  <c r="M945" i="7"/>
  <c r="AG22" i="1"/>
  <c r="W22" i="1"/>
  <c r="M270" i="7"/>
  <c r="M271" i="7"/>
  <c r="M494" i="7"/>
  <c r="M496" i="7"/>
  <c r="O29" i="1"/>
  <c r="Q29" i="1" s="1"/>
  <c r="P29" i="1"/>
  <c r="O257" i="11"/>
  <c r="M870" i="7"/>
  <c r="N147" i="6"/>
  <c r="M40" i="2"/>
  <c r="O1068" i="7"/>
  <c r="N208" i="6"/>
  <c r="N223" i="6" s="1"/>
  <c r="N243" i="6" s="1"/>
  <c r="N247" i="6" s="1"/>
  <c r="N248" i="6" s="1"/>
  <c r="O29" i="11"/>
  <c r="L98" i="5"/>
  <c r="N30" i="10"/>
  <c r="W10" i="1"/>
  <c r="N150" i="6"/>
  <c r="P25" i="1"/>
  <c r="X25" i="1" s="1"/>
  <c r="Y25" i="1" s="1"/>
  <c r="AG30" i="1"/>
  <c r="AC30" i="1"/>
  <c r="AA30" i="1"/>
  <c r="W30" i="1"/>
  <c r="O34" i="1"/>
  <c r="Q34" i="1" s="1"/>
  <c r="X34" i="1" s="1"/>
  <c r="Y34" i="1" s="1"/>
  <c r="M346" i="7"/>
  <c r="M345" i="7"/>
  <c r="M344" i="7"/>
  <c r="M720" i="7"/>
  <c r="AC38" i="1"/>
  <c r="M420" i="7"/>
  <c r="M796" i="7"/>
  <c r="M794" i="7"/>
  <c r="M495" i="7"/>
  <c r="M120" i="7"/>
  <c r="M269" i="7"/>
  <c r="M39" i="2"/>
  <c r="AF15" i="1"/>
  <c r="O255" i="11"/>
  <c r="N88" i="5"/>
  <c r="M108" i="2"/>
  <c r="N89" i="5"/>
  <c r="M1096" i="7"/>
  <c r="M1019" i="7"/>
  <c r="M646" i="7"/>
  <c r="M645" i="7"/>
  <c r="Q41" i="1"/>
  <c r="X41" i="1" s="1"/>
  <c r="Y41" i="1" s="1"/>
  <c r="Q35" i="1"/>
  <c r="N93" i="5"/>
  <c r="O31" i="11"/>
  <c r="O336" i="11"/>
  <c r="M339" i="11"/>
  <c r="Q45" i="1"/>
  <c r="Q38" i="1"/>
  <c r="X38" i="1" s="1"/>
  <c r="Y38" i="1" s="1"/>
  <c r="J248" i="11"/>
  <c r="M248" i="11" s="1"/>
  <c r="O248" i="11" s="1"/>
  <c r="J243" i="11"/>
  <c r="K271" i="11"/>
  <c r="K272" i="11"/>
  <c r="O284" i="11"/>
  <c r="N402" i="11"/>
  <c r="P402" i="11"/>
  <c r="M406" i="11"/>
  <c r="O406" i="11" s="1"/>
  <c r="J494" i="11"/>
  <c r="J478" i="11"/>
  <c r="J495" i="11"/>
  <c r="M495" i="11" s="1"/>
  <c r="O495" i="11" s="1"/>
  <c r="J464" i="11"/>
  <c r="J472" i="11"/>
  <c r="M101" i="11"/>
  <c r="O101" i="11" s="1"/>
  <c r="M157" i="11"/>
  <c r="J197" i="11" s="1"/>
  <c r="M284" i="11"/>
  <c r="P323" i="11"/>
  <c r="L320" i="11"/>
  <c r="Q408" i="11"/>
  <c r="Q473" i="11"/>
  <c r="N320" i="11"/>
  <c r="N170" i="11"/>
  <c r="J95" i="11"/>
  <c r="M95" i="11" s="1"/>
  <c r="O95" i="11" s="1"/>
  <c r="M104" i="11"/>
  <c r="L169" i="11"/>
  <c r="P179" i="11"/>
  <c r="F31" i="11"/>
  <c r="L103" i="11"/>
  <c r="M103" i="11" s="1"/>
  <c r="H240" i="11"/>
  <c r="O294" i="11"/>
  <c r="P334" i="11"/>
  <c r="F483" i="11"/>
  <c r="Q321" i="11"/>
  <c r="L389" i="11"/>
  <c r="N334" i="11"/>
  <c r="N389" i="11"/>
  <c r="N243" i="11"/>
  <c r="N21" i="11"/>
  <c r="F175" i="11"/>
  <c r="F253" i="11"/>
  <c r="L245" i="11"/>
  <c r="V50" i="1"/>
  <c r="AC50" i="1" s="1"/>
  <c r="F314" i="11"/>
  <c r="P319" i="11"/>
  <c r="P483" i="11"/>
  <c r="H322" i="11"/>
  <c r="M432" i="11"/>
  <c r="O432" i="11" s="1"/>
  <c r="Q179" i="11"/>
  <c r="Q337" i="11"/>
  <c r="Q169" i="11"/>
  <c r="Q323" i="11"/>
  <c r="H247" i="11"/>
  <c r="M9" i="11"/>
  <c r="J22" i="11" s="1"/>
  <c r="J176" i="11"/>
  <c r="O209" i="11"/>
  <c r="N314" i="11"/>
  <c r="N392" i="11"/>
  <c r="P170" i="11"/>
  <c r="V49" i="1"/>
  <c r="AC49" i="1" s="1"/>
  <c r="L469" i="11"/>
  <c r="P469" i="11"/>
  <c r="O482" i="11"/>
  <c r="N313" i="11"/>
  <c r="N246" i="11"/>
  <c r="J97" i="11"/>
  <c r="P95" i="11"/>
  <c r="F392" i="11"/>
  <c r="L313" i="11"/>
  <c r="L334" i="11"/>
  <c r="M334" i="11" s="1"/>
  <c r="P399" i="11"/>
  <c r="F465" i="11"/>
  <c r="P257" i="11"/>
  <c r="O332" i="11"/>
  <c r="N323" i="11"/>
  <c r="N465" i="11"/>
  <c r="N171" i="11"/>
  <c r="N166" i="11"/>
  <c r="J21" i="11"/>
  <c r="H176" i="11"/>
  <c r="L176" i="11" s="1"/>
  <c r="M176" i="11" s="1"/>
  <c r="L170" i="11"/>
  <c r="M170" i="11" s="1"/>
  <c r="L239" i="11"/>
  <c r="M239" i="11" s="1"/>
  <c r="O239" i="11" s="1"/>
  <c r="M283" i="11"/>
  <c r="O283" i="11" s="1"/>
  <c r="Q245" i="11"/>
  <c r="J166" i="11"/>
  <c r="M27" i="11"/>
  <c r="O285" i="11"/>
  <c r="L392" i="11"/>
  <c r="M392" i="11" s="1"/>
  <c r="L323" i="11"/>
  <c r="L465" i="11"/>
  <c r="P317" i="11"/>
  <c r="Q465" i="11"/>
  <c r="L483" i="11"/>
  <c r="M483" i="11" s="1"/>
  <c r="O483" i="11" s="1"/>
  <c r="L485" i="11"/>
  <c r="M485" i="11" s="1"/>
  <c r="O485" i="11" s="1"/>
  <c r="O339" i="11"/>
  <c r="M124" i="11"/>
  <c r="O124" i="11" s="1"/>
  <c r="Q392" i="11"/>
  <c r="Q334" i="11"/>
  <c r="Q483" i="11"/>
  <c r="F467" i="11"/>
  <c r="F170" i="11"/>
  <c r="F169" i="11"/>
  <c r="O210" i="11"/>
  <c r="O367" i="11"/>
  <c r="K124" i="11"/>
  <c r="P245" i="11"/>
  <c r="P171" i="11"/>
  <c r="P320" i="11"/>
  <c r="F320" i="11"/>
  <c r="O407" i="11"/>
  <c r="Q95" i="11"/>
  <c r="Q319" i="11"/>
  <c r="P246" i="11"/>
  <c r="Q55" i="1"/>
  <c r="M480" i="11"/>
  <c r="O480" i="11" s="1"/>
  <c r="P50" i="1"/>
  <c r="P54" i="1"/>
  <c r="M213" i="11"/>
  <c r="O213" i="11" s="1"/>
  <c r="M220" i="11"/>
  <c r="M253" i="11"/>
  <c r="O253" i="11" s="1"/>
  <c r="H251" i="11"/>
  <c r="F250" i="11"/>
  <c r="L250" i="11"/>
  <c r="P250" i="11"/>
  <c r="Q250" i="11"/>
  <c r="N250" i="11"/>
  <c r="Q22" i="11"/>
  <c r="P22" i="11"/>
  <c r="F22" i="11"/>
  <c r="L22" i="11"/>
  <c r="L315" i="11"/>
  <c r="F315" i="11"/>
  <c r="P315" i="11"/>
  <c r="Q315" i="11"/>
  <c r="N315" i="11"/>
  <c r="H316" i="11"/>
  <c r="J329" i="11"/>
  <c r="J316" i="11"/>
  <c r="Q102" i="11"/>
  <c r="L102" i="11"/>
  <c r="P102" i="11"/>
  <c r="N102" i="11"/>
  <c r="F102" i="11"/>
  <c r="J28" i="11"/>
  <c r="M60" i="11" s="1"/>
  <c r="O60" i="11" s="1"/>
  <c r="J387" i="11"/>
  <c r="M376" i="11"/>
  <c r="J391" i="11"/>
  <c r="O178" i="11"/>
  <c r="Q176" i="11"/>
  <c r="F176" i="11"/>
  <c r="N176" i="11"/>
  <c r="L464" i="11"/>
  <c r="M464" i="11" s="1"/>
  <c r="O464" i="11" s="1"/>
  <c r="P464" i="11"/>
  <c r="F464" i="11"/>
  <c r="L468" i="11"/>
  <c r="P468" i="11"/>
  <c r="Q468" i="11"/>
  <c r="F481" i="11"/>
  <c r="Q481" i="11"/>
  <c r="L481" i="11"/>
  <c r="M481" i="11" s="1"/>
  <c r="O481" i="11" s="1"/>
  <c r="P481" i="11"/>
  <c r="O103" i="11"/>
  <c r="F470" i="11"/>
  <c r="P470" i="11"/>
  <c r="Q470" i="11"/>
  <c r="L470" i="11"/>
  <c r="M357" i="11"/>
  <c r="O357" i="11" s="1"/>
  <c r="M358" i="11"/>
  <c r="O358" i="11" s="1"/>
  <c r="P473" i="11"/>
  <c r="H474" i="11"/>
  <c r="H478" i="11"/>
  <c r="L473" i="11"/>
  <c r="N473" i="11"/>
  <c r="L166" i="11"/>
  <c r="F166" i="11"/>
  <c r="P166" i="11"/>
  <c r="O287" i="11"/>
  <c r="Q404" i="11"/>
  <c r="L404" i="11"/>
  <c r="M404" i="11" s="1"/>
  <c r="O404" i="11" s="1"/>
  <c r="P404" i="11"/>
  <c r="F404" i="11"/>
  <c r="P479" i="11"/>
  <c r="F479" i="11"/>
  <c r="Q479" i="11"/>
  <c r="L479" i="11"/>
  <c r="M479" i="11" s="1"/>
  <c r="N479" i="11"/>
  <c r="F484" i="11"/>
  <c r="L484" i="11"/>
  <c r="M484" i="11" s="1"/>
  <c r="N484" i="11"/>
  <c r="P484" i="11"/>
  <c r="M72" i="11"/>
  <c r="O72" i="11" s="1"/>
  <c r="M65" i="11"/>
  <c r="O65" i="11" s="1"/>
  <c r="O71" i="11"/>
  <c r="AG49" i="1" s="1"/>
  <c r="Q30" i="11"/>
  <c r="P30" i="11"/>
  <c r="F30" i="11"/>
  <c r="J473" i="11"/>
  <c r="J465" i="11"/>
  <c r="M450" i="11"/>
  <c r="K493" i="11"/>
  <c r="M493" i="11" s="1"/>
  <c r="J461" i="11"/>
  <c r="M461" i="11" s="1"/>
  <c r="O461" i="11" s="1"/>
  <c r="O91" i="11"/>
  <c r="N30" i="11"/>
  <c r="L30" i="11"/>
  <c r="M30" i="11" s="1"/>
  <c r="P466" i="11"/>
  <c r="F466" i="11"/>
  <c r="Q466" i="11"/>
  <c r="N466" i="11"/>
  <c r="O466" i="11" s="1"/>
  <c r="Q49" i="1"/>
  <c r="P254" i="11"/>
  <c r="L254" i="11"/>
  <c r="M254" i="11" s="1"/>
  <c r="O254" i="11" s="1"/>
  <c r="Q487" i="11"/>
  <c r="F487" i="11"/>
  <c r="J165" i="11"/>
  <c r="M165" i="11" s="1"/>
  <c r="M154" i="11"/>
  <c r="P96" i="11"/>
  <c r="L96" i="11"/>
  <c r="M96" i="11" s="1"/>
  <c r="O96" i="11" s="1"/>
  <c r="Q96" i="11"/>
  <c r="H18" i="11"/>
  <c r="L17" i="11"/>
  <c r="M17" i="11" s="1"/>
  <c r="P17" i="11"/>
  <c r="N17" i="11"/>
  <c r="F17" i="11"/>
  <c r="F29" i="11"/>
  <c r="Q29" i="11"/>
  <c r="Q104" i="11"/>
  <c r="P104" i="11"/>
  <c r="N104" i="11"/>
  <c r="O219" i="11"/>
  <c r="L402" i="11"/>
  <c r="Q402" i="11"/>
  <c r="F402" i="11"/>
  <c r="K348" i="11"/>
  <c r="M348" i="11" s="1"/>
  <c r="O348" i="11" s="1"/>
  <c r="L338" i="11"/>
  <c r="M338" i="11" s="1"/>
  <c r="O338" i="11" s="1"/>
  <c r="F338" i="11"/>
  <c r="P338" i="11"/>
  <c r="L408" i="11"/>
  <c r="M408" i="11" s="1"/>
  <c r="O408" i="11" s="1"/>
  <c r="F408" i="11"/>
  <c r="P408" i="11"/>
  <c r="F463" i="11"/>
  <c r="P463" i="11"/>
  <c r="L463" i="11"/>
  <c r="Q463" i="11"/>
  <c r="Q53" i="1"/>
  <c r="M231" i="11"/>
  <c r="M232" i="11" s="1"/>
  <c r="J240" i="11"/>
  <c r="H28" i="11"/>
  <c r="Q27" i="11"/>
  <c r="F387" i="11"/>
  <c r="Q387" i="11"/>
  <c r="P387" i="11"/>
  <c r="H388" i="11"/>
  <c r="L387" i="11"/>
  <c r="N487" i="11"/>
  <c r="N387" i="11"/>
  <c r="Q254" i="11"/>
  <c r="M61" i="11"/>
  <c r="O61" i="11" s="1"/>
  <c r="Q21" i="11"/>
  <c r="L21" i="11"/>
  <c r="M21" i="11" s="1"/>
  <c r="O21" i="11" s="1"/>
  <c r="F21" i="11"/>
  <c r="P21" i="11"/>
  <c r="P92" i="11"/>
  <c r="L92" i="11"/>
  <c r="M92" i="11" s="1"/>
  <c r="O92" i="11" s="1"/>
  <c r="Q92" i="11"/>
  <c r="O220" i="11"/>
  <c r="L243" i="11"/>
  <c r="M243" i="11" s="1"/>
  <c r="H244" i="11"/>
  <c r="Q243" i="11"/>
  <c r="Q253" i="11"/>
  <c r="P253" i="11"/>
  <c r="L405" i="11"/>
  <c r="M405" i="11" s="1"/>
  <c r="O405" i="11" s="1"/>
  <c r="Q405" i="11"/>
  <c r="Q461" i="11"/>
  <c r="P461" i="11"/>
  <c r="H462" i="11"/>
  <c r="M83" i="11"/>
  <c r="J123" i="11" s="1"/>
  <c r="M123" i="11" s="1"/>
  <c r="J102" i="11"/>
  <c r="N27" i="11"/>
  <c r="M97" i="11"/>
  <c r="O97" i="11" s="1"/>
  <c r="P27" i="11"/>
  <c r="M62" i="11"/>
  <c r="O62" i="11" s="1"/>
  <c r="Q103" i="11"/>
  <c r="F103" i="11"/>
  <c r="P103" i="11"/>
  <c r="F177" i="11"/>
  <c r="Q177" i="11"/>
  <c r="N177" i="11"/>
  <c r="P177" i="11"/>
  <c r="L177" i="11"/>
  <c r="M177" i="11" s="1"/>
  <c r="O355" i="11"/>
  <c r="Q399" i="11"/>
  <c r="H400" i="11"/>
  <c r="F399" i="11"/>
  <c r="L399" i="11"/>
  <c r="M399" i="11" s="1"/>
  <c r="O399" i="11" s="1"/>
  <c r="Q471" i="11"/>
  <c r="F471" i="11"/>
  <c r="L471" i="11"/>
  <c r="M471" i="11" s="1"/>
  <c r="O471" i="11" s="1"/>
  <c r="H472" i="11"/>
  <c r="P471" i="11"/>
  <c r="J249" i="11"/>
  <c r="J246" i="11"/>
  <c r="M246" i="11" s="1"/>
  <c r="J245" i="11"/>
  <c r="F27" i="11"/>
  <c r="M139" i="11"/>
  <c r="O139" i="11" s="1"/>
  <c r="Q178" i="11"/>
  <c r="P178" i="11"/>
  <c r="V52" i="1"/>
  <c r="AG52" i="1" s="1"/>
  <c r="L252" i="11"/>
  <c r="M252" i="11" s="1"/>
  <c r="O252" i="11" s="1"/>
  <c r="Q252" i="11"/>
  <c r="P256" i="11"/>
  <c r="L256" i="11"/>
  <c r="M256" i="11" s="1"/>
  <c r="O256" i="11" s="1"/>
  <c r="M320" i="11"/>
  <c r="O320" i="11" s="1"/>
  <c r="L487" i="11"/>
  <c r="M487" i="11" s="1"/>
  <c r="Q390" i="11"/>
  <c r="F390" i="11"/>
  <c r="P390" i="11"/>
  <c r="M361" i="11"/>
  <c r="M368" i="11"/>
  <c r="O368" i="11" s="1"/>
  <c r="H325" i="11"/>
  <c r="F324" i="11"/>
  <c r="Q324" i="11"/>
  <c r="P482" i="11"/>
  <c r="F482" i="11"/>
  <c r="J317" i="11"/>
  <c r="M302" i="11"/>
  <c r="J315" i="11"/>
  <c r="J313" i="11"/>
  <c r="J325" i="11"/>
  <c r="J323" i="11"/>
  <c r="O281" i="11"/>
  <c r="Q318" i="11"/>
  <c r="L318" i="11"/>
  <c r="M318" i="11" s="1"/>
  <c r="O318" i="11" s="1"/>
  <c r="P314" i="11"/>
  <c r="L314" i="11"/>
  <c r="M314" i="11" s="1"/>
  <c r="Q486" i="11"/>
  <c r="L486" i="11"/>
  <c r="M486" i="11" s="1"/>
  <c r="O486" i="11" s="1"/>
  <c r="P486" i="11"/>
  <c r="F486" i="11"/>
  <c r="M133" i="11"/>
  <c r="O133" i="11" s="1"/>
  <c r="V51" i="1"/>
  <c r="AC51" i="1" s="1"/>
  <c r="F396" i="11"/>
  <c r="K345" i="11"/>
  <c r="M345" i="11" s="1"/>
  <c r="K347" i="11"/>
  <c r="M347" i="11" s="1"/>
  <c r="O347" i="11" s="1"/>
  <c r="H331" i="11"/>
  <c r="M506" i="11"/>
  <c r="O506" i="11" s="1"/>
  <c r="P403" i="11"/>
  <c r="L403" i="11"/>
  <c r="M403" i="11" s="1"/>
  <c r="O403" i="11" s="1"/>
  <c r="Q403" i="11"/>
  <c r="F403" i="11"/>
  <c r="P389" i="11"/>
  <c r="Q389" i="11"/>
  <c r="P467" i="11"/>
  <c r="P49" i="1"/>
  <c r="X49" i="1" s="1"/>
  <c r="Y49" i="1" s="1"/>
  <c r="J477" i="11"/>
  <c r="J470" i="11"/>
  <c r="M458" i="11"/>
  <c r="J468" i="11"/>
  <c r="L249" i="11"/>
  <c r="L390" i="11"/>
  <c r="M390" i="11" s="1"/>
  <c r="O390" i="11" s="1"/>
  <c r="P324" i="11"/>
  <c r="L396" i="11"/>
  <c r="M396" i="11" s="1"/>
  <c r="O396" i="11" s="1"/>
  <c r="P396" i="11"/>
  <c r="L333" i="11"/>
  <c r="M333" i="11" s="1"/>
  <c r="O333" i="11" s="1"/>
  <c r="Q333" i="11"/>
  <c r="O361" i="11"/>
  <c r="P336" i="11"/>
  <c r="F336" i="11"/>
  <c r="M337" i="11"/>
  <c r="O337" i="11" s="1"/>
  <c r="F393" i="11"/>
  <c r="Q393" i="11"/>
  <c r="P393" i="11"/>
  <c r="L393" i="11"/>
  <c r="L467" i="11"/>
  <c r="J402" i="11"/>
  <c r="M402" i="11" s="1"/>
  <c r="M384" i="11"/>
  <c r="P52" i="1"/>
  <c r="P55" i="1"/>
  <c r="X55" i="1" s="1"/>
  <c r="Y55" i="1" s="1"/>
  <c r="P51" i="1"/>
  <c r="O52" i="1"/>
  <c r="Q52" i="1" s="1"/>
  <c r="Q50" i="1"/>
  <c r="Q54" i="1"/>
  <c r="AC53" i="1"/>
  <c r="W53" i="1"/>
  <c r="P53" i="1"/>
  <c r="W49" i="1"/>
  <c r="Q51" i="1"/>
  <c r="P35" i="1"/>
  <c r="X35" i="1" s="1"/>
  <c r="Y35" i="1" s="1"/>
  <c r="W35" i="1"/>
  <c r="P47" i="1"/>
  <c r="W33" i="1"/>
  <c r="P33" i="1"/>
  <c r="X33" i="1" s="1"/>
  <c r="Y33" i="1" s="1"/>
  <c r="AG39" i="1"/>
  <c r="Q37" i="1"/>
  <c r="Q44" i="1"/>
  <c r="X44" i="1" s="1"/>
  <c r="Y44" i="1" s="1"/>
  <c r="Q43" i="1"/>
  <c r="X43" i="1" s="1"/>
  <c r="Y43" i="1" s="1"/>
  <c r="AG33" i="1"/>
  <c r="Q47" i="1"/>
  <c r="AA39" i="1"/>
  <c r="AC33" i="1"/>
  <c r="AG40" i="1"/>
  <c r="Q40" i="1"/>
  <c r="Q36" i="1"/>
  <c r="X36" i="1" s="1"/>
  <c r="Y36" i="1" s="1"/>
  <c r="P37" i="1"/>
  <c r="AA46" i="1"/>
  <c r="AC47" i="1"/>
  <c r="AF47" i="1"/>
  <c r="W34" i="1"/>
  <c r="W45" i="1"/>
  <c r="P42" i="1"/>
  <c r="X42" i="1" s="1"/>
  <c r="Y42" i="1" s="1"/>
  <c r="P40" i="1"/>
  <c r="W38" i="1"/>
  <c r="AG38" i="1"/>
  <c r="AG46" i="1"/>
  <c r="AG34" i="1"/>
  <c r="AG45" i="1"/>
  <c r="AA47" i="1"/>
  <c r="W46" i="1"/>
  <c r="AG43" i="1"/>
  <c r="AC43" i="1"/>
  <c r="AA43" i="1"/>
  <c r="P45" i="1"/>
  <c r="X45" i="1" s="1"/>
  <c r="Y45" i="1" s="1"/>
  <c r="AG37" i="1"/>
  <c r="AG47" i="1"/>
  <c r="AA33" i="1"/>
  <c r="AA45" i="1"/>
  <c r="AA38" i="1"/>
  <c r="L99" i="5"/>
  <c r="AA22" i="1"/>
  <c r="AC22" i="1"/>
  <c r="N92" i="5"/>
  <c r="Q21" i="1"/>
  <c r="X21" i="1" s="1"/>
  <c r="Y21" i="1" s="1"/>
  <c r="AC21" i="1"/>
  <c r="AG21" i="1"/>
  <c r="W21" i="1"/>
  <c r="AA21" i="1"/>
  <c r="F445" i="2"/>
  <c r="N445" i="2"/>
  <c r="P445" i="2"/>
  <c r="L445" i="2"/>
  <c r="M445" i="2" s="1"/>
  <c r="Q446" i="2"/>
  <c r="L446" i="2"/>
  <c r="M446" i="2" s="1"/>
  <c r="F446" i="2"/>
  <c r="N446" i="2"/>
  <c r="O446" i="2" s="1"/>
  <c r="P446" i="2"/>
  <c r="H434" i="2"/>
  <c r="P433" i="2"/>
  <c r="N433" i="2"/>
  <c r="L433" i="2"/>
  <c r="M433" i="2" s="1"/>
  <c r="F433" i="2"/>
  <c r="M458" i="2"/>
  <c r="O458" i="2" s="1"/>
  <c r="Q435" i="2"/>
  <c r="F435" i="2"/>
  <c r="P435" i="2"/>
  <c r="N435" i="2"/>
  <c r="L435" i="2"/>
  <c r="P6" i="1"/>
  <c r="N436" i="2"/>
  <c r="F436" i="2"/>
  <c r="P436" i="2"/>
  <c r="L436" i="2"/>
  <c r="M436" i="2" s="1"/>
  <c r="P431" i="2"/>
  <c r="N431" i="2"/>
  <c r="L431" i="2"/>
  <c r="M431" i="2" s="1"/>
  <c r="O431" i="2" s="1"/>
  <c r="F431" i="2"/>
  <c r="N447" i="2"/>
  <c r="P447" i="2"/>
  <c r="L447" i="2"/>
  <c r="M447" i="2" s="1"/>
  <c r="F447" i="2"/>
  <c r="AA11" i="1"/>
  <c r="Q437" i="2"/>
  <c r="F437" i="2"/>
  <c r="N437" i="2"/>
  <c r="P437" i="2"/>
  <c r="L437" i="2"/>
  <c r="M437" i="2" s="1"/>
  <c r="AF19" i="1"/>
  <c r="AH19" i="1" s="1"/>
  <c r="AI19" i="1" s="1"/>
  <c r="L443" i="2"/>
  <c r="M443" i="2" s="1"/>
  <c r="P443" i="2"/>
  <c r="N443" i="2"/>
  <c r="F443" i="2"/>
  <c r="F444" i="2"/>
  <c r="N444" i="2"/>
  <c r="L444" i="2"/>
  <c r="M444" i="2" s="1"/>
  <c r="P444" i="2"/>
  <c r="AG16" i="1"/>
  <c r="AG8" i="1"/>
  <c r="P15" i="1"/>
  <c r="AG10" i="1"/>
  <c r="AJ10" i="1" s="1"/>
  <c r="AM10" i="1" s="1"/>
  <c r="AT10" i="1" s="1"/>
  <c r="AG11" i="1"/>
  <c r="Q19" i="1"/>
  <c r="P10" i="1"/>
  <c r="Q14" i="1"/>
  <c r="AG12" i="1"/>
  <c r="P14" i="1"/>
  <c r="M474" i="2"/>
  <c r="O474" i="2" s="1"/>
  <c r="M435" i="2"/>
  <c r="O435" i="2" s="1"/>
  <c r="Q431" i="2"/>
  <c r="H439" i="2"/>
  <c r="Q12" i="1"/>
  <c r="Q11" i="1"/>
  <c r="H432" i="2"/>
  <c r="P18" i="1"/>
  <c r="AA16" i="1"/>
  <c r="AC9" i="1"/>
  <c r="P17" i="1"/>
  <c r="Q15" i="1"/>
  <c r="Q433" i="2"/>
  <c r="AF6" i="1"/>
  <c r="P13" i="1"/>
  <c r="AC16" i="1"/>
  <c r="Q17" i="1"/>
  <c r="Q434" i="2"/>
  <c r="AF13" i="1"/>
  <c r="AJ13" i="1" s="1"/>
  <c r="AM13" i="1" s="1"/>
  <c r="AS13" i="1" s="1"/>
  <c r="O6" i="1"/>
  <c r="Q6" i="1" s="1"/>
  <c r="AF11" i="1"/>
  <c r="M459" i="2"/>
  <c r="O459" i="2" s="1"/>
  <c r="H438" i="2"/>
  <c r="O443" i="2"/>
  <c r="P12" i="1"/>
  <c r="Q443" i="2"/>
  <c r="W13" i="1"/>
  <c r="P11" i="1"/>
  <c r="AC13" i="1"/>
  <c r="AA13" i="1"/>
  <c r="Z15" i="1"/>
  <c r="Q445" i="2"/>
  <c r="W19" i="1"/>
  <c r="M469" i="2"/>
  <c r="O469" i="2" s="1"/>
  <c r="M473" i="2"/>
  <c r="O473" i="2" s="1"/>
  <c r="AA8" i="1"/>
  <c r="W15" i="1"/>
  <c r="AC8" i="1"/>
  <c r="P19" i="1"/>
  <c r="M457" i="2"/>
  <c r="AF9" i="1"/>
  <c r="Q10" i="1"/>
  <c r="AC6" i="1"/>
  <c r="AA6" i="1"/>
  <c r="AG6" i="1"/>
  <c r="Q7" i="1"/>
  <c r="AH15" i="1"/>
  <c r="H441" i="2"/>
  <c r="Q13" i="1"/>
  <c r="Q18" i="1"/>
  <c r="W17" i="1"/>
  <c r="AC17" i="1"/>
  <c r="AG17" i="1"/>
  <c r="AF17" i="1"/>
  <c r="W9" i="1"/>
  <c r="AG9" i="1"/>
  <c r="AA9" i="1"/>
  <c r="W14" i="1"/>
  <c r="AC14" i="1"/>
  <c r="AG14" i="1"/>
  <c r="AH14" i="1" s="1"/>
  <c r="AA14" i="1"/>
  <c r="AC18" i="1"/>
  <c r="AA18" i="1"/>
  <c r="AG18" i="1"/>
  <c r="W18" i="1"/>
  <c r="P16" i="1"/>
  <c r="O16" i="1"/>
  <c r="Q16" i="1" s="1"/>
  <c r="Q436" i="2"/>
  <c r="Q447" i="2"/>
  <c r="AC12" i="1"/>
  <c r="AF7" i="1"/>
  <c r="AG15" i="1"/>
  <c r="P9" i="1"/>
  <c r="X9" i="1" s="1"/>
  <c r="Y9" i="1" s="1"/>
  <c r="W7" i="1"/>
  <c r="P7" i="1"/>
  <c r="O1049" i="7" l="1"/>
  <c r="O1050" i="7" s="1"/>
  <c r="AF46" i="1"/>
  <c r="M722" i="7"/>
  <c r="Z42" i="1" s="1"/>
  <c r="X15" i="1"/>
  <c r="Y15" i="1" s="1"/>
  <c r="O422" i="7"/>
  <c r="O445" i="7" s="1"/>
  <c r="O449" i="7" s="1"/>
  <c r="O450" i="7" s="1"/>
  <c r="O392" i="11"/>
  <c r="AF43" i="1"/>
  <c r="AJ43" i="1" s="1"/>
  <c r="AM43" i="1" s="1"/>
  <c r="M245" i="11"/>
  <c r="O245" i="11" s="1"/>
  <c r="M1022" i="7"/>
  <c r="Z46" i="1" s="1"/>
  <c r="M347" i="7"/>
  <c r="Z37" i="1" s="1"/>
  <c r="L161" i="6"/>
  <c r="M572" i="7"/>
  <c r="Z40" i="1" s="1"/>
  <c r="O179" i="2"/>
  <c r="O202" i="2" s="1"/>
  <c r="O206" i="2" s="1"/>
  <c r="O207" i="2" s="1"/>
  <c r="AJ19" i="1"/>
  <c r="AM19" i="1" s="1"/>
  <c r="AU19" i="1" s="1"/>
  <c r="N161" i="6"/>
  <c r="N181" i="6" s="1"/>
  <c r="N185" i="6" s="1"/>
  <c r="N186" i="6" s="1"/>
  <c r="O47" i="7"/>
  <c r="O70" i="7" s="1"/>
  <c r="O74" i="7" s="1"/>
  <c r="O75" i="7" s="1"/>
  <c r="O122" i="7"/>
  <c r="O145" i="7" s="1"/>
  <c r="O149" i="7" s="1"/>
  <c r="O150" i="7" s="1"/>
  <c r="L105" i="10"/>
  <c r="Z30" i="1" s="1"/>
  <c r="L37" i="6"/>
  <c r="Z24" i="1" s="1"/>
  <c r="M797" i="7"/>
  <c r="Z43" i="1" s="1"/>
  <c r="O722" i="7"/>
  <c r="O745" i="7" s="1"/>
  <c r="O749" i="7" s="1"/>
  <c r="O750" i="7" s="1"/>
  <c r="M872" i="7"/>
  <c r="Z44" i="1" s="1"/>
  <c r="O197" i="7"/>
  <c r="O220" i="7" s="1"/>
  <c r="O224" i="7" s="1"/>
  <c r="O225" i="7" s="1"/>
  <c r="M422" i="7"/>
  <c r="Z38" i="1" s="1"/>
  <c r="M947" i="7"/>
  <c r="Z45" i="1" s="1"/>
  <c r="X17" i="1"/>
  <c r="Y17" i="1" s="1"/>
  <c r="X29" i="1"/>
  <c r="Y29" i="1" s="1"/>
  <c r="L40" i="10"/>
  <c r="Z29" i="1" s="1"/>
  <c r="O572" i="7"/>
  <c r="O595" i="7" s="1"/>
  <c r="L99" i="6"/>
  <c r="Z25" i="1" s="1"/>
  <c r="M731" i="2"/>
  <c r="Z16" i="1" s="1"/>
  <c r="M248" i="2"/>
  <c r="Z9" i="1" s="1"/>
  <c r="O599" i="7"/>
  <c r="O600" i="7" s="1"/>
  <c r="AF40" i="1"/>
  <c r="O758" i="2"/>
  <c r="O759" i="2" s="1"/>
  <c r="AF16" i="1"/>
  <c r="AJ16" i="1" s="1"/>
  <c r="AM16" i="1" s="1"/>
  <c r="AT16" i="1" s="1"/>
  <c r="N194" i="10"/>
  <c r="N195" i="10" s="1"/>
  <c r="AF31" i="1"/>
  <c r="AF30" i="1"/>
  <c r="N129" i="10"/>
  <c r="N130" i="10" s="1"/>
  <c r="W27" i="1"/>
  <c r="AC27" i="1"/>
  <c r="AA27" i="1"/>
  <c r="AG27" i="1"/>
  <c r="AF27" i="1"/>
  <c r="X40" i="1"/>
  <c r="Y40" i="1" s="1"/>
  <c r="M938" i="2"/>
  <c r="Z19" i="1" s="1"/>
  <c r="O374" i="7"/>
  <c r="O375" i="7" s="1"/>
  <c r="AF37" i="1"/>
  <c r="O170" i="11"/>
  <c r="M41" i="2"/>
  <c r="Z6" i="1" s="1"/>
  <c r="N99" i="6"/>
  <c r="N119" i="6" s="1"/>
  <c r="L101" i="5"/>
  <c r="Z22" i="1" s="1"/>
  <c r="M1097" i="7"/>
  <c r="Z47" i="1" s="1"/>
  <c r="AG26" i="1"/>
  <c r="AA26" i="1"/>
  <c r="W26" i="1"/>
  <c r="Z26" i="1"/>
  <c r="AC26" i="1"/>
  <c r="M386" i="2"/>
  <c r="Z11" i="1" s="1"/>
  <c r="AF24" i="1"/>
  <c r="N61" i="6"/>
  <c r="N62" i="6" s="1"/>
  <c r="M179" i="2"/>
  <c r="Z8" i="1" s="1"/>
  <c r="N101" i="5"/>
  <c r="N121" i="5" s="1"/>
  <c r="M110" i="2"/>
  <c r="Z7" i="1" s="1"/>
  <c r="O899" i="7"/>
  <c r="O900" i="7" s="1"/>
  <c r="AF44" i="1"/>
  <c r="L223" i="6"/>
  <c r="Z27" i="1" s="1"/>
  <c r="AF34" i="1"/>
  <c r="O27" i="11"/>
  <c r="N40" i="10"/>
  <c r="N60" i="10" s="1"/>
  <c r="M122" i="7"/>
  <c r="Z34" i="1" s="1"/>
  <c r="M197" i="7"/>
  <c r="Z35" i="1" s="1"/>
  <c r="L170" i="10"/>
  <c r="Z31" i="1" s="1"/>
  <c r="AF41" i="1"/>
  <c r="O674" i="7"/>
  <c r="O675" i="7" s="1"/>
  <c r="M524" i="2"/>
  <c r="Z13" i="1" s="1"/>
  <c r="M869" i="2"/>
  <c r="Z18" i="1" s="1"/>
  <c r="AF36" i="1"/>
  <c r="O299" i="7"/>
  <c r="O300" i="7" s="1"/>
  <c r="O444" i="2"/>
  <c r="X54" i="1"/>
  <c r="Y54" i="1" s="1"/>
  <c r="X19" i="1"/>
  <c r="Y19" i="1" s="1"/>
  <c r="X6" i="1"/>
  <c r="Y6" i="1" s="1"/>
  <c r="AF21" i="1"/>
  <c r="AH21" i="1" s="1"/>
  <c r="AI21" i="1" s="1"/>
  <c r="AK21" i="1" s="1"/>
  <c r="AL21" i="1" s="1"/>
  <c r="AF45" i="1"/>
  <c r="AJ45" i="1" s="1"/>
  <c r="AM45" i="1" s="1"/>
  <c r="X52" i="1"/>
  <c r="Y52" i="1" s="1"/>
  <c r="M470" i="11"/>
  <c r="O470" i="11" s="1"/>
  <c r="M102" i="11"/>
  <c r="M119" i="11" s="1"/>
  <c r="O176" i="11"/>
  <c r="M272" i="7"/>
  <c r="Z36" i="1" s="1"/>
  <c r="M497" i="7"/>
  <c r="Z39" i="1" s="1"/>
  <c r="M647" i="7"/>
  <c r="Z41" i="1" s="1"/>
  <c r="L38" i="5"/>
  <c r="Z21" i="1" s="1"/>
  <c r="AF18" i="1"/>
  <c r="AJ18" i="1" s="1"/>
  <c r="AM18" i="1" s="1"/>
  <c r="AF39" i="1"/>
  <c r="AH39" i="1" s="1"/>
  <c r="O524" i="7"/>
  <c r="O525" i="7" s="1"/>
  <c r="J49" i="11"/>
  <c r="M49" i="11" s="1"/>
  <c r="M134" i="11"/>
  <c r="O134" i="11" s="1"/>
  <c r="P176" i="11"/>
  <c r="L322" i="11"/>
  <c r="M322" i="11" s="1"/>
  <c r="P322" i="11"/>
  <c r="N322" i="11"/>
  <c r="Q322" i="11"/>
  <c r="F322" i="11"/>
  <c r="O246" i="11"/>
  <c r="M249" i="11"/>
  <c r="O249" i="11" s="1"/>
  <c r="M138" i="11"/>
  <c r="O138" i="11" s="1"/>
  <c r="O142" i="11" s="1"/>
  <c r="F247" i="11"/>
  <c r="P247" i="11"/>
  <c r="N247" i="11"/>
  <c r="L247" i="11"/>
  <c r="Q247" i="11"/>
  <c r="M194" i="11"/>
  <c r="W50" i="1"/>
  <c r="M323" i="11"/>
  <c r="O323" i="11" s="1"/>
  <c r="M240" i="11"/>
  <c r="O240" i="11" s="1"/>
  <c r="AG50" i="1"/>
  <c r="O102" i="11"/>
  <c r="O121" i="11" s="1"/>
  <c r="O314" i="11"/>
  <c r="M313" i="11"/>
  <c r="O313" i="11" s="1"/>
  <c r="L240" i="11"/>
  <c r="P240" i="11"/>
  <c r="N240" i="11"/>
  <c r="F240" i="11"/>
  <c r="Q240" i="11"/>
  <c r="AG51" i="1"/>
  <c r="AG53" i="1"/>
  <c r="O402" i="11"/>
  <c r="M315" i="11"/>
  <c r="O243" i="11"/>
  <c r="O104" i="11"/>
  <c r="M166" i="11"/>
  <c r="O166" i="11" s="1"/>
  <c r="O334" i="11"/>
  <c r="X53" i="1"/>
  <c r="Y53" i="1" s="1"/>
  <c r="X50" i="1"/>
  <c r="Y50" i="1" s="1"/>
  <c r="W52" i="1"/>
  <c r="J251" i="11"/>
  <c r="J272" i="11"/>
  <c r="M272" i="11" s="1"/>
  <c r="O272" i="11" s="1"/>
  <c r="J247" i="11"/>
  <c r="M247" i="11" s="1"/>
  <c r="V54" i="1"/>
  <c r="O372" i="11"/>
  <c r="M441" i="11" s="1"/>
  <c r="O484" i="11"/>
  <c r="P474" i="11"/>
  <c r="Q474" i="11"/>
  <c r="L474" i="11"/>
  <c r="F474" i="11"/>
  <c r="N474" i="11"/>
  <c r="H475" i="11"/>
  <c r="M192" i="11"/>
  <c r="J400" i="11"/>
  <c r="K419" i="11"/>
  <c r="M419" i="11" s="1"/>
  <c r="J389" i="11"/>
  <c r="M389" i="11" s="1"/>
  <c r="O389" i="11" s="1"/>
  <c r="K420" i="11"/>
  <c r="M420" i="11" s="1"/>
  <c r="O420" i="11" s="1"/>
  <c r="J395" i="11"/>
  <c r="M395" i="11" s="1"/>
  <c r="O395" i="11" s="1"/>
  <c r="J393" i="11"/>
  <c r="M393" i="11" s="1"/>
  <c r="O393" i="11" s="1"/>
  <c r="M360" i="11"/>
  <c r="O360" i="11" s="1"/>
  <c r="M317" i="11"/>
  <c r="O317" i="11" s="1"/>
  <c r="P400" i="11"/>
  <c r="Q400" i="11"/>
  <c r="F400" i="11"/>
  <c r="L400" i="11"/>
  <c r="H401" i="11"/>
  <c r="N400" i="11"/>
  <c r="M387" i="11"/>
  <c r="O387" i="11" s="1"/>
  <c r="F325" i="11"/>
  <c r="L325" i="11"/>
  <c r="M325" i="11" s="1"/>
  <c r="P325" i="11"/>
  <c r="H326" i="11"/>
  <c r="Q325" i="11"/>
  <c r="N325" i="11"/>
  <c r="O487" i="11"/>
  <c r="N28" i="11"/>
  <c r="F28" i="11"/>
  <c r="Q28" i="11"/>
  <c r="L28" i="11"/>
  <c r="P28" i="11"/>
  <c r="O30" i="11"/>
  <c r="O493" i="11"/>
  <c r="O497" i="11" s="1"/>
  <c r="M497" i="11"/>
  <c r="AA55" i="1" s="1"/>
  <c r="O479" i="11"/>
  <c r="Q478" i="11"/>
  <c r="F478" i="11"/>
  <c r="L478" i="11"/>
  <c r="M478" i="11" s="1"/>
  <c r="P478" i="11"/>
  <c r="N478" i="11"/>
  <c r="M434" i="11"/>
  <c r="O434" i="11" s="1"/>
  <c r="M391" i="11"/>
  <c r="O391" i="11" s="1"/>
  <c r="Q18" i="11"/>
  <c r="F18" i="11"/>
  <c r="P18" i="11"/>
  <c r="N18" i="11"/>
  <c r="L18" i="11"/>
  <c r="M18" i="11" s="1"/>
  <c r="AC52" i="1"/>
  <c r="P331" i="11"/>
  <c r="Q331" i="11"/>
  <c r="L331" i="11"/>
  <c r="M331" i="11" s="1"/>
  <c r="N331" i="11"/>
  <c r="F331" i="11"/>
  <c r="O123" i="11"/>
  <c r="O127" i="11" s="1"/>
  <c r="M127" i="11"/>
  <c r="AA50" i="1" s="1"/>
  <c r="J469" i="11"/>
  <c r="M469" i="11" s="1"/>
  <c r="O469" i="11" s="1"/>
  <c r="J467" i="11"/>
  <c r="M467" i="11" s="1"/>
  <c r="O467" i="11" s="1"/>
  <c r="J474" i="11"/>
  <c r="M474" i="11" s="1"/>
  <c r="J463" i="11"/>
  <c r="M463" i="11" s="1"/>
  <c r="O463" i="11" s="1"/>
  <c r="K494" i="11"/>
  <c r="M494" i="11" s="1"/>
  <c r="O494" i="11" s="1"/>
  <c r="M53" i="11"/>
  <c r="AA49" i="1" s="1"/>
  <c r="O49" i="11"/>
  <c r="O53" i="11" s="1"/>
  <c r="M465" i="11"/>
  <c r="O465" i="11" s="1"/>
  <c r="M508" i="11"/>
  <c r="O508" i="11" s="1"/>
  <c r="M22" i="11"/>
  <c r="O22" i="11" s="1"/>
  <c r="M64" i="11"/>
  <c r="O64" i="11" s="1"/>
  <c r="F251" i="11"/>
  <c r="N251" i="11"/>
  <c r="L251" i="11"/>
  <c r="P251" i="11"/>
  <c r="Q251" i="11"/>
  <c r="W51" i="1"/>
  <c r="M468" i="11"/>
  <c r="O468" i="11" s="1"/>
  <c r="O345" i="11"/>
  <c r="Q462" i="11"/>
  <c r="P462" i="11"/>
  <c r="N462" i="11"/>
  <c r="L462" i="11"/>
  <c r="M462" i="11" s="1"/>
  <c r="F462" i="11"/>
  <c r="P244" i="11"/>
  <c r="L244" i="11"/>
  <c r="Q244" i="11"/>
  <c r="N244" i="11"/>
  <c r="F244" i="11"/>
  <c r="F388" i="11"/>
  <c r="P388" i="11"/>
  <c r="L388" i="11"/>
  <c r="M388" i="11" s="1"/>
  <c r="Q388" i="11"/>
  <c r="N388" i="11"/>
  <c r="O388" i="11" s="1"/>
  <c r="O17" i="11"/>
  <c r="O165" i="11"/>
  <c r="M473" i="11"/>
  <c r="O473" i="11" s="1"/>
  <c r="M28" i="11"/>
  <c r="L316" i="11"/>
  <c r="M316" i="11" s="1"/>
  <c r="Q316" i="11"/>
  <c r="P316" i="11"/>
  <c r="N316" i="11"/>
  <c r="F316" i="11"/>
  <c r="J321" i="11"/>
  <c r="M321" i="11" s="1"/>
  <c r="O321" i="11" s="1"/>
  <c r="J326" i="11"/>
  <c r="K346" i="11"/>
  <c r="M346" i="11" s="1"/>
  <c r="O346" i="11" s="1"/>
  <c r="J319" i="11"/>
  <c r="M319" i="11" s="1"/>
  <c r="O319" i="11" s="1"/>
  <c r="M120" i="11"/>
  <c r="M118" i="11"/>
  <c r="O68" i="11"/>
  <c r="L472" i="11"/>
  <c r="M472" i="11" s="1"/>
  <c r="Q472" i="11"/>
  <c r="P472" i="11"/>
  <c r="F472" i="11"/>
  <c r="N472" i="11"/>
  <c r="J250" i="11"/>
  <c r="J271" i="11"/>
  <c r="M271" i="11" s="1"/>
  <c r="J244" i="11"/>
  <c r="J171" i="11"/>
  <c r="M171" i="11" s="1"/>
  <c r="O171" i="11" s="1"/>
  <c r="J175" i="11"/>
  <c r="J169" i="11"/>
  <c r="K197" i="11"/>
  <c r="M197" i="11" s="1"/>
  <c r="O446" i="11"/>
  <c r="M515" i="11" s="1"/>
  <c r="V55" i="1"/>
  <c r="O177" i="11"/>
  <c r="O315" i="11"/>
  <c r="M430" i="11"/>
  <c r="O430" i="11" s="1"/>
  <c r="X51" i="1"/>
  <c r="Y51" i="1" s="1"/>
  <c r="X37" i="1"/>
  <c r="Y37" i="1" s="1"/>
  <c r="X47" i="1"/>
  <c r="Y47" i="1" s="1"/>
  <c r="AH46" i="1"/>
  <c r="AI46" i="1" s="1"/>
  <c r="AK46" i="1" s="1"/>
  <c r="AL46" i="1" s="1"/>
  <c r="AJ46" i="1"/>
  <c r="AM46" i="1" s="1"/>
  <c r="AJ47" i="1"/>
  <c r="AM47" i="1" s="1"/>
  <c r="AH47" i="1"/>
  <c r="AI47" i="1"/>
  <c r="AK47" i="1" s="1"/>
  <c r="AL47" i="1" s="1"/>
  <c r="AH45" i="1"/>
  <c r="AI45" i="1" s="1"/>
  <c r="AJ34" i="1"/>
  <c r="AM34" i="1" s="1"/>
  <c r="AH34" i="1"/>
  <c r="AI34" i="1" s="1"/>
  <c r="N125" i="5"/>
  <c r="N126" i="5" s="1"/>
  <c r="AF22" i="1"/>
  <c r="AH22" i="1" s="1"/>
  <c r="AJ21" i="1"/>
  <c r="AM21" i="1" s="1"/>
  <c r="O436" i="2"/>
  <c r="P441" i="2"/>
  <c r="N441" i="2"/>
  <c r="L441" i="2"/>
  <c r="F441" i="2"/>
  <c r="L438" i="2"/>
  <c r="M438" i="2" s="1"/>
  <c r="F438" i="2"/>
  <c r="P438" i="2"/>
  <c r="N438" i="2"/>
  <c r="P434" i="2"/>
  <c r="N434" i="2"/>
  <c r="L434" i="2"/>
  <c r="M434" i="2" s="1"/>
  <c r="O434" i="2" s="1"/>
  <c r="F434" i="2"/>
  <c r="P432" i="2"/>
  <c r="N432" i="2"/>
  <c r="L432" i="2"/>
  <c r="M432" i="2" s="1"/>
  <c r="F432" i="2"/>
  <c r="N439" i="2"/>
  <c r="L439" i="2"/>
  <c r="F439" i="2"/>
  <c r="P439" i="2"/>
  <c r="AH11" i="1"/>
  <c r="AI11" i="1" s="1"/>
  <c r="AK11" i="1" s="1"/>
  <c r="AL11" i="1" s="1"/>
  <c r="AT19" i="1"/>
  <c r="AH10" i="1"/>
  <c r="AI10" i="1" s="1"/>
  <c r="AK10" i="1" s="1"/>
  <c r="AL10" i="1" s="1"/>
  <c r="AN10" i="1" s="1"/>
  <c r="X14" i="1"/>
  <c r="Y14" i="1" s="1"/>
  <c r="X12" i="1"/>
  <c r="Y12" i="1" s="1"/>
  <c r="X10" i="1"/>
  <c r="Y10" i="1" s="1"/>
  <c r="O433" i="2"/>
  <c r="AS16" i="1"/>
  <c r="Q438" i="2"/>
  <c r="X18" i="1"/>
  <c r="Y18" i="1" s="1"/>
  <c r="AJ14" i="1"/>
  <c r="AM14" i="1" s="1"/>
  <c r="AU14" i="1" s="1"/>
  <c r="AK19" i="1"/>
  <c r="AL19" i="1" s="1"/>
  <c r="H440" i="2"/>
  <c r="AU13" i="1"/>
  <c r="O445" i="2"/>
  <c r="M439" i="2"/>
  <c r="O439" i="2" s="1"/>
  <c r="X13" i="1"/>
  <c r="Y13" i="1" s="1"/>
  <c r="O477" i="2"/>
  <c r="Q432" i="2"/>
  <c r="Q439" i="2"/>
  <c r="X11" i="1"/>
  <c r="Y11" i="1" s="1"/>
  <c r="AU10" i="1"/>
  <c r="AS10" i="1"/>
  <c r="X7" i="1"/>
  <c r="Y7" i="1" s="1"/>
  <c r="AJ11" i="1"/>
  <c r="AM11" i="1" s="1"/>
  <c r="AU11" i="1" s="1"/>
  <c r="AT13" i="1"/>
  <c r="AH13" i="1"/>
  <c r="AI14" i="1"/>
  <c r="AK14" i="1" s="1"/>
  <c r="AL14" i="1" s="1"/>
  <c r="O437" i="2"/>
  <c r="O447" i="2"/>
  <c r="X16" i="1"/>
  <c r="Y16" i="1" s="1"/>
  <c r="AJ17" i="1"/>
  <c r="AM17" i="1" s="1"/>
  <c r="AH17" i="1"/>
  <c r="AI17" i="1" s="1"/>
  <c r="AK17" i="1" s="1"/>
  <c r="AL17" i="1" s="1"/>
  <c r="AJ6" i="1"/>
  <c r="AM6" i="1" s="1"/>
  <c r="AH6" i="1"/>
  <c r="AI6" i="1" s="1"/>
  <c r="AJ9" i="1"/>
  <c r="AM9" i="1" s="1"/>
  <c r="AH9" i="1"/>
  <c r="AI9" i="1" s="1"/>
  <c r="AK9" i="1" s="1"/>
  <c r="AL9" i="1" s="1"/>
  <c r="M463" i="2"/>
  <c r="AA12" i="1" s="1"/>
  <c r="O457" i="2"/>
  <c r="O463" i="2" s="1"/>
  <c r="AI15" i="1"/>
  <c r="AK15" i="1" s="1"/>
  <c r="AL15" i="1" s="1"/>
  <c r="AJ15" i="1"/>
  <c r="AM15" i="1" s="1"/>
  <c r="AH7" i="1"/>
  <c r="AI7" i="1" s="1"/>
  <c r="AJ7" i="1"/>
  <c r="AM7" i="1" s="1"/>
  <c r="Q441" i="2"/>
  <c r="M441" i="2"/>
  <c r="AS19" i="1" l="1"/>
  <c r="AF35" i="1"/>
  <c r="AH35" i="1" s="1"/>
  <c r="AH16" i="1"/>
  <c r="AI16" i="1" s="1"/>
  <c r="AK16" i="1" s="1"/>
  <c r="AL16" i="1" s="1"/>
  <c r="AO16" i="1" s="1"/>
  <c r="AH43" i="1"/>
  <c r="AI43" i="1" s="1"/>
  <c r="AF38" i="1"/>
  <c r="O438" i="2"/>
  <c r="AF8" i="1"/>
  <c r="AJ8" i="1" s="1"/>
  <c r="AM8" i="1" s="1"/>
  <c r="AU8" i="1" s="1"/>
  <c r="AF42" i="1"/>
  <c r="AH42" i="1" s="1"/>
  <c r="AI42" i="1" s="1"/>
  <c r="AK42" i="1" s="1"/>
  <c r="AL42" i="1" s="1"/>
  <c r="AF26" i="1"/>
  <c r="AU16" i="1"/>
  <c r="O432" i="2"/>
  <c r="AF33" i="1"/>
  <c r="AH33" i="1" s="1"/>
  <c r="AU18" i="1"/>
  <c r="AT18" i="1"/>
  <c r="AS18" i="1"/>
  <c r="AH44" i="1"/>
  <c r="AI44" i="1" s="1"/>
  <c r="AJ44" i="1"/>
  <c r="AM44" i="1" s="1"/>
  <c r="AJ40" i="1"/>
  <c r="AM40" i="1" s="1"/>
  <c r="AH40" i="1"/>
  <c r="AI40" i="1" s="1"/>
  <c r="AH18" i="1"/>
  <c r="AI39" i="1"/>
  <c r="AJ41" i="1"/>
  <c r="AM41" i="1" s="1"/>
  <c r="AH41" i="1"/>
  <c r="AI41" i="1" s="1"/>
  <c r="AH26" i="1"/>
  <c r="AI26" i="1" s="1"/>
  <c r="AJ26" i="1"/>
  <c r="AM26" i="1" s="1"/>
  <c r="AK43" i="1"/>
  <c r="AL43" i="1" s="1"/>
  <c r="AO43" i="1" s="1"/>
  <c r="AJ37" i="1"/>
  <c r="AM37" i="1" s="1"/>
  <c r="O247" i="11"/>
  <c r="N64" i="10"/>
  <c r="N65" i="10" s="1"/>
  <c r="AF29" i="1"/>
  <c r="M121" i="11"/>
  <c r="Z50" i="1" s="1"/>
  <c r="AJ33" i="1"/>
  <c r="AM33" i="1" s="1"/>
  <c r="AH27" i="1"/>
  <c r="AI27" i="1" s="1"/>
  <c r="AJ27" i="1"/>
  <c r="AM27" i="1" s="1"/>
  <c r="AH30" i="1"/>
  <c r="AI30" i="1" s="1"/>
  <c r="AJ30" i="1"/>
  <c r="AM30" i="1" s="1"/>
  <c r="AH37" i="1"/>
  <c r="AI37" i="1" s="1"/>
  <c r="AK37" i="1" s="1"/>
  <c r="AL37" i="1" s="1"/>
  <c r="AJ39" i="1"/>
  <c r="AM39" i="1" s="1"/>
  <c r="AH36" i="1"/>
  <c r="AJ36" i="1"/>
  <c r="AM36" i="1" s="1"/>
  <c r="AS8" i="1"/>
  <c r="N123" i="6"/>
  <c r="N124" i="6" s="1"/>
  <c r="AF25" i="1"/>
  <c r="AJ31" i="1"/>
  <c r="AM31" i="1" s="1"/>
  <c r="AH31" i="1"/>
  <c r="AI31" i="1" s="1"/>
  <c r="AK31" i="1" s="1"/>
  <c r="AL31" i="1" s="1"/>
  <c r="AH24" i="1"/>
  <c r="AI24" i="1" s="1"/>
  <c r="AK24" i="1" s="1"/>
  <c r="AL24" i="1" s="1"/>
  <c r="AJ24" i="1"/>
  <c r="AM24" i="1" s="1"/>
  <c r="M268" i="11"/>
  <c r="AJ35" i="1"/>
  <c r="AM35" i="1" s="1"/>
  <c r="AK39" i="1"/>
  <c r="AL39" i="1" s="1"/>
  <c r="AO39" i="1" s="1"/>
  <c r="O472" i="11"/>
  <c r="O331" i="11"/>
  <c r="M400" i="11"/>
  <c r="O322" i="11"/>
  <c r="O143" i="11"/>
  <c r="AF50" i="1" s="1"/>
  <c r="O18" i="11"/>
  <c r="M504" i="11"/>
  <c r="O504" i="11" s="1"/>
  <c r="O147" i="11"/>
  <c r="O148" i="11" s="1"/>
  <c r="O419" i="11"/>
  <c r="O423" i="11" s="1"/>
  <c r="M423" i="11"/>
  <c r="AA54" i="1" s="1"/>
  <c r="M356" i="11"/>
  <c r="O356" i="11" s="1"/>
  <c r="O364" i="11" s="1"/>
  <c r="O325" i="11"/>
  <c r="M45" i="11"/>
  <c r="M244" i="11"/>
  <c r="M266" i="11" s="1"/>
  <c r="M286" i="11"/>
  <c r="O286" i="11" s="1"/>
  <c r="O349" i="11"/>
  <c r="M349" i="11"/>
  <c r="AA53" i="1" s="1"/>
  <c r="M46" i="11"/>
  <c r="M44" i="11"/>
  <c r="L326" i="11"/>
  <c r="M326" i="11" s="1"/>
  <c r="F326" i="11"/>
  <c r="H327" i="11"/>
  <c r="Q326" i="11"/>
  <c r="P326" i="11"/>
  <c r="N326" i="11"/>
  <c r="L401" i="11"/>
  <c r="M401" i="11" s="1"/>
  <c r="Q401" i="11"/>
  <c r="N401" i="11"/>
  <c r="F401" i="11"/>
  <c r="P401" i="11"/>
  <c r="H476" i="11"/>
  <c r="P475" i="11"/>
  <c r="F475" i="11"/>
  <c r="L475" i="11"/>
  <c r="M475" i="11" s="1"/>
  <c r="N475" i="11"/>
  <c r="Q475" i="11"/>
  <c r="O438" i="11"/>
  <c r="O400" i="11"/>
  <c r="M275" i="11"/>
  <c r="AA52" i="1" s="1"/>
  <c r="O271" i="11"/>
  <c r="O275" i="11" s="1"/>
  <c r="W55" i="1"/>
  <c r="AC55" i="1"/>
  <c r="M250" i="11"/>
  <c r="M282" i="11"/>
  <c r="O282" i="11" s="1"/>
  <c r="O290" i="11" s="1"/>
  <c r="O474" i="11"/>
  <c r="M208" i="11"/>
  <c r="O208" i="11" s="1"/>
  <c r="M175" i="11"/>
  <c r="O175" i="11" s="1"/>
  <c r="M516" i="11"/>
  <c r="O516" i="11" s="1"/>
  <c r="M509" i="11"/>
  <c r="O509" i="11" s="1"/>
  <c r="O515" i="11"/>
  <c r="AG55" i="1" s="1"/>
  <c r="O316" i="11"/>
  <c r="O512" i="11"/>
  <c r="O462" i="11"/>
  <c r="O441" i="11"/>
  <c r="M442" i="11"/>
  <c r="O442" i="11" s="1"/>
  <c r="M435" i="11"/>
  <c r="O435" i="11" s="1"/>
  <c r="M251" i="11"/>
  <c r="O251" i="11" s="1"/>
  <c r="O197" i="11"/>
  <c r="O201" i="11" s="1"/>
  <c r="M201" i="11"/>
  <c r="AA51" i="1" s="1"/>
  <c r="M169" i="11"/>
  <c r="M212" i="11"/>
  <c r="O212" i="11" s="1"/>
  <c r="O478" i="11"/>
  <c r="O28" i="11"/>
  <c r="O47" i="11" s="1"/>
  <c r="O69" i="11" s="1"/>
  <c r="AC54" i="1"/>
  <c r="W54" i="1"/>
  <c r="W57" i="1" s="1"/>
  <c r="AO47" i="1"/>
  <c r="AR47" i="1"/>
  <c r="AN47" i="1"/>
  <c r="AP47" i="1"/>
  <c r="AQ47" i="1"/>
  <c r="AK45" i="1"/>
  <c r="AL45" i="1" s="1"/>
  <c r="AS37" i="1"/>
  <c r="AU37" i="1"/>
  <c r="AT37" i="1"/>
  <c r="AT47" i="1"/>
  <c r="AS47" i="1"/>
  <c r="AU47" i="1"/>
  <c r="AQ43" i="1"/>
  <c r="AP43" i="1"/>
  <c r="AN43" i="1"/>
  <c r="AR43" i="1"/>
  <c r="AS46" i="1"/>
  <c r="AT46" i="1"/>
  <c r="AU46" i="1"/>
  <c r="AS45" i="1"/>
  <c r="AU45" i="1"/>
  <c r="AT45" i="1"/>
  <c r="AK34" i="1"/>
  <c r="AL34" i="1" s="1"/>
  <c r="AQ46" i="1"/>
  <c r="AN46" i="1"/>
  <c r="AP46" i="1"/>
  <c r="AO46" i="1"/>
  <c r="AR46" i="1"/>
  <c r="AU34" i="1"/>
  <c r="AS34" i="1"/>
  <c r="AT34" i="1"/>
  <c r="AU43" i="1"/>
  <c r="AS43" i="1"/>
  <c r="AT43" i="1"/>
  <c r="AI22" i="1"/>
  <c r="AK22" i="1" s="1"/>
  <c r="AL22" i="1" s="1"/>
  <c r="AJ22" i="1"/>
  <c r="AM22" i="1" s="1"/>
  <c r="AS22" i="1" s="1"/>
  <c r="AP21" i="1"/>
  <c r="AN21" i="1"/>
  <c r="AR21" i="1"/>
  <c r="AO21" i="1"/>
  <c r="AQ21" i="1"/>
  <c r="AT21" i="1"/>
  <c r="AU21" i="1"/>
  <c r="AS21" i="1"/>
  <c r="AT14" i="1"/>
  <c r="P440" i="2"/>
  <c r="N440" i="2"/>
  <c r="L440" i="2"/>
  <c r="M440" i="2" s="1"/>
  <c r="F440" i="2"/>
  <c r="AO10" i="1"/>
  <c r="AQ10" i="1"/>
  <c r="AP10" i="1"/>
  <c r="AR10" i="1"/>
  <c r="AP16" i="1"/>
  <c r="AS11" i="1"/>
  <c r="AR16" i="1"/>
  <c r="H442" i="2"/>
  <c r="AR19" i="1"/>
  <c r="AQ19" i="1"/>
  <c r="AO19" i="1"/>
  <c r="AP19" i="1"/>
  <c r="AN19" i="1"/>
  <c r="AS14" i="1"/>
  <c r="Q440" i="2"/>
  <c r="AQ16" i="1"/>
  <c r="AT11" i="1"/>
  <c r="AN11" i="1"/>
  <c r="AP11" i="1"/>
  <c r="AO11" i="1"/>
  <c r="AR11" i="1"/>
  <c r="AQ11" i="1"/>
  <c r="AI13" i="1"/>
  <c r="AK13" i="1" s="1"/>
  <c r="AL13" i="1" s="1"/>
  <c r="O441" i="2"/>
  <c r="O440" i="2"/>
  <c r="AK7" i="1"/>
  <c r="AL7" i="1" s="1"/>
  <c r="AN7" i="1" s="1"/>
  <c r="AO17" i="1"/>
  <c r="AR17" i="1"/>
  <c r="AP17" i="1"/>
  <c r="AQ17" i="1"/>
  <c r="AN17" i="1"/>
  <c r="AO15" i="1"/>
  <c r="AR15" i="1"/>
  <c r="AN15" i="1"/>
  <c r="AP15" i="1"/>
  <c r="AQ15" i="1"/>
  <c r="AQ14" i="1"/>
  <c r="AP14" i="1"/>
  <c r="AN14" i="1"/>
  <c r="AO14" i="1"/>
  <c r="AR14" i="1"/>
  <c r="AK6" i="1"/>
  <c r="AL6" i="1" s="1"/>
  <c r="AI18" i="1"/>
  <c r="AK18" i="1" s="1"/>
  <c r="AL18" i="1" s="1"/>
  <c r="AT7" i="1"/>
  <c r="AU7" i="1"/>
  <c r="AS7" i="1"/>
  <c r="AP9" i="1"/>
  <c r="AQ9" i="1"/>
  <c r="AO9" i="1"/>
  <c r="AN9" i="1"/>
  <c r="AR9" i="1"/>
  <c r="AS17" i="1"/>
  <c r="AU17" i="1"/>
  <c r="AT17" i="1"/>
  <c r="AS6" i="1"/>
  <c r="AU6" i="1"/>
  <c r="AT6" i="1"/>
  <c r="AU15" i="1"/>
  <c r="AT15" i="1"/>
  <c r="AS15" i="1"/>
  <c r="AU9" i="1"/>
  <c r="AT9" i="1"/>
  <c r="AS9" i="1"/>
  <c r="AK27" i="1" l="1"/>
  <c r="AL27" i="1" s="1"/>
  <c r="AN16" i="1"/>
  <c r="AJ42" i="1"/>
  <c r="AM42" i="1" s="1"/>
  <c r="AU42" i="1" s="1"/>
  <c r="AJ38" i="1"/>
  <c r="AM38" i="1" s="1"/>
  <c r="AH38" i="1"/>
  <c r="AH8" i="1"/>
  <c r="AI8" i="1" s="1"/>
  <c r="AT8" i="1"/>
  <c r="AK41" i="1"/>
  <c r="AL41" i="1" s="1"/>
  <c r="AP41" i="1" s="1"/>
  <c r="AK44" i="1"/>
  <c r="AL44" i="1" s="1"/>
  <c r="AO31" i="1"/>
  <c r="AR31" i="1"/>
  <c r="AQ31" i="1"/>
  <c r="AP31" i="1"/>
  <c r="AN31" i="1"/>
  <c r="AP37" i="1"/>
  <c r="AO37" i="1"/>
  <c r="AQ37" i="1"/>
  <c r="AN37" i="1"/>
  <c r="AR37" i="1"/>
  <c r="AR24" i="1"/>
  <c r="AP24" i="1"/>
  <c r="AN24" i="1"/>
  <c r="AQ24" i="1"/>
  <c r="AO24" i="1"/>
  <c r="AS31" i="1"/>
  <c r="AT31" i="1"/>
  <c r="AU31" i="1"/>
  <c r="AT27" i="1"/>
  <c r="AU27" i="1"/>
  <c r="AS27" i="1"/>
  <c r="AH29" i="1"/>
  <c r="AI29" i="1" s="1"/>
  <c r="AJ29" i="1"/>
  <c r="AM29" i="1" s="1"/>
  <c r="AT40" i="1"/>
  <c r="AS40" i="1"/>
  <c r="AU40" i="1"/>
  <c r="AS24" i="1"/>
  <c r="AU24" i="1"/>
  <c r="AT24" i="1"/>
  <c r="AS39" i="1"/>
  <c r="AT39" i="1"/>
  <c r="AU44" i="1"/>
  <c r="AS44" i="1"/>
  <c r="AT44" i="1"/>
  <c r="AK8" i="1"/>
  <c r="AL8" i="1" s="1"/>
  <c r="AS42" i="1"/>
  <c r="AU30" i="1"/>
  <c r="AS30" i="1"/>
  <c r="AT30" i="1"/>
  <c r="AQ39" i="1"/>
  <c r="O401" i="11"/>
  <c r="O417" i="11" s="1"/>
  <c r="O439" i="11" s="1"/>
  <c r="AU35" i="1"/>
  <c r="AS35" i="1"/>
  <c r="AT35" i="1"/>
  <c r="AQ42" i="1"/>
  <c r="AO42" i="1"/>
  <c r="AR42" i="1"/>
  <c r="AN42" i="1"/>
  <c r="AP42" i="1"/>
  <c r="AI36" i="1"/>
  <c r="AK36" i="1" s="1"/>
  <c r="AL36" i="1" s="1"/>
  <c r="AK30" i="1"/>
  <c r="AL30" i="1" s="1"/>
  <c r="AT33" i="1"/>
  <c r="AU33" i="1"/>
  <c r="AS33" i="1"/>
  <c r="AU26" i="1"/>
  <c r="AT26" i="1"/>
  <c r="AS26" i="1"/>
  <c r="AS41" i="1"/>
  <c r="AT41" i="1"/>
  <c r="AU41" i="1"/>
  <c r="AI35" i="1"/>
  <c r="AK35" i="1"/>
  <c r="AL35" i="1" s="1"/>
  <c r="AI33" i="1"/>
  <c r="AK33" i="1" s="1"/>
  <c r="AL33" i="1" s="1"/>
  <c r="AK26" i="1"/>
  <c r="AL26" i="1" s="1"/>
  <c r="AK40" i="1"/>
  <c r="AL40" i="1" s="1"/>
  <c r="AQ27" i="1"/>
  <c r="AO27" i="1"/>
  <c r="AP27" i="1"/>
  <c r="AR27" i="1"/>
  <c r="AN27" i="1"/>
  <c r="AR41" i="1"/>
  <c r="AN39" i="1"/>
  <c r="AP39" i="1"/>
  <c r="AR39" i="1"/>
  <c r="AJ25" i="1"/>
  <c r="AM25" i="1" s="1"/>
  <c r="AH25" i="1"/>
  <c r="AI25" i="1" s="1"/>
  <c r="AK25" i="1" s="1"/>
  <c r="AL25" i="1" s="1"/>
  <c r="AN44" i="1"/>
  <c r="AQ44" i="1"/>
  <c r="AP44" i="1"/>
  <c r="AR44" i="1"/>
  <c r="AO44" i="1"/>
  <c r="AU39" i="1"/>
  <c r="AU36" i="1"/>
  <c r="AT36" i="1"/>
  <c r="AS36" i="1"/>
  <c r="O475" i="11"/>
  <c r="O73" i="11"/>
  <c r="O74" i="11" s="1"/>
  <c r="AF49" i="1"/>
  <c r="M416" i="11"/>
  <c r="M415" i="11"/>
  <c r="O326" i="11"/>
  <c r="AH50" i="1"/>
  <c r="AJ50" i="1"/>
  <c r="AM50" i="1" s="1"/>
  <c r="O169" i="11"/>
  <c r="O195" i="11" s="1"/>
  <c r="M193" i="11"/>
  <c r="M195" i="11" s="1"/>
  <c r="Z51" i="1" s="1"/>
  <c r="M47" i="11"/>
  <c r="Z49" i="1" s="1"/>
  <c r="O244" i="11"/>
  <c r="H477" i="11"/>
  <c r="P476" i="11"/>
  <c r="L476" i="11"/>
  <c r="M476" i="11" s="1"/>
  <c r="Q476" i="11"/>
  <c r="F476" i="11"/>
  <c r="N476" i="11"/>
  <c r="M414" i="11"/>
  <c r="M267" i="11"/>
  <c r="M269" i="11" s="1"/>
  <c r="Z52" i="1" s="1"/>
  <c r="O250" i="11"/>
  <c r="AG54" i="1"/>
  <c r="O216" i="11"/>
  <c r="L327" i="11"/>
  <c r="M327" i="11" s="1"/>
  <c r="H328" i="11"/>
  <c r="P327" i="11"/>
  <c r="F327" i="11"/>
  <c r="Q327" i="11"/>
  <c r="N327" i="11"/>
  <c r="O327" i="11" s="1"/>
  <c r="AQ45" i="1"/>
  <c r="AR45" i="1"/>
  <c r="AP45" i="1"/>
  <c r="AN45" i="1"/>
  <c r="AO45" i="1"/>
  <c r="AO34" i="1"/>
  <c r="AR34" i="1"/>
  <c r="AP34" i="1"/>
  <c r="AQ34" i="1"/>
  <c r="AN34" i="1"/>
  <c r="AP22" i="1"/>
  <c r="AO22" i="1"/>
  <c r="AN22" i="1"/>
  <c r="AR22" i="1"/>
  <c r="AQ22" i="1"/>
  <c r="AT22" i="1"/>
  <c r="AU22" i="1"/>
  <c r="P442" i="2"/>
  <c r="F442" i="2"/>
  <c r="N442" i="2"/>
  <c r="L442" i="2"/>
  <c r="M442" i="2" s="1"/>
  <c r="Q442" i="2"/>
  <c r="M454" i="2" s="1"/>
  <c r="AR7" i="1"/>
  <c r="O442" i="2"/>
  <c r="O455" i="2" s="1"/>
  <c r="O478" i="2" s="1"/>
  <c r="AR13" i="1"/>
  <c r="AP13" i="1"/>
  <c r="AQ13" i="1"/>
  <c r="AN13" i="1"/>
  <c r="AO13" i="1"/>
  <c r="AQ7" i="1"/>
  <c r="AO7" i="1"/>
  <c r="AP7" i="1"/>
  <c r="AR18" i="1"/>
  <c r="AP18" i="1"/>
  <c r="AQ18" i="1"/>
  <c r="AO18" i="1"/>
  <c r="AN18" i="1"/>
  <c r="AP6" i="1"/>
  <c r="AR6" i="1"/>
  <c r="AQ6" i="1"/>
  <c r="AO6" i="1"/>
  <c r="AN6" i="1"/>
  <c r="AO41" i="1" l="1"/>
  <c r="AT42" i="1"/>
  <c r="AQ41" i="1"/>
  <c r="AN41" i="1"/>
  <c r="AI38" i="1"/>
  <c r="AK38" i="1"/>
  <c r="AL38" i="1" s="1"/>
  <c r="AT38" i="1"/>
  <c r="AU38" i="1"/>
  <c r="AS38" i="1"/>
  <c r="AP25" i="1"/>
  <c r="AO25" i="1"/>
  <c r="AQ25" i="1"/>
  <c r="AN25" i="1"/>
  <c r="AR25" i="1"/>
  <c r="AO33" i="1"/>
  <c r="AR33" i="1"/>
  <c r="AN33" i="1"/>
  <c r="AP33" i="1"/>
  <c r="AQ33" i="1"/>
  <c r="AN40" i="1"/>
  <c r="AO40" i="1"/>
  <c r="AR40" i="1"/>
  <c r="AQ40" i="1"/>
  <c r="AP40" i="1"/>
  <c r="AK29" i="1"/>
  <c r="AL29" i="1" s="1"/>
  <c r="AO36" i="1"/>
  <c r="AN36" i="1"/>
  <c r="AQ36" i="1"/>
  <c r="AR36" i="1"/>
  <c r="AP36" i="1"/>
  <c r="AU25" i="1"/>
  <c r="AS25" i="1"/>
  <c r="AT25" i="1"/>
  <c r="M453" i="2"/>
  <c r="AP30" i="1"/>
  <c r="AR30" i="1"/>
  <c r="AQ30" i="1"/>
  <c r="AN30" i="1"/>
  <c r="AO30" i="1"/>
  <c r="AS29" i="1"/>
  <c r="AU29" i="1"/>
  <c r="AT29" i="1"/>
  <c r="AR26" i="1"/>
  <c r="AO26" i="1"/>
  <c r="AN26" i="1"/>
  <c r="AP26" i="1"/>
  <c r="AQ26" i="1"/>
  <c r="AR8" i="1"/>
  <c r="AO8" i="1"/>
  <c r="AN8" i="1"/>
  <c r="AP8" i="1"/>
  <c r="AQ8" i="1"/>
  <c r="AP35" i="1"/>
  <c r="AN35" i="1"/>
  <c r="AO35" i="1"/>
  <c r="AQ35" i="1"/>
  <c r="AR35" i="1"/>
  <c r="M452" i="2"/>
  <c r="O217" i="11"/>
  <c r="AI50" i="1"/>
  <c r="AK50" i="1" s="1"/>
  <c r="AL50" i="1" s="1"/>
  <c r="M417" i="11"/>
  <c r="Z54" i="1" s="1"/>
  <c r="L477" i="11"/>
  <c r="M477" i="11" s="1"/>
  <c r="Q477" i="11"/>
  <c r="M490" i="11" s="1"/>
  <c r="F477" i="11"/>
  <c r="P477" i="11"/>
  <c r="N477" i="11"/>
  <c r="O477" i="11" s="1"/>
  <c r="F328" i="11"/>
  <c r="P328" i="11"/>
  <c r="H329" i="11"/>
  <c r="L328" i="11"/>
  <c r="M328" i="11" s="1"/>
  <c r="Q328" i="11"/>
  <c r="N328" i="11"/>
  <c r="O269" i="11"/>
  <c r="O291" i="11" s="1"/>
  <c r="AS50" i="1"/>
  <c r="AT50" i="1"/>
  <c r="AU50" i="1"/>
  <c r="AJ49" i="1"/>
  <c r="AM49" i="1" s="1"/>
  <c r="AH49" i="1"/>
  <c r="AI49" i="1" s="1"/>
  <c r="M488" i="11"/>
  <c r="AF54" i="1"/>
  <c r="AH54" i="1" s="1"/>
  <c r="O443" i="11"/>
  <c r="O444" i="11" s="1"/>
  <c r="O476" i="11"/>
  <c r="O221" i="11"/>
  <c r="O222" i="11" s="1"/>
  <c r="AF51" i="1"/>
  <c r="AF12" i="1"/>
  <c r="AJ12" i="1" s="1"/>
  <c r="AM12" i="1" s="1"/>
  <c r="AU12" i="1" s="1"/>
  <c r="O482" i="2"/>
  <c r="O483" i="2" s="1"/>
  <c r="M455" i="2"/>
  <c r="Z12" i="1" s="1"/>
  <c r="O328" i="11" l="1"/>
  <c r="M489" i="11"/>
  <c r="M491" i="11" s="1"/>
  <c r="Z55" i="1" s="1"/>
  <c r="AN38" i="1"/>
  <c r="AQ38" i="1"/>
  <c r="AR38" i="1"/>
  <c r="AP38" i="1"/>
  <c r="AO38" i="1"/>
  <c r="AN29" i="1"/>
  <c r="AR29" i="1"/>
  <c r="AP29" i="1"/>
  <c r="AO29" i="1"/>
  <c r="AQ29" i="1"/>
  <c r="AK49" i="1"/>
  <c r="AL49" i="1" s="1"/>
  <c r="AU49" i="1"/>
  <c r="AS49" i="1"/>
  <c r="AT49" i="1"/>
  <c r="F329" i="11"/>
  <c r="H330" i="11"/>
  <c r="Q329" i="11"/>
  <c r="P329" i="11"/>
  <c r="L329" i="11"/>
  <c r="M329" i="11" s="1"/>
  <c r="N329" i="11"/>
  <c r="O329" i="11" s="1"/>
  <c r="AI54" i="1"/>
  <c r="AK54" i="1" s="1"/>
  <c r="AL54" i="1" s="1"/>
  <c r="AJ54" i="1"/>
  <c r="AM54" i="1" s="1"/>
  <c r="O295" i="11"/>
  <c r="O296" i="11" s="1"/>
  <c r="AF52" i="1"/>
  <c r="AH51" i="1"/>
  <c r="AI51" i="1" s="1"/>
  <c r="AJ51" i="1"/>
  <c r="AM51" i="1" s="1"/>
  <c r="O491" i="11"/>
  <c r="O513" i="11" s="1"/>
  <c r="AN50" i="1"/>
  <c r="AO50" i="1"/>
  <c r="AP50" i="1"/>
  <c r="AR50" i="1"/>
  <c r="AQ50" i="1"/>
  <c r="AH12" i="1"/>
  <c r="AI12" i="1" s="1"/>
  <c r="AK12" i="1" s="1"/>
  <c r="AL12" i="1" s="1"/>
  <c r="AS12" i="1"/>
  <c r="AT12" i="1"/>
  <c r="AK51" i="1" l="1"/>
  <c r="AL51" i="1" s="1"/>
  <c r="AN51" i="1" s="1"/>
  <c r="AS51" i="1"/>
  <c r="AT51" i="1"/>
  <c r="AU51" i="1"/>
  <c r="AO49" i="1"/>
  <c r="AN49" i="1"/>
  <c r="AP49" i="1"/>
  <c r="AQ49" i="1"/>
  <c r="AR49" i="1"/>
  <c r="Q330" i="11"/>
  <c r="F330" i="11"/>
  <c r="P330" i="11"/>
  <c r="L330" i="11"/>
  <c r="M330" i="11" s="1"/>
  <c r="N330" i="11"/>
  <c r="O517" i="11"/>
  <c r="O518" i="11" s="1"/>
  <c r="AF55" i="1"/>
  <c r="AN54" i="1"/>
  <c r="AR54" i="1"/>
  <c r="AQ54" i="1"/>
  <c r="AP54" i="1"/>
  <c r="AO54" i="1"/>
  <c r="AP51" i="1"/>
  <c r="AR51" i="1"/>
  <c r="AJ52" i="1"/>
  <c r="AM52" i="1" s="1"/>
  <c r="AH52" i="1"/>
  <c r="AI52" i="1" s="1"/>
  <c r="AK52" i="1" s="1"/>
  <c r="AL52" i="1" s="1"/>
  <c r="AS54" i="1"/>
  <c r="AU54" i="1"/>
  <c r="AT54" i="1"/>
  <c r="AN12" i="1"/>
  <c r="AO12" i="1"/>
  <c r="AR12" i="1"/>
  <c r="AQ12" i="1"/>
  <c r="AP12" i="1"/>
  <c r="O330" i="11" l="1"/>
  <c r="O343" i="11" s="1"/>
  <c r="O365" i="11" s="1"/>
  <c r="AQ51" i="1"/>
  <c r="AO51" i="1"/>
  <c r="AP52" i="1"/>
  <c r="AQ52" i="1"/>
  <c r="AN52" i="1"/>
  <c r="AR52" i="1"/>
  <c r="AO52" i="1"/>
  <c r="M341" i="11"/>
  <c r="M342" i="11"/>
  <c r="M340" i="11"/>
  <c r="AJ55" i="1"/>
  <c r="AM55" i="1" s="1"/>
  <c r="AH55" i="1"/>
  <c r="AI55" i="1" s="1"/>
  <c r="AK55" i="1" s="1"/>
  <c r="AL55" i="1" s="1"/>
  <c r="AS52" i="1"/>
  <c r="AU52" i="1"/>
  <c r="AT52" i="1"/>
  <c r="O369" i="11"/>
  <c r="O370" i="11" s="1"/>
  <c r="AF53" i="1"/>
  <c r="M343" i="11" l="1"/>
  <c r="Z53" i="1" s="1"/>
  <c r="AR55" i="1"/>
  <c r="AO55" i="1"/>
  <c r="AP55" i="1"/>
  <c r="AN55" i="1"/>
  <c r="AQ55" i="1"/>
  <c r="AT55" i="1"/>
  <c r="AU55" i="1"/>
  <c r="AS55" i="1"/>
  <c r="AJ53" i="1"/>
  <c r="AM53" i="1" s="1"/>
  <c r="AH53" i="1"/>
  <c r="AU53" i="1" l="1"/>
  <c r="AS53" i="1"/>
  <c r="AT53" i="1"/>
  <c r="AI53" i="1"/>
  <c r="AK53" i="1" s="1"/>
  <c r="AL53" i="1" s="1"/>
  <c r="AN53" i="1" l="1"/>
  <c r="AO53" i="1"/>
  <c r="AO57" i="1" s="1"/>
  <c r="AR53" i="1"/>
  <c r="AQ53" i="1"/>
  <c r="AP53" i="1"/>
</calcChain>
</file>

<file path=xl/comments1.xml><?xml version="1.0" encoding="utf-8"?>
<comments xmlns="http://schemas.openxmlformats.org/spreadsheetml/2006/main">
  <authors>
    <author>作者</author>
  </authors>
  <commentList>
    <comment ref="V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洞口面积</t>
        </r>
      </text>
    </comment>
  </commentList>
</comments>
</file>

<file path=xl/sharedStrings.xml><?xml version="1.0" encoding="utf-8"?>
<sst xmlns="http://schemas.openxmlformats.org/spreadsheetml/2006/main" count="12327" uniqueCount="1672">
  <si>
    <t>窗单价组合分析表</t>
  </si>
  <si>
    <t>编号：</t>
  </si>
  <si>
    <t>系列：</t>
  </si>
  <si>
    <t>规格：</t>
  </si>
  <si>
    <t>门窗面积：</t>
  </si>
  <si>
    <t>位置：</t>
  </si>
  <si>
    <t>单位</t>
  </si>
  <si>
    <t>洞口尺寸</t>
  </si>
  <si>
    <t>门窗尺寸</t>
  </si>
  <si>
    <t>高：H</t>
  </si>
  <si>
    <t>mm</t>
  </si>
  <si>
    <t>宽：W</t>
  </si>
  <si>
    <t>高：H1</t>
  </si>
  <si>
    <t>高：H2</t>
  </si>
  <si>
    <t>高：H3</t>
  </si>
  <si>
    <t>宽：W1</t>
  </si>
  <si>
    <t>宽：W2</t>
  </si>
  <si>
    <t>宽：W3</t>
  </si>
  <si>
    <t>宽：W4</t>
  </si>
  <si>
    <t>扣减尺寸a</t>
    <phoneticPr fontId="9" type="noConversion"/>
  </si>
  <si>
    <t>门窗面积W*H</t>
  </si>
  <si>
    <t>m2</t>
  </si>
  <si>
    <t>门窗周长(W+H)*2</t>
  </si>
  <si>
    <t>m</t>
  </si>
  <si>
    <t>序号</t>
  </si>
  <si>
    <t>型材</t>
  </si>
  <si>
    <t>名称</t>
  </si>
  <si>
    <t>位置</t>
    <phoneticPr fontId="9" type="noConversion"/>
  </si>
  <si>
    <t>型材编号</t>
  </si>
  <si>
    <t>长度(mm)</t>
  </si>
  <si>
    <t>数量</t>
  </si>
  <si>
    <t>米重</t>
  </si>
  <si>
    <t>总重(Kg)</t>
  </si>
  <si>
    <t>税前单价  （元/kg)</t>
  </si>
  <si>
    <t>税前总价（元）</t>
  </si>
  <si>
    <t>料损（%）</t>
  </si>
  <si>
    <t>氟碳喷涂延米装饰面积（m2/m)</t>
  </si>
  <si>
    <t>氟碳喷涂面积（m2）</t>
  </si>
  <si>
    <t>框料</t>
  </si>
  <si>
    <t>竖料</t>
    <phoneticPr fontId="9" type="noConversion"/>
  </si>
  <si>
    <t>横料</t>
    <phoneticPr fontId="9" type="noConversion"/>
  </si>
  <si>
    <t>扇料</t>
  </si>
  <si>
    <t>压线</t>
  </si>
  <si>
    <t>压线</t>
    <phoneticPr fontId="9" type="noConversion"/>
  </si>
  <si>
    <t>辅料</t>
  </si>
  <si>
    <t>断桥型材小计</t>
    <phoneticPr fontId="9" type="noConversion"/>
  </si>
  <si>
    <t>非断桥型材小计</t>
    <phoneticPr fontId="9" type="noConversion"/>
  </si>
  <si>
    <t>氧化型材小计</t>
    <phoneticPr fontId="9" type="noConversion"/>
  </si>
  <si>
    <t>总计</t>
  </si>
  <si>
    <t>玻璃</t>
  </si>
  <si>
    <t>宽度</t>
  </si>
  <si>
    <t>高度</t>
  </si>
  <si>
    <t>面积</t>
  </si>
  <si>
    <t>税前单价  （元/M2)</t>
  </si>
  <si>
    <t>玻璃</t>
    <phoneticPr fontId="9" type="noConversion"/>
  </si>
  <si>
    <t>G1</t>
  </si>
  <si>
    <t>玻璃合计</t>
  </si>
  <si>
    <t/>
  </si>
  <si>
    <t>五金</t>
  </si>
  <si>
    <t>型号</t>
  </si>
  <si>
    <t xml:space="preserve"> </t>
  </si>
  <si>
    <t>规格</t>
  </si>
  <si>
    <t xml:space="preserve">税前单价  </t>
  </si>
  <si>
    <t>内平开窗五金</t>
  </si>
  <si>
    <t>五金件合计</t>
  </si>
  <si>
    <t>辅材及其他</t>
  </si>
  <si>
    <t>发泡剂</t>
  </si>
  <si>
    <t>玻璃处耐候胶</t>
  </si>
  <si>
    <t xml:space="preserve">中性硅酮密封胶 </t>
  </si>
  <si>
    <t>内墙胶</t>
  </si>
  <si>
    <t>外墙胶</t>
  </si>
  <si>
    <t>组角胶</t>
  </si>
  <si>
    <t>窗制作安装辅材费</t>
  </si>
  <si>
    <t>辅材及其它合计</t>
  </si>
  <si>
    <t>型材、玻璃、五金件、辅材及其它小计</t>
  </si>
  <si>
    <t>制安运输费</t>
  </si>
  <si>
    <t>门窗面积</t>
  </si>
  <si>
    <t>窗-制作安装费</t>
  </si>
  <si>
    <t>㎡</t>
  </si>
  <si>
    <t>窗-包装运输费</t>
  </si>
  <si>
    <t>税前直接费小计（元）</t>
  </si>
  <si>
    <t>型材,玻璃,五金件，辅材及其他+各项费用</t>
  </si>
  <si>
    <t>税前直接费单价（元/M2)</t>
  </si>
  <si>
    <t>*</t>
    <phoneticPr fontId="9" type="noConversion"/>
  </si>
  <si>
    <t>序号</t>
    <phoneticPr fontId="9" type="noConversion"/>
  </si>
  <si>
    <t>型材名称</t>
    <phoneticPr fontId="9" type="noConversion"/>
  </si>
  <si>
    <t>系列</t>
    <phoneticPr fontId="9" type="noConversion"/>
  </si>
  <si>
    <t>型材代号</t>
    <phoneticPr fontId="9" type="noConversion"/>
  </si>
  <si>
    <t>米重（kg/m）</t>
    <phoneticPr fontId="9" type="noConversion"/>
  </si>
  <si>
    <t>备注</t>
    <phoneticPr fontId="9" type="noConversion"/>
  </si>
  <si>
    <t>窗框</t>
    <phoneticPr fontId="9" type="noConversion"/>
  </si>
  <si>
    <t>SN65A系列</t>
    <phoneticPr fontId="9" type="noConversion"/>
  </si>
  <si>
    <t>SN65AK001</t>
    <phoneticPr fontId="9" type="noConversion"/>
  </si>
  <si>
    <t>窗扇</t>
    <phoneticPr fontId="9" type="noConversion"/>
  </si>
  <si>
    <t>SN65AS001</t>
    <phoneticPr fontId="9" type="noConversion"/>
  </si>
  <si>
    <t>压线</t>
    <phoneticPr fontId="9" type="noConversion"/>
  </si>
  <si>
    <t>SN65A系列</t>
  </si>
  <si>
    <t>窗扇角码</t>
    <phoneticPr fontId="9" type="noConversion"/>
  </si>
  <si>
    <t>损耗</t>
    <phoneticPr fontId="5" type="noConversion"/>
  </si>
  <si>
    <t>型材米重价格表</t>
    <phoneticPr fontId="5" type="noConversion"/>
  </si>
  <si>
    <t>税前单价（元/kg）</t>
    <phoneticPr fontId="5" type="noConversion"/>
  </si>
  <si>
    <r>
      <t>SN65AY00</t>
    </r>
    <r>
      <rPr>
        <sz val="12"/>
        <rFont val="宋体"/>
        <family val="3"/>
        <charset val="134"/>
      </rPr>
      <t>2</t>
    </r>
    <phoneticPr fontId="9" type="noConversion"/>
  </si>
  <si>
    <t>序号</t>
    <phoneticPr fontId="5" type="noConversion"/>
  </si>
  <si>
    <t>材料名称</t>
    <phoneticPr fontId="5" type="noConversion"/>
  </si>
  <si>
    <t>规格型号</t>
    <phoneticPr fontId="5" type="noConversion"/>
  </si>
  <si>
    <t>品牌</t>
    <phoneticPr fontId="5" type="noConversion"/>
  </si>
  <si>
    <t>备注</t>
    <phoneticPr fontId="5" type="noConversion"/>
  </si>
  <si>
    <t>材料单价表</t>
    <phoneticPr fontId="5" type="noConversion"/>
  </si>
  <si>
    <t>一</t>
    <phoneticPr fontId="5" type="noConversion"/>
  </si>
  <si>
    <t>铝型材</t>
    <phoneticPr fontId="5" type="noConversion"/>
  </si>
  <si>
    <t>断桥隔热铝型材</t>
    <phoneticPr fontId="5" type="noConversion"/>
  </si>
  <si>
    <t>非断桥隔热铝型材</t>
    <phoneticPr fontId="5" type="noConversion"/>
  </si>
  <si>
    <t>阳极氧化铝型材</t>
    <phoneticPr fontId="5" type="noConversion"/>
  </si>
  <si>
    <t>单位</t>
    <phoneticPr fontId="5" type="noConversion"/>
  </si>
  <si>
    <t>kg</t>
    <phoneticPr fontId="5" type="noConversion"/>
  </si>
  <si>
    <t>除税单价（元）</t>
    <phoneticPr fontId="5" type="noConversion"/>
  </si>
  <si>
    <t>二</t>
    <phoneticPr fontId="5" type="noConversion"/>
  </si>
  <si>
    <t>五金</t>
    <phoneticPr fontId="5" type="noConversion"/>
  </si>
  <si>
    <t>套</t>
    <phoneticPr fontId="5" type="noConversion"/>
  </si>
  <si>
    <t>三</t>
    <phoneticPr fontId="5" type="noConversion"/>
  </si>
  <si>
    <t>其他</t>
    <phoneticPr fontId="5" type="noConversion"/>
  </si>
  <si>
    <t>密封胶条</t>
    <phoneticPr fontId="5" type="noConversion"/>
  </si>
  <si>
    <t>个</t>
    <phoneticPr fontId="5" type="noConversion"/>
  </si>
  <si>
    <t>m2</t>
    <phoneticPr fontId="5" type="noConversion"/>
  </si>
  <si>
    <t>四</t>
    <phoneticPr fontId="5" type="noConversion"/>
  </si>
  <si>
    <t>人工费</t>
    <phoneticPr fontId="5" type="noConversion"/>
  </si>
  <si>
    <t>系列</t>
    <phoneticPr fontId="9" type="noConversion"/>
  </si>
  <si>
    <t>65系列扣减尺寸</t>
    <phoneticPr fontId="5" type="noConversion"/>
  </si>
  <si>
    <t>55系列扣减尺寸</t>
    <phoneticPr fontId="5" type="noConversion"/>
  </si>
  <si>
    <t>中梃</t>
    <phoneticPr fontId="5" type="noConversion"/>
  </si>
  <si>
    <t>中梃角码</t>
    <phoneticPr fontId="5" type="noConversion"/>
  </si>
  <si>
    <t>SN55F001</t>
    <phoneticPr fontId="5" type="noConversion"/>
  </si>
  <si>
    <t>SN55F002</t>
    <phoneticPr fontId="5" type="noConversion"/>
  </si>
  <si>
    <t>开启玻璃</t>
    <phoneticPr fontId="9" type="noConversion"/>
  </si>
  <si>
    <t>固定玻璃</t>
    <phoneticPr fontId="5" type="noConversion"/>
  </si>
  <si>
    <t>G2</t>
  </si>
  <si>
    <t>SN65AT101</t>
    <phoneticPr fontId="5" type="noConversion"/>
  </si>
  <si>
    <r>
      <rPr>
        <sz val="10"/>
        <rFont val="宋体"/>
        <family val="3"/>
        <charset val="134"/>
      </rPr>
      <t>卫生间凸窗</t>
    </r>
    <r>
      <rPr>
        <sz val="10"/>
        <rFont val="Arial"/>
        <family val="2"/>
      </rPr>
      <t>950</t>
    </r>
    <r>
      <rPr>
        <sz val="10"/>
        <rFont val="宋体"/>
        <family val="3"/>
        <charset val="134"/>
      </rPr>
      <t>，卫生间非凸窗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厨房窗</t>
    </r>
    <r>
      <rPr>
        <sz val="10"/>
        <rFont val="Arial"/>
        <family val="2"/>
      </rPr>
      <t>400</t>
    </r>
    <phoneticPr fontId="5" type="noConversion"/>
  </si>
  <si>
    <t>SN65AT002</t>
    <phoneticPr fontId="5" type="noConversion"/>
  </si>
  <si>
    <t>镀锌钢材</t>
    <phoneticPr fontId="5" type="noConversion"/>
  </si>
  <si>
    <t>加强中梃</t>
    <phoneticPr fontId="5" type="noConversion"/>
  </si>
  <si>
    <t>假中梃</t>
    <phoneticPr fontId="5" type="noConversion"/>
  </si>
  <si>
    <r>
      <rPr>
        <sz val="10"/>
        <rFont val="宋体"/>
        <family val="3"/>
        <charset val="134"/>
      </rPr>
      <t>卧室凸窗</t>
    </r>
    <r>
      <rPr>
        <sz val="10"/>
        <rFont val="Arial"/>
        <family val="2"/>
      </rPr>
      <t>950</t>
    </r>
    <r>
      <rPr>
        <sz val="10"/>
        <rFont val="宋体"/>
        <family val="3"/>
        <charset val="134"/>
      </rPr>
      <t>，卧室非凸窗</t>
    </r>
    <r>
      <rPr>
        <sz val="10"/>
        <rFont val="Arial"/>
        <family val="2"/>
      </rPr>
      <t>500</t>
    </r>
    <r>
      <rPr>
        <sz val="10"/>
        <rFont val="宋体"/>
        <family val="3"/>
        <charset val="134"/>
      </rPr>
      <t>，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厨房、卫生间窗</t>
    </r>
    <r>
      <rPr>
        <sz val="10"/>
        <rFont val="Arial"/>
        <family val="2"/>
      </rPr>
      <t>400</t>
    </r>
    <phoneticPr fontId="5" type="noConversion"/>
  </si>
  <si>
    <t>竖料</t>
    <phoneticPr fontId="9" type="noConversion"/>
  </si>
  <si>
    <t>横料</t>
    <phoneticPr fontId="9" type="noConversion"/>
  </si>
  <si>
    <t>G3</t>
  </si>
  <si>
    <r>
      <rPr>
        <sz val="10"/>
        <rFont val="宋体"/>
        <family val="3"/>
        <charset val="134"/>
      </rPr>
      <t>卧室凸窗</t>
    </r>
    <r>
      <rPr>
        <sz val="10"/>
        <rFont val="Arial"/>
        <family val="2"/>
      </rPr>
      <t>950</t>
    </r>
    <r>
      <rPr>
        <sz val="10"/>
        <rFont val="宋体"/>
        <family val="3"/>
        <charset val="134"/>
      </rPr>
      <t>，卧室非凸窗</t>
    </r>
    <r>
      <rPr>
        <sz val="10"/>
        <rFont val="Arial"/>
        <family val="2"/>
      </rPr>
      <t>500</t>
    </r>
    <phoneticPr fontId="5" type="noConversion"/>
  </si>
  <si>
    <t>G4</t>
  </si>
  <si>
    <t>SN65AJ001</t>
    <phoneticPr fontId="5" type="noConversion"/>
  </si>
  <si>
    <t>转角型材</t>
    <phoneticPr fontId="5" type="noConversion"/>
  </si>
  <si>
    <t>转角料</t>
    <phoneticPr fontId="5" type="noConversion"/>
  </si>
  <si>
    <r>
      <rPr>
        <sz val="10"/>
        <rFont val="宋体"/>
        <family val="3"/>
        <charset val="134"/>
      </rPr>
      <t>卧室凸窗</t>
    </r>
    <r>
      <rPr>
        <sz val="10"/>
        <rFont val="Arial"/>
        <family val="2"/>
      </rPr>
      <t>950</t>
    </r>
    <r>
      <rPr>
        <sz val="10"/>
        <rFont val="宋体"/>
        <family val="3"/>
        <charset val="134"/>
      </rPr>
      <t>，卧室非凸窗</t>
    </r>
    <r>
      <rPr>
        <sz val="10"/>
        <rFont val="Arial"/>
        <family val="2"/>
      </rPr>
      <t>500</t>
    </r>
    <r>
      <rPr>
        <sz val="10"/>
        <rFont val="宋体"/>
        <family val="3"/>
        <charset val="134"/>
      </rPr>
      <t>，厨房、卫生间窗</t>
    </r>
    <r>
      <rPr>
        <sz val="10"/>
        <rFont val="Arial"/>
        <family val="2"/>
      </rPr>
      <t>400</t>
    </r>
    <phoneticPr fontId="5" type="noConversion"/>
  </si>
  <si>
    <t>字段</t>
  </si>
  <si>
    <t>门窗编码</t>
  </si>
  <si>
    <t>门窗子目编码</t>
  </si>
  <si>
    <t>门窗编号</t>
    <phoneticPr fontId="9" type="noConversion"/>
  </si>
  <si>
    <t>位置</t>
    <phoneticPr fontId="9" type="noConversion"/>
  </si>
  <si>
    <t>窗型（区分内/外遮阳？）
后台（集团添加）</t>
  </si>
  <si>
    <t>型材类型</t>
    <phoneticPr fontId="9" type="noConversion"/>
  </si>
  <si>
    <t>K值</t>
    <phoneticPr fontId="9" type="noConversion"/>
  </si>
  <si>
    <t>扣减尺寸</t>
  </si>
  <si>
    <t>外框尺寸</t>
    <phoneticPr fontId="9" type="noConversion"/>
  </si>
  <si>
    <t>工程量汇总(樘)</t>
    <phoneticPr fontId="9" type="noConversion"/>
  </si>
  <si>
    <t>各楼栋工程量（樘）</t>
    <phoneticPr fontId="9" type="noConversion"/>
  </si>
  <si>
    <t>单樘洞口面积（m2）</t>
  </si>
  <si>
    <t>洞口总面积（m2）</t>
  </si>
  <si>
    <t>单樘外框面积（m2）</t>
  </si>
  <si>
    <t>外框总面积（m2）</t>
  </si>
  <si>
    <t>主材含量指标</t>
    <phoneticPr fontId="9" type="noConversion"/>
  </si>
  <si>
    <t>单樘造价（含税）</t>
  </si>
  <si>
    <t>单樘造价（不含税）</t>
  </si>
  <si>
    <t>合价（含税）</t>
  </si>
  <si>
    <t>合价（不含税）</t>
  </si>
  <si>
    <t>各楼栋合价（含税）</t>
  </si>
  <si>
    <t>各楼栋合价（不含税）</t>
  </si>
  <si>
    <t>宽(mm)</t>
    <phoneticPr fontId="9" type="noConversion"/>
  </si>
  <si>
    <t>高(mm)</t>
    <phoneticPr fontId="9" type="noConversion"/>
  </si>
  <si>
    <t>宽扣减尺寸（mm)</t>
  </si>
  <si>
    <t>高扣减尺寸（mm)</t>
  </si>
  <si>
    <t>1#</t>
    <phoneticPr fontId="9" type="noConversion"/>
  </si>
  <si>
    <t>2#</t>
  </si>
  <si>
    <t>3#</t>
  </si>
  <si>
    <r>
      <t>型材   (kg/m</t>
    </r>
    <r>
      <rPr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)</t>
    </r>
    <phoneticPr fontId="9" type="noConversion"/>
  </si>
  <si>
    <r>
      <t>玻璃   (m2/</t>
    </r>
    <r>
      <rPr>
        <sz val="10"/>
        <rFont val="宋体"/>
        <family val="3"/>
        <charset val="134"/>
      </rPr>
      <t>m2</t>
    </r>
    <r>
      <rPr>
        <sz val="10"/>
        <rFont val="宋体"/>
        <family val="3"/>
        <charset val="134"/>
      </rPr>
      <t>)</t>
    </r>
    <phoneticPr fontId="9" type="noConversion"/>
  </si>
  <si>
    <t>木材
（m3/m2)</t>
    <phoneticPr fontId="9" type="noConversion"/>
  </si>
  <si>
    <t>五金件
（套/樘）</t>
    <phoneticPr fontId="9" type="noConversion"/>
  </si>
  <si>
    <t>钢副框
（kg/m2)</t>
    <phoneticPr fontId="9" type="noConversion"/>
  </si>
  <si>
    <t>钢衬
（kg/m2)</t>
    <phoneticPr fontId="9" type="noConversion"/>
  </si>
  <si>
    <t>材料费</t>
    <phoneticPr fontId="9" type="noConversion"/>
  </si>
  <si>
    <t>制作安装费</t>
    <phoneticPr fontId="9" type="noConversion"/>
  </si>
  <si>
    <t>综合取费</t>
    <phoneticPr fontId="9" type="noConversion"/>
  </si>
  <si>
    <t>税金</t>
    <phoneticPr fontId="9" type="noConversion"/>
  </si>
  <si>
    <t>综合单价（不含税）</t>
    <phoneticPr fontId="9" type="noConversion"/>
  </si>
  <si>
    <t>综合单价（含税）</t>
    <phoneticPr fontId="9" type="noConversion"/>
  </si>
  <si>
    <t>填写说明</t>
  </si>
  <si>
    <t>门窗清单库选择
（招标单位）</t>
  </si>
  <si>
    <t>根据图纸手工输入
（招标单位）</t>
  </si>
  <si>
    <t>根据子目自动带出</t>
  </si>
  <si>
    <t>从值域中选择</t>
  </si>
  <si>
    <t>手工输入
（招标单位）</t>
  </si>
  <si>
    <t>（洞口-扣减*2）</t>
    <phoneticPr fontId="9" type="noConversion"/>
  </si>
  <si>
    <t>（楼栋汇总）</t>
  </si>
  <si>
    <t>（洞口宽*高）</t>
  </si>
  <si>
    <t>（汇总工程量*单樘面积）</t>
  </si>
  <si>
    <t>（外框宽*高）</t>
  </si>
  <si>
    <t>（汇总工程量*外框面积）</t>
  </si>
  <si>
    <t>汇总平米用量</t>
    <phoneticPr fontId="9" type="noConversion"/>
  </si>
  <si>
    <t>由单价分析表带入</t>
  </si>
  <si>
    <t>汇总报价单元格中各列（除税金）</t>
  </si>
  <si>
    <t>汇总报价单元格中各列</t>
  </si>
  <si>
    <t>（单樘面积*含税小计）</t>
  </si>
  <si>
    <t>（单樘面积*不含税小计）</t>
  </si>
  <si>
    <t>（含税单樘造价*工程量汇总）</t>
  </si>
  <si>
    <t>（不含税单樘造价*工程量汇总）</t>
  </si>
  <si>
    <t>（单栋工程量*含税单樘造价）</t>
  </si>
  <si>
    <t>（单栋工程量*不含税单樘造价）</t>
  </si>
  <si>
    <t>MC010101005</t>
  </si>
  <si>
    <t>MC010105</t>
  </si>
  <si>
    <t>MC010101006</t>
  </si>
  <si>
    <t>MC010106</t>
  </si>
  <si>
    <t>MC010101007</t>
  </si>
  <si>
    <t>MC010107</t>
  </si>
  <si>
    <t>MC010101008</t>
  </si>
  <si>
    <t>MC010108</t>
  </si>
  <si>
    <t>MC010101009</t>
  </si>
  <si>
    <t>MC010109</t>
  </si>
  <si>
    <t>MC010101010</t>
  </si>
  <si>
    <t>MC010110</t>
  </si>
  <si>
    <t>MC010101011</t>
  </si>
  <si>
    <t>MC010111</t>
  </si>
  <si>
    <t>MC010101012</t>
  </si>
  <si>
    <t>MC010112</t>
  </si>
  <si>
    <t>MC010101013</t>
  </si>
  <si>
    <t>MC010113</t>
  </si>
  <si>
    <t>MC010101014</t>
  </si>
  <si>
    <t>MC010114</t>
  </si>
  <si>
    <t>MC010101015</t>
  </si>
  <si>
    <t>MC010115</t>
  </si>
  <si>
    <t>MC010101016</t>
  </si>
  <si>
    <t>MC010116</t>
  </si>
  <si>
    <t>MC010101017</t>
  </si>
  <si>
    <t>MC010117</t>
  </si>
  <si>
    <t>MC010101018</t>
  </si>
  <si>
    <t>MC010118</t>
  </si>
  <si>
    <t>MC010101019</t>
  </si>
  <si>
    <t>MC010119</t>
  </si>
  <si>
    <t>弧形</t>
    <phoneticPr fontId="5" type="noConversion"/>
  </si>
  <si>
    <t>竖料</t>
    <phoneticPr fontId="9" type="noConversion"/>
  </si>
  <si>
    <t>一</t>
    <phoneticPr fontId="5" type="noConversion"/>
  </si>
  <si>
    <t>65系列</t>
    <phoneticPr fontId="5" type="noConversion"/>
  </si>
  <si>
    <t>二</t>
    <phoneticPr fontId="5" type="noConversion"/>
  </si>
  <si>
    <t>55系列</t>
    <phoneticPr fontId="5" type="noConversion"/>
  </si>
  <si>
    <t>SN55K001</t>
    <phoneticPr fontId="5" type="noConversion"/>
  </si>
  <si>
    <t>窗框</t>
    <phoneticPr fontId="5" type="noConversion"/>
  </si>
  <si>
    <t>SN55T001</t>
    <phoneticPr fontId="5" type="noConversion"/>
  </si>
  <si>
    <t>中梃</t>
    <phoneticPr fontId="5" type="noConversion"/>
  </si>
  <si>
    <t>SN55S002</t>
    <phoneticPr fontId="5" type="noConversion"/>
  </si>
  <si>
    <t>内开扇</t>
    <phoneticPr fontId="5" type="noConversion"/>
  </si>
  <si>
    <t>SN55系列</t>
  </si>
  <si>
    <t>SN55系列</t>
    <phoneticPr fontId="5" type="noConversion"/>
  </si>
  <si>
    <t>SN55S001</t>
    <phoneticPr fontId="5" type="noConversion"/>
  </si>
  <si>
    <t>SN55T101</t>
    <phoneticPr fontId="5" type="noConversion"/>
  </si>
  <si>
    <t>SN55T002</t>
    <phoneticPr fontId="5" type="noConversion"/>
  </si>
  <si>
    <t>假中梃</t>
    <phoneticPr fontId="5" type="noConversion"/>
  </si>
  <si>
    <t>加强中梃</t>
    <phoneticPr fontId="5" type="noConversion"/>
  </si>
  <si>
    <t>SN55F001</t>
    <phoneticPr fontId="5" type="noConversion"/>
  </si>
  <si>
    <t>SN55F002</t>
    <phoneticPr fontId="5" type="noConversion"/>
  </si>
  <si>
    <t>SN55P001</t>
    <phoneticPr fontId="5" type="noConversion"/>
  </si>
  <si>
    <t>拼管</t>
    <phoneticPr fontId="5" type="noConversion"/>
  </si>
  <si>
    <t>SN55J001</t>
  </si>
  <si>
    <t>转角料</t>
    <phoneticPr fontId="5" type="noConversion"/>
  </si>
  <si>
    <t>SN55F003</t>
    <phoneticPr fontId="5" type="noConversion"/>
  </si>
  <si>
    <t>SN55Y002</t>
    <phoneticPr fontId="5" type="noConversion"/>
  </si>
  <si>
    <t>压线</t>
    <phoneticPr fontId="5" type="noConversion"/>
  </si>
  <si>
    <t>SN55Y001</t>
    <phoneticPr fontId="5" type="noConversion"/>
  </si>
  <si>
    <t>SN55F004</t>
    <phoneticPr fontId="5" type="noConversion"/>
  </si>
  <si>
    <t>拼条</t>
    <phoneticPr fontId="5" type="noConversion"/>
  </si>
  <si>
    <t>三</t>
    <phoneticPr fontId="5" type="noConversion"/>
  </si>
  <si>
    <t>55B系列</t>
    <phoneticPr fontId="5" type="noConversion"/>
  </si>
  <si>
    <t>SN55BK001</t>
    <phoneticPr fontId="5" type="noConversion"/>
  </si>
  <si>
    <t>SN55B系列</t>
  </si>
  <si>
    <t>SN55B系列</t>
    <phoneticPr fontId="5" type="noConversion"/>
  </si>
  <si>
    <t>SN55BT001</t>
    <phoneticPr fontId="5" type="noConversion"/>
  </si>
  <si>
    <t>SN55BS002</t>
    <phoneticPr fontId="5" type="noConversion"/>
  </si>
  <si>
    <t>SN55BS001</t>
    <phoneticPr fontId="5" type="noConversion"/>
  </si>
  <si>
    <t>SN55BT101</t>
    <phoneticPr fontId="5" type="noConversion"/>
  </si>
  <si>
    <t>SN55BP001</t>
    <phoneticPr fontId="5" type="noConversion"/>
  </si>
  <si>
    <t>SN55BF001</t>
    <phoneticPr fontId="5" type="noConversion"/>
  </si>
  <si>
    <t>SN55BJ001</t>
    <phoneticPr fontId="5" type="noConversion"/>
  </si>
  <si>
    <t>SN55BT002</t>
    <phoneticPr fontId="5" type="noConversion"/>
  </si>
  <si>
    <t>四</t>
    <phoneticPr fontId="5" type="noConversion"/>
  </si>
  <si>
    <t>60系列</t>
    <phoneticPr fontId="5" type="noConversion"/>
  </si>
  <si>
    <t>SN60K001</t>
    <phoneticPr fontId="5" type="noConversion"/>
  </si>
  <si>
    <t>SN60T001</t>
    <phoneticPr fontId="5" type="noConversion"/>
  </si>
  <si>
    <t>SN60S002</t>
    <phoneticPr fontId="5" type="noConversion"/>
  </si>
  <si>
    <t>SN60S001</t>
    <phoneticPr fontId="5" type="noConversion"/>
  </si>
  <si>
    <t>SN60T101</t>
    <phoneticPr fontId="5" type="noConversion"/>
  </si>
  <si>
    <t>SN60T002</t>
    <phoneticPr fontId="5" type="noConversion"/>
  </si>
  <si>
    <t>SN60Y002</t>
    <phoneticPr fontId="5" type="noConversion"/>
  </si>
  <si>
    <t>SN60J001</t>
    <phoneticPr fontId="5" type="noConversion"/>
  </si>
  <si>
    <t>SN60系列</t>
  </si>
  <si>
    <t>SN60系列</t>
    <phoneticPr fontId="5" type="noConversion"/>
  </si>
  <si>
    <t>五</t>
    <phoneticPr fontId="5" type="noConversion"/>
  </si>
  <si>
    <t>60A系列</t>
    <phoneticPr fontId="5" type="noConversion"/>
  </si>
  <si>
    <t>SN60AK001</t>
    <phoneticPr fontId="5" type="noConversion"/>
  </si>
  <si>
    <t>SN60AT001</t>
    <phoneticPr fontId="5" type="noConversion"/>
  </si>
  <si>
    <t>SN60AS002</t>
    <phoneticPr fontId="5" type="noConversion"/>
  </si>
  <si>
    <t>SN60AS001</t>
    <phoneticPr fontId="5" type="noConversion"/>
  </si>
  <si>
    <t>SN60AT101</t>
    <phoneticPr fontId="5" type="noConversion"/>
  </si>
  <si>
    <t>SN60AP001</t>
    <phoneticPr fontId="5" type="noConversion"/>
  </si>
  <si>
    <t>SN60AJ001</t>
    <phoneticPr fontId="5" type="noConversion"/>
  </si>
  <si>
    <t>SN60AT002</t>
    <phoneticPr fontId="5" type="noConversion"/>
  </si>
  <si>
    <t>SN60A系列</t>
  </si>
  <si>
    <t>SN60A系列</t>
    <phoneticPr fontId="5" type="noConversion"/>
  </si>
  <si>
    <t>六</t>
    <phoneticPr fontId="5" type="noConversion"/>
  </si>
  <si>
    <t>70系列</t>
    <phoneticPr fontId="5" type="noConversion"/>
  </si>
  <si>
    <t>SN70K001</t>
  </si>
  <si>
    <t>SN70T001</t>
    <phoneticPr fontId="5" type="noConversion"/>
  </si>
  <si>
    <t>SN70S001</t>
    <phoneticPr fontId="5" type="noConversion"/>
  </si>
  <si>
    <t>SN70T101</t>
    <phoneticPr fontId="5" type="noConversion"/>
  </si>
  <si>
    <t>SN70T002</t>
    <phoneticPr fontId="5" type="noConversion"/>
  </si>
  <si>
    <t>SN70P001</t>
    <phoneticPr fontId="5" type="noConversion"/>
  </si>
  <si>
    <t>SN70J001</t>
    <phoneticPr fontId="5" type="noConversion"/>
  </si>
  <si>
    <t>SN70F001</t>
    <phoneticPr fontId="5" type="noConversion"/>
  </si>
  <si>
    <t>中梃角码</t>
    <phoneticPr fontId="5" type="noConversion"/>
  </si>
  <si>
    <t>SN70Y001</t>
    <phoneticPr fontId="5" type="noConversion"/>
  </si>
  <si>
    <t>SN70Y002</t>
  </si>
  <si>
    <t>SN70Y003</t>
  </si>
  <si>
    <t>SN70Y004</t>
  </si>
  <si>
    <t>SN70Y005</t>
  </si>
  <si>
    <t>SN70Y006</t>
  </si>
  <si>
    <t>SN70系列</t>
  </si>
  <si>
    <t>SN70系列</t>
    <phoneticPr fontId="5" type="noConversion"/>
  </si>
  <si>
    <t>七</t>
    <phoneticPr fontId="5" type="noConversion"/>
  </si>
  <si>
    <t>75系列</t>
    <phoneticPr fontId="5" type="noConversion"/>
  </si>
  <si>
    <t>SN75K001</t>
    <phoneticPr fontId="5" type="noConversion"/>
  </si>
  <si>
    <t>SN75T001</t>
    <phoneticPr fontId="5" type="noConversion"/>
  </si>
  <si>
    <t>SN75S001</t>
    <phoneticPr fontId="5" type="noConversion"/>
  </si>
  <si>
    <t>SN75T101</t>
    <phoneticPr fontId="5" type="noConversion"/>
  </si>
  <si>
    <t>SN75T002</t>
    <phoneticPr fontId="5" type="noConversion"/>
  </si>
  <si>
    <t>SN75P001</t>
    <phoneticPr fontId="5" type="noConversion"/>
  </si>
  <si>
    <t>SN75J001</t>
    <phoneticPr fontId="5" type="noConversion"/>
  </si>
  <si>
    <t>SN75Y001</t>
    <phoneticPr fontId="5" type="noConversion"/>
  </si>
  <si>
    <t>SN75Y002</t>
  </si>
  <si>
    <t>SN75Y003</t>
  </si>
  <si>
    <t>SN75Y004</t>
  </si>
  <si>
    <t>SN75系列</t>
  </si>
  <si>
    <t>SN75系列</t>
    <phoneticPr fontId="5" type="noConversion"/>
  </si>
  <si>
    <t>SN65AT001</t>
    <phoneticPr fontId="5" type="noConversion"/>
  </si>
  <si>
    <t>SN65AY001</t>
    <phoneticPr fontId="9" type="noConversion"/>
  </si>
  <si>
    <t>SW55F001</t>
    <phoneticPr fontId="9" type="noConversion"/>
  </si>
  <si>
    <t>SN55F003</t>
    <phoneticPr fontId="9" type="noConversion"/>
  </si>
  <si>
    <t>宽扣减</t>
    <phoneticPr fontId="5" type="noConversion"/>
  </si>
  <si>
    <t>高扣减</t>
    <phoneticPr fontId="5" type="noConversion"/>
  </si>
  <si>
    <t>55B系列扣减尺寸</t>
    <phoneticPr fontId="5" type="noConversion"/>
  </si>
  <si>
    <t>60系列扣减尺寸</t>
    <phoneticPr fontId="5" type="noConversion"/>
  </si>
  <si>
    <t>60A系列扣减尺寸</t>
    <phoneticPr fontId="5" type="noConversion"/>
  </si>
  <si>
    <t>70系列扣减尺寸</t>
    <phoneticPr fontId="5" type="noConversion"/>
  </si>
  <si>
    <t>75系列扣减尺寸</t>
    <phoneticPr fontId="5" type="noConversion"/>
  </si>
  <si>
    <t>55B(551)系列扣减尺寸</t>
    <phoneticPr fontId="5" type="noConversion"/>
  </si>
  <si>
    <t>60A(601)系列扣减尺寸</t>
    <phoneticPr fontId="5" type="noConversion"/>
  </si>
  <si>
    <t>SN65AS002</t>
    <phoneticPr fontId="9" type="noConversion"/>
  </si>
  <si>
    <t>SN65AP001</t>
    <phoneticPr fontId="5" type="noConversion"/>
  </si>
  <si>
    <t>SN65AY003</t>
  </si>
  <si>
    <r>
      <t>SN65AY004</t>
    </r>
    <r>
      <rPr>
        <sz val="12"/>
        <rFont val="宋体"/>
        <family val="3"/>
        <charset val="134"/>
      </rPr>
      <t/>
    </r>
  </si>
  <si>
    <t>SN65AY005</t>
  </si>
  <si>
    <r>
      <t>SN65AY006</t>
    </r>
    <r>
      <rPr>
        <sz val="12"/>
        <rFont val="宋体"/>
        <family val="3"/>
        <charset val="134"/>
      </rPr>
      <t/>
    </r>
  </si>
  <si>
    <t>SN65AY007</t>
  </si>
  <si>
    <r>
      <t>SN65AY008</t>
    </r>
    <r>
      <rPr>
        <sz val="12"/>
        <rFont val="宋体"/>
        <family val="3"/>
        <charset val="134"/>
      </rPr>
      <t/>
    </r>
  </si>
  <si>
    <t>SN65AY009</t>
  </si>
  <si>
    <t>SN65AY010</t>
  </si>
  <si>
    <t>SN55MF004</t>
    <phoneticPr fontId="5" type="noConversion"/>
  </si>
  <si>
    <t>SN60F001</t>
    <phoneticPr fontId="5" type="noConversion"/>
  </si>
  <si>
    <t>SN60F002</t>
    <phoneticPr fontId="5" type="noConversion"/>
  </si>
  <si>
    <t>SN60F003</t>
    <phoneticPr fontId="5" type="noConversion"/>
  </si>
  <si>
    <t>SN55MF005</t>
    <phoneticPr fontId="5" type="noConversion"/>
  </si>
  <si>
    <t>角码</t>
    <phoneticPr fontId="5" type="noConversion"/>
  </si>
  <si>
    <t>内开窗</t>
    <phoneticPr fontId="5" type="noConversion"/>
  </si>
  <si>
    <t>内平开门</t>
    <phoneticPr fontId="5" type="noConversion"/>
  </si>
  <si>
    <t>SN55M系列</t>
  </si>
  <si>
    <t>SN55M系列</t>
    <phoneticPr fontId="5" type="noConversion"/>
  </si>
  <si>
    <t>SN55MK001</t>
    <phoneticPr fontId="5" type="noConversion"/>
  </si>
  <si>
    <t>SN55MT001</t>
    <phoneticPr fontId="5" type="noConversion"/>
  </si>
  <si>
    <t>SN55MS001</t>
    <phoneticPr fontId="5" type="noConversion"/>
  </si>
  <si>
    <t>SN55MF001</t>
    <phoneticPr fontId="5" type="noConversion"/>
  </si>
  <si>
    <t>SN55MF002</t>
    <phoneticPr fontId="5" type="noConversion"/>
  </si>
  <si>
    <t>SN55MF101</t>
    <phoneticPr fontId="5" type="noConversion"/>
  </si>
  <si>
    <t>SN55MF003</t>
    <phoneticPr fontId="5" type="noConversion"/>
  </si>
  <si>
    <t>SN55MT002</t>
    <phoneticPr fontId="5" type="noConversion"/>
  </si>
  <si>
    <t>边框</t>
    <phoneticPr fontId="5" type="noConversion"/>
  </si>
  <si>
    <t>门槛</t>
    <phoneticPr fontId="5" type="noConversion"/>
  </si>
  <si>
    <t>密封条</t>
    <phoneticPr fontId="5" type="noConversion"/>
  </si>
  <si>
    <t>非断桥隔热铝型材</t>
    <phoneticPr fontId="5" type="noConversion"/>
  </si>
  <si>
    <t>二</t>
    <phoneticPr fontId="5" type="noConversion"/>
  </si>
  <si>
    <t>SN55BMK001</t>
    <phoneticPr fontId="5" type="noConversion"/>
  </si>
  <si>
    <t>SN55BMT001</t>
    <phoneticPr fontId="5" type="noConversion"/>
  </si>
  <si>
    <t>SN55BMS001</t>
    <phoneticPr fontId="5" type="noConversion"/>
  </si>
  <si>
    <t>SN55BMT002</t>
    <phoneticPr fontId="5" type="noConversion"/>
  </si>
  <si>
    <t>SN55BMF101</t>
    <phoneticPr fontId="5" type="noConversion"/>
  </si>
  <si>
    <t>SN55BMF001</t>
  </si>
  <si>
    <t>SN55BM系列</t>
  </si>
  <si>
    <t>SN55BM系列</t>
    <phoneticPr fontId="5" type="noConversion"/>
  </si>
  <si>
    <t>SN60MK001</t>
    <phoneticPr fontId="5" type="noConversion"/>
  </si>
  <si>
    <t>SN60MT001</t>
    <phoneticPr fontId="5" type="noConversion"/>
  </si>
  <si>
    <t>SN60MS001</t>
    <phoneticPr fontId="5" type="noConversion"/>
  </si>
  <si>
    <t>SN60MT002</t>
    <phoneticPr fontId="5" type="noConversion"/>
  </si>
  <si>
    <t>SN60MF101</t>
    <phoneticPr fontId="5" type="noConversion"/>
  </si>
  <si>
    <t>SN60M系列</t>
  </si>
  <si>
    <t>SN60M系列</t>
    <phoneticPr fontId="5" type="noConversion"/>
  </si>
  <si>
    <t>SN60AMK001</t>
    <phoneticPr fontId="5" type="noConversion"/>
  </si>
  <si>
    <t>SN60AMT001</t>
    <phoneticPr fontId="5" type="noConversion"/>
  </si>
  <si>
    <t>SN60AMS001</t>
    <phoneticPr fontId="5" type="noConversion"/>
  </si>
  <si>
    <t>SN60AMT002</t>
    <phoneticPr fontId="5" type="noConversion"/>
  </si>
  <si>
    <t>SN60AMF101</t>
    <phoneticPr fontId="5" type="noConversion"/>
  </si>
  <si>
    <t>65A系列</t>
    <phoneticPr fontId="5" type="noConversion"/>
  </si>
  <si>
    <t>SN65AMK001</t>
    <phoneticPr fontId="5" type="noConversion"/>
  </si>
  <si>
    <t>SN65AMT001</t>
    <phoneticPr fontId="5" type="noConversion"/>
  </si>
  <si>
    <t>SN65AMS001</t>
    <phoneticPr fontId="5" type="noConversion"/>
  </si>
  <si>
    <t>SN65AMT002</t>
    <phoneticPr fontId="5" type="noConversion"/>
  </si>
  <si>
    <t>SN65AMF101</t>
    <phoneticPr fontId="5" type="noConversion"/>
  </si>
  <si>
    <t>SN60AM系列</t>
  </si>
  <si>
    <t>SN60AM系列</t>
    <phoneticPr fontId="5" type="noConversion"/>
  </si>
  <si>
    <t>SN65AM系列</t>
  </si>
  <si>
    <t>SN65AM系列</t>
    <phoneticPr fontId="5" type="noConversion"/>
  </si>
  <si>
    <t>外平开窗</t>
    <phoneticPr fontId="5" type="noConversion"/>
  </si>
  <si>
    <t>SW55系列</t>
  </si>
  <si>
    <t>SW55系列</t>
    <phoneticPr fontId="5" type="noConversion"/>
  </si>
  <si>
    <t>SW55K001</t>
    <phoneticPr fontId="5" type="noConversion"/>
  </si>
  <si>
    <t>SW55T001</t>
    <phoneticPr fontId="5" type="noConversion"/>
  </si>
  <si>
    <t>SW55K101</t>
    <phoneticPr fontId="5" type="noConversion"/>
  </si>
  <si>
    <t>转向框</t>
    <phoneticPr fontId="5" type="noConversion"/>
  </si>
  <si>
    <t>SW55K102</t>
    <phoneticPr fontId="5" type="noConversion"/>
  </si>
  <si>
    <t>SW55S001</t>
    <phoneticPr fontId="5" type="noConversion"/>
  </si>
  <si>
    <t>外开扇</t>
    <phoneticPr fontId="5" type="noConversion"/>
  </si>
  <si>
    <t>SW55S002</t>
    <phoneticPr fontId="5" type="noConversion"/>
  </si>
  <si>
    <t>SW55T002</t>
    <phoneticPr fontId="5" type="noConversion"/>
  </si>
  <si>
    <t>SW55F001</t>
    <phoneticPr fontId="5" type="noConversion"/>
  </si>
  <si>
    <t>七</t>
    <phoneticPr fontId="5" type="noConversion"/>
  </si>
  <si>
    <t>55B(551)系列扣减尺寸</t>
    <phoneticPr fontId="5" type="noConversion"/>
  </si>
  <si>
    <t>60系列扣减尺寸</t>
    <phoneticPr fontId="5" type="noConversion"/>
  </si>
  <si>
    <t>60A系列扣减尺寸</t>
    <phoneticPr fontId="5" type="noConversion"/>
  </si>
  <si>
    <t>70系列扣减尺寸</t>
    <phoneticPr fontId="5" type="noConversion"/>
  </si>
  <si>
    <t>75系列扣减尺寸</t>
    <phoneticPr fontId="5" type="noConversion"/>
  </si>
  <si>
    <t>55B系列扣减尺寸</t>
    <phoneticPr fontId="5" type="noConversion"/>
  </si>
  <si>
    <t>60A(601)系列扣减尺寸</t>
    <phoneticPr fontId="5" type="noConversion"/>
  </si>
  <si>
    <t>角码</t>
    <phoneticPr fontId="9" type="noConversion"/>
  </si>
  <si>
    <t>框</t>
    <phoneticPr fontId="5" type="noConversion"/>
  </si>
  <si>
    <t>扇</t>
    <phoneticPr fontId="5" type="noConversion"/>
  </si>
  <si>
    <t>拼樘料</t>
    <phoneticPr fontId="5" type="noConversion"/>
  </si>
  <si>
    <t>门窗面积</t>
    <phoneticPr fontId="5" type="noConversion"/>
  </si>
  <si>
    <t>门窗周长</t>
    <phoneticPr fontId="5" type="noConversion"/>
  </si>
  <si>
    <t>系列断桥铝</t>
    <phoneticPr fontId="5" type="noConversion"/>
  </si>
  <si>
    <t>元/㎡</t>
    <phoneticPr fontId="5" type="noConversion"/>
  </si>
  <si>
    <t>1#</t>
    <phoneticPr fontId="9" type="noConversion"/>
  </si>
  <si>
    <t>2#</t>
    <phoneticPr fontId="5" type="noConversion"/>
  </si>
  <si>
    <t>3#</t>
    <phoneticPr fontId="5" type="noConversion"/>
  </si>
  <si>
    <t>手工输入
（招标单位）</t>
    <phoneticPr fontId="9" type="noConversion"/>
  </si>
  <si>
    <t>SW55BK001</t>
    <phoneticPr fontId="5" type="noConversion"/>
  </si>
  <si>
    <t>SW55BT001</t>
    <phoneticPr fontId="5" type="noConversion"/>
  </si>
  <si>
    <t>SW55BK101</t>
    <phoneticPr fontId="5" type="noConversion"/>
  </si>
  <si>
    <t>SW55BK102</t>
    <phoneticPr fontId="5" type="noConversion"/>
  </si>
  <si>
    <t>SW55BS001</t>
    <phoneticPr fontId="5" type="noConversion"/>
  </si>
  <si>
    <t>SW55BS002</t>
    <phoneticPr fontId="5" type="noConversion"/>
  </si>
  <si>
    <t>SW55BT002</t>
    <phoneticPr fontId="5" type="noConversion"/>
  </si>
  <si>
    <t>SW55BY001</t>
    <phoneticPr fontId="5" type="noConversion"/>
  </si>
  <si>
    <t>SW55BY002</t>
    <phoneticPr fontId="5" type="noConversion"/>
  </si>
  <si>
    <t>压线</t>
    <phoneticPr fontId="5" type="noConversion"/>
  </si>
  <si>
    <t>SW55B系列</t>
  </si>
  <si>
    <t>SW55B系列</t>
    <phoneticPr fontId="5" type="noConversion"/>
  </si>
  <si>
    <t>非断桥隔热铝型材</t>
    <phoneticPr fontId="5" type="noConversion"/>
  </si>
  <si>
    <t>SW60K001</t>
    <phoneticPr fontId="5" type="noConversion"/>
  </si>
  <si>
    <t>SW60T001</t>
    <phoneticPr fontId="5" type="noConversion"/>
  </si>
  <si>
    <t>SW60K101</t>
    <phoneticPr fontId="5" type="noConversion"/>
  </si>
  <si>
    <t>SW60K102</t>
    <phoneticPr fontId="5" type="noConversion"/>
  </si>
  <si>
    <t>SW60S001</t>
    <phoneticPr fontId="5" type="noConversion"/>
  </si>
  <si>
    <t>SW60S002</t>
    <phoneticPr fontId="5" type="noConversion"/>
  </si>
  <si>
    <t>SW60T002</t>
    <phoneticPr fontId="5" type="noConversion"/>
  </si>
  <si>
    <t>SW60系列</t>
  </si>
  <si>
    <t>SW60系列</t>
    <phoneticPr fontId="5" type="noConversion"/>
  </si>
  <si>
    <t>SW60AK001</t>
    <phoneticPr fontId="5" type="noConversion"/>
  </si>
  <si>
    <t>SW60AT001</t>
    <phoneticPr fontId="5" type="noConversion"/>
  </si>
  <si>
    <t>SW60AK101</t>
    <phoneticPr fontId="5" type="noConversion"/>
  </si>
  <si>
    <t>SW60AK102</t>
    <phoneticPr fontId="5" type="noConversion"/>
  </si>
  <si>
    <t>SW60AS001</t>
    <phoneticPr fontId="5" type="noConversion"/>
  </si>
  <si>
    <t>SW60AS002</t>
    <phoneticPr fontId="5" type="noConversion"/>
  </si>
  <si>
    <t>SW60AT002</t>
    <phoneticPr fontId="5" type="noConversion"/>
  </si>
  <si>
    <t>SW60AY001</t>
    <phoneticPr fontId="5" type="noConversion"/>
  </si>
  <si>
    <t>SW60AY002</t>
    <phoneticPr fontId="5" type="noConversion"/>
  </si>
  <si>
    <t>SW60A系列</t>
  </si>
  <si>
    <t>SW60A系列</t>
    <phoneticPr fontId="5" type="noConversion"/>
  </si>
  <si>
    <t>SW65AK001</t>
    <phoneticPr fontId="5" type="noConversion"/>
  </si>
  <si>
    <t>SW65AT001</t>
    <phoneticPr fontId="5" type="noConversion"/>
  </si>
  <si>
    <t>SW65AK101</t>
    <phoneticPr fontId="5" type="noConversion"/>
  </si>
  <si>
    <t>SW65AK102</t>
    <phoneticPr fontId="5" type="noConversion"/>
  </si>
  <si>
    <t>SW65AS001</t>
    <phoneticPr fontId="5" type="noConversion"/>
  </si>
  <si>
    <t>SW65AS002</t>
    <phoneticPr fontId="5" type="noConversion"/>
  </si>
  <si>
    <t>SW65AT002</t>
    <phoneticPr fontId="5" type="noConversion"/>
  </si>
  <si>
    <t>SW65A系列</t>
  </si>
  <si>
    <t>SW65A系列</t>
    <phoneticPr fontId="5" type="noConversion"/>
  </si>
  <si>
    <t>SW70K001</t>
    <phoneticPr fontId="5" type="noConversion"/>
  </si>
  <si>
    <t>SW70T001</t>
    <phoneticPr fontId="5" type="noConversion"/>
  </si>
  <si>
    <t>SW70K101</t>
    <phoneticPr fontId="5" type="noConversion"/>
  </si>
  <si>
    <t>SW70K102</t>
    <phoneticPr fontId="5" type="noConversion"/>
  </si>
  <si>
    <t>SW70S001</t>
    <phoneticPr fontId="5" type="noConversion"/>
  </si>
  <si>
    <t>SW70S002</t>
    <phoneticPr fontId="5" type="noConversion"/>
  </si>
  <si>
    <t>SW70T002</t>
    <phoneticPr fontId="5" type="noConversion"/>
  </si>
  <si>
    <t>SW70系列</t>
  </si>
  <si>
    <t>SW70系列</t>
    <phoneticPr fontId="5" type="noConversion"/>
  </si>
  <si>
    <t>角码</t>
    <phoneticPr fontId="5" type="noConversion"/>
  </si>
  <si>
    <t>SW70F001</t>
    <phoneticPr fontId="5" type="noConversion"/>
  </si>
  <si>
    <t>SW75K001</t>
    <phoneticPr fontId="5" type="noConversion"/>
  </si>
  <si>
    <t>SW75T001</t>
    <phoneticPr fontId="5" type="noConversion"/>
  </si>
  <si>
    <t>SW75K101</t>
    <phoneticPr fontId="5" type="noConversion"/>
  </si>
  <si>
    <t>SW75K102</t>
    <phoneticPr fontId="5" type="noConversion"/>
  </si>
  <si>
    <t>SW75S001</t>
    <phoneticPr fontId="5" type="noConversion"/>
  </si>
  <si>
    <t>SW75S002</t>
    <phoneticPr fontId="5" type="noConversion"/>
  </si>
  <si>
    <t>SW75T002</t>
    <phoneticPr fontId="5" type="noConversion"/>
  </si>
  <si>
    <t>SW75系列</t>
  </si>
  <si>
    <t>SW75系列</t>
    <phoneticPr fontId="5" type="noConversion"/>
  </si>
  <si>
    <t>外开门</t>
    <phoneticPr fontId="5" type="noConversion"/>
  </si>
  <si>
    <t>一</t>
    <phoneticPr fontId="5" type="noConversion"/>
  </si>
  <si>
    <t>55系列</t>
    <phoneticPr fontId="5" type="noConversion"/>
  </si>
  <si>
    <t>SW55MK001</t>
    <phoneticPr fontId="5" type="noConversion"/>
  </si>
  <si>
    <t>SW55M系列</t>
  </si>
  <si>
    <t>SW55M系列</t>
    <phoneticPr fontId="5" type="noConversion"/>
  </si>
  <si>
    <t>SW55MT001</t>
    <phoneticPr fontId="5" type="noConversion"/>
  </si>
  <si>
    <t>SW55MS001</t>
    <phoneticPr fontId="5" type="noConversion"/>
  </si>
  <si>
    <t>SW55MT002</t>
    <phoneticPr fontId="5" type="noConversion"/>
  </si>
  <si>
    <t>SW55MF102</t>
    <phoneticPr fontId="5" type="noConversion"/>
  </si>
  <si>
    <t>密封条</t>
    <phoneticPr fontId="5" type="noConversion"/>
  </si>
  <si>
    <t>55B系列</t>
    <phoneticPr fontId="5" type="noConversion"/>
  </si>
  <si>
    <t>SW55BM系列</t>
  </si>
  <si>
    <t>SW55BM系列</t>
    <phoneticPr fontId="5" type="noConversion"/>
  </si>
  <si>
    <t>SW55BMK001</t>
    <phoneticPr fontId="5" type="noConversion"/>
  </si>
  <si>
    <t>SW55BMT001</t>
    <phoneticPr fontId="5" type="noConversion"/>
  </si>
  <si>
    <t>SW55BMS001</t>
    <phoneticPr fontId="5" type="noConversion"/>
  </si>
  <si>
    <t>SW55BMT002</t>
    <phoneticPr fontId="5" type="noConversion"/>
  </si>
  <si>
    <t>60系列</t>
    <phoneticPr fontId="5" type="noConversion"/>
  </si>
  <si>
    <t>SW60MK001</t>
    <phoneticPr fontId="5" type="noConversion"/>
  </si>
  <si>
    <t>SW60MT001</t>
    <phoneticPr fontId="5" type="noConversion"/>
  </si>
  <si>
    <t>SW60MS001</t>
    <phoneticPr fontId="5" type="noConversion"/>
  </si>
  <si>
    <t>SW60MT002</t>
    <phoneticPr fontId="5" type="noConversion"/>
  </si>
  <si>
    <t>SW60M系列</t>
  </si>
  <si>
    <t>SW60M系列</t>
    <phoneticPr fontId="5" type="noConversion"/>
  </si>
  <si>
    <t>60A系列</t>
    <phoneticPr fontId="5" type="noConversion"/>
  </si>
  <si>
    <t>SW60AMK001</t>
    <phoneticPr fontId="5" type="noConversion"/>
  </si>
  <si>
    <t>SW60AMT001</t>
    <phoneticPr fontId="5" type="noConversion"/>
  </si>
  <si>
    <t>SW60AMS001</t>
    <phoneticPr fontId="5" type="noConversion"/>
  </si>
  <si>
    <t>SW60AMT002</t>
    <phoneticPr fontId="5" type="noConversion"/>
  </si>
  <si>
    <t>SW60AM系列</t>
  </si>
  <si>
    <t>SW60AM系列</t>
    <phoneticPr fontId="5" type="noConversion"/>
  </si>
  <si>
    <t>五</t>
    <phoneticPr fontId="5" type="noConversion"/>
  </si>
  <si>
    <t>65系列</t>
    <phoneticPr fontId="5" type="noConversion"/>
  </si>
  <si>
    <t>SW65M系列</t>
  </si>
  <si>
    <t>SW65M系列</t>
    <phoneticPr fontId="5" type="noConversion"/>
  </si>
  <si>
    <t>推拉窗</t>
    <phoneticPr fontId="5" type="noConversion"/>
  </si>
  <si>
    <t>70系列</t>
    <phoneticPr fontId="5" type="noConversion"/>
  </si>
  <si>
    <t>ST70K001</t>
    <phoneticPr fontId="5" type="noConversion"/>
  </si>
  <si>
    <t>ST70K002</t>
    <phoneticPr fontId="5" type="noConversion"/>
  </si>
  <si>
    <t>固定框</t>
    <phoneticPr fontId="5" type="noConversion"/>
  </si>
  <si>
    <t>ST70S001</t>
    <phoneticPr fontId="5" type="noConversion"/>
  </si>
  <si>
    <t>扇料</t>
    <phoneticPr fontId="5" type="noConversion"/>
  </si>
  <si>
    <t>ST70S002</t>
    <phoneticPr fontId="5" type="noConversion"/>
  </si>
  <si>
    <t>ST70Z001</t>
    <phoneticPr fontId="5" type="noConversion"/>
  </si>
  <si>
    <t>中梃</t>
    <phoneticPr fontId="5" type="noConversion"/>
  </si>
  <si>
    <t>ST70F005</t>
    <phoneticPr fontId="5" type="noConversion"/>
  </si>
  <si>
    <t>收口</t>
    <phoneticPr fontId="5" type="noConversion"/>
  </si>
  <si>
    <t>ST70F001</t>
    <phoneticPr fontId="5" type="noConversion"/>
  </si>
  <si>
    <t>勾企盖板</t>
    <phoneticPr fontId="5" type="noConversion"/>
  </si>
  <si>
    <t>ST70F002</t>
    <phoneticPr fontId="5" type="noConversion"/>
  </si>
  <si>
    <t>挡水板</t>
    <phoneticPr fontId="5" type="noConversion"/>
  </si>
  <si>
    <t>ST70F003</t>
    <phoneticPr fontId="5" type="noConversion"/>
  </si>
  <si>
    <t>拼接件</t>
    <phoneticPr fontId="5" type="noConversion"/>
  </si>
  <si>
    <t>ST70系列</t>
  </si>
  <si>
    <t>ST70系列</t>
    <phoneticPr fontId="5" type="noConversion"/>
  </si>
  <si>
    <t>80系列</t>
    <phoneticPr fontId="5" type="noConversion"/>
  </si>
  <si>
    <t>ST80系列</t>
  </si>
  <si>
    <t>ST80系列</t>
    <phoneticPr fontId="5" type="noConversion"/>
  </si>
  <si>
    <t>ST80K001</t>
    <phoneticPr fontId="5" type="noConversion"/>
  </si>
  <si>
    <t>ST80K002</t>
    <phoneticPr fontId="5" type="noConversion"/>
  </si>
  <si>
    <t>ST80S001</t>
    <phoneticPr fontId="5" type="noConversion"/>
  </si>
  <si>
    <t>ST80Z001</t>
    <phoneticPr fontId="5" type="noConversion"/>
  </si>
  <si>
    <t>ST80F001</t>
    <phoneticPr fontId="5" type="noConversion"/>
  </si>
  <si>
    <t>ST80F002</t>
    <phoneticPr fontId="5" type="noConversion"/>
  </si>
  <si>
    <t>ST80F003</t>
  </si>
  <si>
    <t>ST80F004</t>
  </si>
  <si>
    <t>ST80Y001</t>
    <phoneticPr fontId="5" type="noConversion"/>
  </si>
  <si>
    <t>105A系列</t>
    <phoneticPr fontId="5" type="noConversion"/>
  </si>
  <si>
    <t>ST105AK001</t>
    <phoneticPr fontId="5" type="noConversion"/>
  </si>
  <si>
    <t>ST105AK002</t>
    <phoneticPr fontId="5" type="noConversion"/>
  </si>
  <si>
    <t>上滑</t>
    <phoneticPr fontId="5" type="noConversion"/>
  </si>
  <si>
    <t>下滑</t>
    <phoneticPr fontId="5" type="noConversion"/>
  </si>
  <si>
    <t>ST105AK003</t>
    <phoneticPr fontId="5" type="noConversion"/>
  </si>
  <si>
    <t>边封</t>
    <phoneticPr fontId="5" type="noConversion"/>
  </si>
  <si>
    <t>推拉门</t>
    <phoneticPr fontId="5" type="noConversion"/>
  </si>
  <si>
    <t>ST105AK004</t>
    <phoneticPr fontId="5" type="noConversion"/>
  </si>
  <si>
    <t>下固定</t>
    <phoneticPr fontId="5" type="noConversion"/>
  </si>
  <si>
    <t>ST105AS001</t>
    <phoneticPr fontId="5" type="noConversion"/>
  </si>
  <si>
    <t>上方</t>
    <phoneticPr fontId="5" type="noConversion"/>
  </si>
  <si>
    <t>ST105AS002</t>
    <phoneticPr fontId="5" type="noConversion"/>
  </si>
  <si>
    <t>低下方</t>
    <phoneticPr fontId="5" type="noConversion"/>
  </si>
  <si>
    <t>ST105AS003</t>
    <phoneticPr fontId="5" type="noConversion"/>
  </si>
  <si>
    <t>高下方</t>
    <phoneticPr fontId="5" type="noConversion"/>
  </si>
  <si>
    <t>ST105AS004</t>
    <phoneticPr fontId="5" type="noConversion"/>
  </si>
  <si>
    <t>光企</t>
    <phoneticPr fontId="5" type="noConversion"/>
  </si>
  <si>
    <t>ST105AZ001</t>
    <phoneticPr fontId="5" type="noConversion"/>
  </si>
  <si>
    <t>中柱</t>
    <phoneticPr fontId="5" type="noConversion"/>
  </si>
  <si>
    <t>ST105AK005</t>
    <phoneticPr fontId="5" type="noConversion"/>
  </si>
  <si>
    <t>固下滑</t>
    <phoneticPr fontId="5" type="noConversion"/>
  </si>
  <si>
    <t>ST105AF001</t>
    <phoneticPr fontId="5" type="noConversion"/>
  </si>
  <si>
    <t>边封盖板</t>
    <phoneticPr fontId="5" type="noConversion"/>
  </si>
  <si>
    <t>ST105AK006</t>
    <phoneticPr fontId="5" type="noConversion"/>
  </si>
  <si>
    <t>平下滑</t>
    <phoneticPr fontId="5" type="noConversion"/>
  </si>
  <si>
    <t>ST105AY001</t>
    <phoneticPr fontId="5" type="noConversion"/>
  </si>
  <si>
    <t>压线</t>
    <phoneticPr fontId="5" type="noConversion"/>
  </si>
  <si>
    <t>ST105AF002</t>
    <phoneticPr fontId="5" type="noConversion"/>
  </si>
  <si>
    <t>勾企盖板</t>
    <phoneticPr fontId="5" type="noConversion"/>
  </si>
  <si>
    <t>ST105A系列</t>
  </si>
  <si>
    <t>ST105A系列</t>
    <phoneticPr fontId="5" type="noConversion"/>
  </si>
  <si>
    <t>一</t>
    <phoneticPr fontId="5" type="noConversion"/>
  </si>
  <si>
    <t>70系列</t>
    <phoneticPr fontId="5" type="noConversion"/>
  </si>
  <si>
    <t>ST70MK001</t>
    <phoneticPr fontId="5" type="noConversion"/>
  </si>
  <si>
    <t>边框</t>
    <phoneticPr fontId="5" type="noConversion"/>
  </si>
  <si>
    <t>ST70MK002</t>
    <phoneticPr fontId="5" type="noConversion"/>
  </si>
  <si>
    <t>扇料</t>
    <phoneticPr fontId="5" type="noConversion"/>
  </si>
  <si>
    <t>ST70MS001</t>
    <phoneticPr fontId="5" type="noConversion"/>
  </si>
  <si>
    <t>收口</t>
    <phoneticPr fontId="5" type="noConversion"/>
  </si>
  <si>
    <t>ST70MS002</t>
    <phoneticPr fontId="5" type="noConversion"/>
  </si>
  <si>
    <t>ST70MZ001</t>
    <phoneticPr fontId="5" type="noConversion"/>
  </si>
  <si>
    <t>中梃</t>
    <phoneticPr fontId="5" type="noConversion"/>
  </si>
  <si>
    <t>ST70F001</t>
    <phoneticPr fontId="5" type="noConversion"/>
  </si>
  <si>
    <t>ST70M系列</t>
  </si>
  <si>
    <t>ST70M系列</t>
    <phoneticPr fontId="5" type="noConversion"/>
  </si>
  <si>
    <t>80系列</t>
    <phoneticPr fontId="5" type="noConversion"/>
  </si>
  <si>
    <t>ST80MK001</t>
    <phoneticPr fontId="5" type="noConversion"/>
  </si>
  <si>
    <t>ST80MS001</t>
    <phoneticPr fontId="5" type="noConversion"/>
  </si>
  <si>
    <t>ST80MF001</t>
    <phoneticPr fontId="5" type="noConversion"/>
  </si>
  <si>
    <t>ST80MK002</t>
    <phoneticPr fontId="5" type="noConversion"/>
  </si>
  <si>
    <t>ST80MF002</t>
    <phoneticPr fontId="5" type="noConversion"/>
  </si>
  <si>
    <t>角码</t>
    <phoneticPr fontId="5" type="noConversion"/>
  </si>
  <si>
    <t>ST80M系列</t>
  </si>
  <si>
    <t>ST80M系列</t>
    <phoneticPr fontId="5" type="noConversion"/>
  </si>
  <si>
    <t>105系列</t>
    <phoneticPr fontId="5" type="noConversion"/>
  </si>
  <si>
    <t>ST105AMK001</t>
    <phoneticPr fontId="5" type="noConversion"/>
  </si>
  <si>
    <t>ST105AMK002</t>
    <phoneticPr fontId="5" type="noConversion"/>
  </si>
  <si>
    <t>上滑</t>
    <phoneticPr fontId="5" type="noConversion"/>
  </si>
  <si>
    <t>下滑</t>
    <phoneticPr fontId="5" type="noConversion"/>
  </si>
  <si>
    <t>ST105AMK003</t>
    <phoneticPr fontId="5" type="noConversion"/>
  </si>
  <si>
    <t>边封</t>
    <phoneticPr fontId="5" type="noConversion"/>
  </si>
  <si>
    <t>ST105AMS001</t>
    <phoneticPr fontId="5" type="noConversion"/>
  </si>
  <si>
    <t>ST105AMS002</t>
    <phoneticPr fontId="5" type="noConversion"/>
  </si>
  <si>
    <t>下方</t>
    <phoneticPr fontId="5" type="noConversion"/>
  </si>
  <si>
    <t>ST105AMS003</t>
    <phoneticPr fontId="5" type="noConversion"/>
  </si>
  <si>
    <t>ST105AMF001</t>
    <phoneticPr fontId="5" type="noConversion"/>
  </si>
  <si>
    <t>ST105AMK005</t>
    <phoneticPr fontId="5" type="noConversion"/>
  </si>
  <si>
    <t>固上滑</t>
    <phoneticPr fontId="5" type="noConversion"/>
  </si>
  <si>
    <t>ST105AMK004</t>
    <phoneticPr fontId="5" type="noConversion"/>
  </si>
  <si>
    <t>上固定</t>
    <phoneticPr fontId="5" type="noConversion"/>
  </si>
  <si>
    <t>ST105AMF002</t>
    <phoneticPr fontId="5" type="noConversion"/>
  </si>
  <si>
    <t>115系列</t>
    <phoneticPr fontId="5" type="noConversion"/>
  </si>
  <si>
    <t>ST115MK001</t>
    <phoneticPr fontId="5" type="noConversion"/>
  </si>
  <si>
    <t>ST115MK002</t>
    <phoneticPr fontId="5" type="noConversion"/>
  </si>
  <si>
    <t>ST115MK003</t>
    <phoneticPr fontId="5" type="noConversion"/>
  </si>
  <si>
    <t>ST115MS001</t>
    <phoneticPr fontId="5" type="noConversion"/>
  </si>
  <si>
    <t>上下方</t>
    <phoneticPr fontId="5" type="noConversion"/>
  </si>
  <si>
    <t>ST115MS002</t>
    <phoneticPr fontId="5" type="noConversion"/>
  </si>
  <si>
    <t>光勾企</t>
    <phoneticPr fontId="5" type="noConversion"/>
  </si>
  <si>
    <t>ST115MS003</t>
    <phoneticPr fontId="5" type="noConversion"/>
  </si>
  <si>
    <t>加强光勾企</t>
    <phoneticPr fontId="5" type="noConversion"/>
  </si>
  <si>
    <t>ST115MF001</t>
    <phoneticPr fontId="5" type="noConversion"/>
  </si>
  <si>
    <t>ST115MK004</t>
    <phoneticPr fontId="5" type="noConversion"/>
  </si>
  <si>
    <t>ST115MK005</t>
    <phoneticPr fontId="5" type="noConversion"/>
  </si>
  <si>
    <t>ST115MZ001</t>
    <phoneticPr fontId="5" type="noConversion"/>
  </si>
  <si>
    <t>ST115MF003</t>
    <phoneticPr fontId="5" type="noConversion"/>
  </si>
  <si>
    <t>ST115MF002</t>
    <phoneticPr fontId="5" type="noConversion"/>
  </si>
  <si>
    <t>ST115MY001</t>
    <phoneticPr fontId="5" type="noConversion"/>
  </si>
  <si>
    <t>ST105AM系列</t>
  </si>
  <si>
    <t>ST105AM系列</t>
    <phoneticPr fontId="5" type="noConversion"/>
  </si>
  <si>
    <t>ST115M系列</t>
  </si>
  <si>
    <t>ST115M系列</t>
    <phoneticPr fontId="5" type="noConversion"/>
  </si>
  <si>
    <t>提升推拉门</t>
    <phoneticPr fontId="5" type="noConversion"/>
  </si>
  <si>
    <t>128系列</t>
    <phoneticPr fontId="5" type="noConversion"/>
  </si>
  <si>
    <t>ST128MK001</t>
    <phoneticPr fontId="5" type="noConversion"/>
  </si>
  <si>
    <t>ST128MK002</t>
    <phoneticPr fontId="5" type="noConversion"/>
  </si>
  <si>
    <t>ST128MK003</t>
    <phoneticPr fontId="5" type="noConversion"/>
  </si>
  <si>
    <t>ST128MS001</t>
    <phoneticPr fontId="5" type="noConversion"/>
  </si>
  <si>
    <t>ST128MF001</t>
    <phoneticPr fontId="5" type="noConversion"/>
  </si>
  <si>
    <t>ST128MF002</t>
    <phoneticPr fontId="5" type="noConversion"/>
  </si>
  <si>
    <t>盖板</t>
    <phoneticPr fontId="5" type="noConversion"/>
  </si>
  <si>
    <t>ST128MF003</t>
    <phoneticPr fontId="5" type="noConversion"/>
  </si>
  <si>
    <t>ST128MY001</t>
    <phoneticPr fontId="5" type="noConversion"/>
  </si>
  <si>
    <t>ST128MK004</t>
    <phoneticPr fontId="5" type="noConversion"/>
  </si>
  <si>
    <t>ST128MK005</t>
    <phoneticPr fontId="5" type="noConversion"/>
  </si>
  <si>
    <t>固定框</t>
    <phoneticPr fontId="5" type="noConversion"/>
  </si>
  <si>
    <t>ST128MZ001</t>
    <phoneticPr fontId="5" type="noConversion"/>
  </si>
  <si>
    <t>ST128MF004</t>
    <phoneticPr fontId="5" type="noConversion"/>
  </si>
  <si>
    <t>下滑轨道</t>
    <phoneticPr fontId="5" type="noConversion"/>
  </si>
  <si>
    <t>ST128MY002</t>
    <phoneticPr fontId="5" type="noConversion"/>
  </si>
  <si>
    <t>ST128M系列</t>
  </si>
  <si>
    <t>ST128M系列</t>
    <phoneticPr fontId="5" type="noConversion"/>
  </si>
  <si>
    <t>非断桥隔热铝型材</t>
    <phoneticPr fontId="5" type="noConversion"/>
  </si>
  <si>
    <t>地弹门</t>
    <phoneticPr fontId="5" type="noConversion"/>
  </si>
  <si>
    <t>63系列</t>
    <phoneticPr fontId="5" type="noConversion"/>
  </si>
  <si>
    <t>SW63MK001</t>
    <phoneticPr fontId="5" type="noConversion"/>
  </si>
  <si>
    <t>门框</t>
    <phoneticPr fontId="5" type="noConversion"/>
  </si>
  <si>
    <t>SW63MS001</t>
    <phoneticPr fontId="5" type="noConversion"/>
  </si>
  <si>
    <t>上横</t>
    <phoneticPr fontId="5" type="noConversion"/>
  </si>
  <si>
    <t>SW63MS002</t>
    <phoneticPr fontId="5" type="noConversion"/>
  </si>
  <si>
    <t>下横</t>
    <phoneticPr fontId="5" type="noConversion"/>
  </si>
  <si>
    <t>SW63MS003</t>
    <phoneticPr fontId="5" type="noConversion"/>
  </si>
  <si>
    <t>门扇</t>
    <phoneticPr fontId="5" type="noConversion"/>
  </si>
  <si>
    <t>SW63MK002</t>
    <phoneticPr fontId="5" type="noConversion"/>
  </si>
  <si>
    <t>SW63MS004</t>
    <phoneticPr fontId="5" type="noConversion"/>
  </si>
  <si>
    <t>SW63MF001</t>
    <phoneticPr fontId="5" type="noConversion"/>
  </si>
  <si>
    <t>SW63MY001</t>
    <phoneticPr fontId="5" type="noConversion"/>
  </si>
  <si>
    <t>SW63MY002</t>
    <phoneticPr fontId="5" type="noConversion"/>
  </si>
  <si>
    <t>SW63M系列</t>
  </si>
  <si>
    <t>SW63M系列</t>
    <phoneticPr fontId="5" type="noConversion"/>
  </si>
  <si>
    <t>八</t>
    <phoneticPr fontId="5" type="noConversion"/>
  </si>
  <si>
    <t>普铝50系列</t>
    <phoneticPr fontId="5" type="noConversion"/>
  </si>
  <si>
    <t>SW50K001</t>
    <phoneticPr fontId="5" type="noConversion"/>
  </si>
  <si>
    <t>窗框</t>
    <phoneticPr fontId="5" type="noConversion"/>
  </si>
  <si>
    <t>SW50K002</t>
    <phoneticPr fontId="5" type="noConversion"/>
  </si>
  <si>
    <t>SW50S001</t>
    <phoneticPr fontId="5" type="noConversion"/>
  </si>
  <si>
    <t>窗扇</t>
    <phoneticPr fontId="5" type="noConversion"/>
  </si>
  <si>
    <t>SW50Z001</t>
    <phoneticPr fontId="5" type="noConversion"/>
  </si>
  <si>
    <t>SW50Z002</t>
    <phoneticPr fontId="5" type="noConversion"/>
  </si>
  <si>
    <t>加强中梃</t>
    <phoneticPr fontId="5" type="noConversion"/>
  </si>
  <si>
    <t>SW50K101</t>
    <phoneticPr fontId="5" type="noConversion"/>
  </si>
  <si>
    <t>转接料</t>
    <phoneticPr fontId="5" type="noConversion"/>
  </si>
  <si>
    <t>SW50K102</t>
    <phoneticPr fontId="5" type="noConversion"/>
  </si>
  <si>
    <t>SW50F001</t>
    <phoneticPr fontId="5" type="noConversion"/>
  </si>
  <si>
    <t>SW50F002</t>
    <phoneticPr fontId="5" type="noConversion"/>
  </si>
  <si>
    <t>SW50F003</t>
    <phoneticPr fontId="5" type="noConversion"/>
  </si>
  <si>
    <t>SW50F004</t>
  </si>
  <si>
    <t>中梃连接件</t>
    <phoneticPr fontId="5" type="noConversion"/>
  </si>
  <si>
    <t>SW50F005</t>
  </si>
  <si>
    <t>转角</t>
    <phoneticPr fontId="5" type="noConversion"/>
  </si>
  <si>
    <t>SW50Y001</t>
    <phoneticPr fontId="5" type="noConversion"/>
  </si>
  <si>
    <t>SW50Z003</t>
    <phoneticPr fontId="5" type="noConversion"/>
  </si>
  <si>
    <t>SW50F006</t>
    <phoneticPr fontId="5" type="noConversion"/>
  </si>
  <si>
    <t>拼管</t>
    <phoneticPr fontId="5" type="noConversion"/>
  </si>
  <si>
    <t>SW50Y002</t>
    <phoneticPr fontId="5" type="noConversion"/>
  </si>
  <si>
    <t>SW50Y003</t>
  </si>
  <si>
    <t>SW50Y004</t>
  </si>
  <si>
    <t>SW50系列</t>
  </si>
  <si>
    <t>SW50系列</t>
    <phoneticPr fontId="5" type="noConversion"/>
  </si>
  <si>
    <t>六</t>
    <phoneticPr fontId="5" type="noConversion"/>
  </si>
  <si>
    <t>SW50MK001</t>
    <phoneticPr fontId="5" type="noConversion"/>
  </si>
  <si>
    <t>SW50MS001</t>
    <phoneticPr fontId="5" type="noConversion"/>
  </si>
  <si>
    <t>SW50MZ001</t>
    <phoneticPr fontId="5" type="noConversion"/>
  </si>
  <si>
    <t>SW50MF001</t>
    <phoneticPr fontId="5" type="noConversion"/>
  </si>
  <si>
    <t>SW50MF002</t>
    <phoneticPr fontId="5" type="noConversion"/>
  </si>
  <si>
    <t>SW50MZ101</t>
    <phoneticPr fontId="5" type="noConversion"/>
  </si>
  <si>
    <t>假中梃</t>
    <phoneticPr fontId="5" type="noConversion"/>
  </si>
  <si>
    <t>SW50M系列</t>
  </si>
  <si>
    <t>SW50M系列</t>
    <phoneticPr fontId="5" type="noConversion"/>
  </si>
  <si>
    <t>普铝90系列</t>
    <phoneticPr fontId="5" type="noConversion"/>
  </si>
  <si>
    <t>ST90MK001</t>
    <phoneticPr fontId="5" type="noConversion"/>
  </si>
  <si>
    <t>ST90MK002</t>
    <phoneticPr fontId="5" type="noConversion"/>
  </si>
  <si>
    <t>ST90MK003</t>
    <phoneticPr fontId="5" type="noConversion"/>
  </si>
  <si>
    <t>ST90MS001</t>
    <phoneticPr fontId="5" type="noConversion"/>
  </si>
  <si>
    <t>ST90MS002</t>
    <phoneticPr fontId="5" type="noConversion"/>
  </si>
  <si>
    <t>ST90MS003</t>
    <phoneticPr fontId="5" type="noConversion"/>
  </si>
  <si>
    <t>ST90MS004</t>
    <phoneticPr fontId="5" type="noConversion"/>
  </si>
  <si>
    <t>ST90MS005</t>
    <phoneticPr fontId="5" type="noConversion"/>
  </si>
  <si>
    <t>勾企</t>
    <phoneticPr fontId="5" type="noConversion"/>
  </si>
  <si>
    <t>ST90MF001</t>
    <phoneticPr fontId="5" type="noConversion"/>
  </si>
  <si>
    <t>ST90MK004</t>
    <phoneticPr fontId="5" type="noConversion"/>
  </si>
  <si>
    <t>ST90MK005</t>
    <phoneticPr fontId="5" type="noConversion"/>
  </si>
  <si>
    <t>ST90MK006</t>
    <phoneticPr fontId="5" type="noConversion"/>
  </si>
  <si>
    <t>ST90MK007</t>
    <phoneticPr fontId="5" type="noConversion"/>
  </si>
  <si>
    <t>ST90MY001</t>
    <phoneticPr fontId="5" type="noConversion"/>
  </si>
  <si>
    <t>ST90MF002</t>
    <phoneticPr fontId="5" type="noConversion"/>
  </si>
  <si>
    <t>边封插板</t>
    <phoneticPr fontId="5" type="noConversion"/>
  </si>
  <si>
    <t>ST90M系列</t>
  </si>
  <si>
    <t>ST90M系列</t>
    <phoneticPr fontId="5" type="noConversion"/>
  </si>
  <si>
    <t>二</t>
    <phoneticPr fontId="5" type="noConversion"/>
  </si>
  <si>
    <t>普铝120系列</t>
    <phoneticPr fontId="5" type="noConversion"/>
  </si>
  <si>
    <t>ST120MK001</t>
    <phoneticPr fontId="5" type="noConversion"/>
  </si>
  <si>
    <t>ST120MK002</t>
    <phoneticPr fontId="5" type="noConversion"/>
  </si>
  <si>
    <t>ST120MK003</t>
    <phoneticPr fontId="5" type="noConversion"/>
  </si>
  <si>
    <t>ST120MS001</t>
    <phoneticPr fontId="5" type="noConversion"/>
  </si>
  <si>
    <t>ST120MF001</t>
    <phoneticPr fontId="5" type="noConversion"/>
  </si>
  <si>
    <t>ST120MF002</t>
  </si>
  <si>
    <t>ST120MY001</t>
    <phoneticPr fontId="5" type="noConversion"/>
  </si>
  <si>
    <t>方管</t>
    <phoneticPr fontId="5" type="noConversion"/>
  </si>
  <si>
    <t>ST120MF004</t>
    <phoneticPr fontId="5" type="noConversion"/>
  </si>
  <si>
    <t>ST120MF005</t>
    <phoneticPr fontId="5" type="noConversion"/>
  </si>
  <si>
    <t>压座</t>
    <phoneticPr fontId="5" type="noConversion"/>
  </si>
  <si>
    <t>ST120M系列</t>
  </si>
  <si>
    <t>ST120M系列</t>
    <phoneticPr fontId="5" type="noConversion"/>
  </si>
  <si>
    <t>普铝64系列</t>
    <phoneticPr fontId="5" type="noConversion"/>
  </si>
  <si>
    <t>SW46MK001</t>
    <phoneticPr fontId="5" type="noConversion"/>
  </si>
  <si>
    <t>框料</t>
    <phoneticPr fontId="5" type="noConversion"/>
  </si>
  <si>
    <t>SW46MS001</t>
    <phoneticPr fontId="5" type="noConversion"/>
  </si>
  <si>
    <t>SW46MS002</t>
    <phoneticPr fontId="5" type="noConversion"/>
  </si>
  <si>
    <t>SW46MS003</t>
    <phoneticPr fontId="5" type="noConversion"/>
  </si>
  <si>
    <t>边扇</t>
    <phoneticPr fontId="5" type="noConversion"/>
  </si>
  <si>
    <t>SW46MS004</t>
    <phoneticPr fontId="5" type="noConversion"/>
  </si>
  <si>
    <t>SW46MF001</t>
    <phoneticPr fontId="5" type="noConversion"/>
  </si>
  <si>
    <t>SW46MY001</t>
    <phoneticPr fontId="5" type="noConversion"/>
  </si>
  <si>
    <t>SW46M系列</t>
  </si>
  <si>
    <t>SW46M系列</t>
    <phoneticPr fontId="5" type="noConversion"/>
  </si>
  <si>
    <t>70系列扣减尺寸</t>
    <phoneticPr fontId="5" type="noConversion"/>
  </si>
  <si>
    <t>80系列扣减尺寸</t>
    <phoneticPr fontId="5" type="noConversion"/>
  </si>
  <si>
    <t>105系列扣减尺寸</t>
    <phoneticPr fontId="5" type="noConversion"/>
  </si>
  <si>
    <t>上滑</t>
    <phoneticPr fontId="9" type="noConversion"/>
  </si>
  <si>
    <t>上方</t>
    <phoneticPr fontId="9" type="noConversion"/>
  </si>
  <si>
    <t>密封毛条</t>
    <phoneticPr fontId="5" type="noConversion"/>
  </si>
  <si>
    <t>密封毛条</t>
    <phoneticPr fontId="5" type="noConversion"/>
  </si>
  <si>
    <t>m</t>
    <phoneticPr fontId="5" type="noConversion"/>
  </si>
  <si>
    <t>光企</t>
    <phoneticPr fontId="9" type="noConversion"/>
  </si>
  <si>
    <t>勾企</t>
    <phoneticPr fontId="9" type="noConversion"/>
  </si>
  <si>
    <t>推拉窗五金</t>
    <phoneticPr fontId="5" type="noConversion"/>
  </si>
  <si>
    <t>推拉门五金</t>
    <phoneticPr fontId="5" type="noConversion"/>
  </si>
  <si>
    <t>115系列扣减尺寸</t>
    <phoneticPr fontId="5" type="noConversion"/>
  </si>
  <si>
    <t>普铝90系列扣减尺寸</t>
    <phoneticPr fontId="5" type="noConversion"/>
  </si>
  <si>
    <t>扇</t>
    <phoneticPr fontId="5" type="noConversion"/>
  </si>
  <si>
    <t>左下方</t>
    <phoneticPr fontId="5" type="noConversion"/>
  </si>
  <si>
    <t>右下方</t>
    <phoneticPr fontId="5" type="noConversion"/>
  </si>
  <si>
    <t>上方</t>
    <phoneticPr fontId="9" type="noConversion"/>
  </si>
  <si>
    <t>下方</t>
    <phoneticPr fontId="5" type="noConversion"/>
  </si>
  <si>
    <t>开启玻璃</t>
    <phoneticPr fontId="9" type="noConversion"/>
  </si>
  <si>
    <t>固定玻璃</t>
    <phoneticPr fontId="9" type="noConversion"/>
  </si>
  <si>
    <t>128系列扣减尺寸</t>
    <phoneticPr fontId="5" type="noConversion"/>
  </si>
  <si>
    <t>120系列扣减尺寸</t>
    <phoneticPr fontId="5" type="noConversion"/>
  </si>
  <si>
    <t>固定玻璃</t>
    <phoneticPr fontId="5" type="noConversion"/>
  </si>
  <si>
    <t>推拉门五金</t>
    <phoneticPr fontId="5" type="noConversion"/>
  </si>
  <si>
    <t>单扇</t>
    <phoneticPr fontId="5" type="noConversion"/>
  </si>
  <si>
    <t>双扇</t>
    <phoneticPr fontId="5" type="noConversion"/>
  </si>
  <si>
    <t>提升推拉门五金</t>
  </si>
  <si>
    <t>提升推拉门五金</t>
    <phoneticPr fontId="5" type="noConversion"/>
  </si>
  <si>
    <t>密封胶条</t>
    <phoneticPr fontId="5" type="noConversion"/>
  </si>
  <si>
    <t>55系列扣减尺寸</t>
    <phoneticPr fontId="5" type="noConversion"/>
  </si>
  <si>
    <t>60系列扣减尺寸</t>
    <phoneticPr fontId="5" type="noConversion"/>
  </si>
  <si>
    <t>65系列扣减尺寸</t>
    <phoneticPr fontId="5" type="noConversion"/>
  </si>
  <si>
    <t>70系列扣减尺寸</t>
    <phoneticPr fontId="5" type="noConversion"/>
  </si>
  <si>
    <t>75系列扣减尺寸</t>
    <phoneticPr fontId="5" type="noConversion"/>
  </si>
  <si>
    <t>横料</t>
    <phoneticPr fontId="9" type="noConversion"/>
  </si>
  <si>
    <t>普铝50系列扣减尺寸</t>
    <phoneticPr fontId="5" type="noConversion"/>
  </si>
  <si>
    <t>55B(551)系列扣减尺寸</t>
    <phoneticPr fontId="5" type="noConversion"/>
  </si>
  <si>
    <t>外平开窗五金</t>
    <phoneticPr fontId="5" type="noConversion"/>
  </si>
  <si>
    <t>上悬窗五金</t>
  </si>
  <si>
    <t>上悬窗五金</t>
    <phoneticPr fontId="5" type="noConversion"/>
  </si>
  <si>
    <t>60A(601)系列扣减尺寸</t>
    <phoneticPr fontId="5" type="noConversion"/>
  </si>
  <si>
    <t>SW55BMF001</t>
    <phoneticPr fontId="5" type="noConversion"/>
  </si>
  <si>
    <t>SW65AMK001</t>
    <phoneticPr fontId="5" type="noConversion"/>
  </si>
  <si>
    <t>SW65AMT001</t>
    <phoneticPr fontId="5" type="noConversion"/>
  </si>
  <si>
    <t>SW65AMS001</t>
    <phoneticPr fontId="5" type="noConversion"/>
  </si>
  <si>
    <t>SW65AMT002</t>
    <phoneticPr fontId="5" type="noConversion"/>
  </si>
  <si>
    <t>.</t>
    <phoneticPr fontId="5" type="noConversion"/>
  </si>
  <si>
    <t>平开门五金</t>
    <phoneticPr fontId="5" type="noConversion"/>
  </si>
  <si>
    <t>平开门五金</t>
    <phoneticPr fontId="5" type="noConversion"/>
  </si>
  <si>
    <t>转向框</t>
    <phoneticPr fontId="5" type="noConversion"/>
  </si>
  <si>
    <t>固定玻璃</t>
    <phoneticPr fontId="9" type="noConversion"/>
  </si>
  <si>
    <t>普铝50系列扣减尺寸</t>
    <phoneticPr fontId="5" type="noConversion"/>
  </si>
  <si>
    <t>宽扣减</t>
    <phoneticPr fontId="5" type="noConversion"/>
  </si>
  <si>
    <t>高扣减</t>
    <phoneticPr fontId="5" type="noConversion"/>
  </si>
  <si>
    <t>宽扣减</t>
    <phoneticPr fontId="5" type="noConversion"/>
  </si>
  <si>
    <t>高扣减</t>
    <phoneticPr fontId="5" type="noConversion"/>
  </si>
  <si>
    <t>外平开窗五金</t>
    <phoneticPr fontId="5" type="noConversion"/>
  </si>
  <si>
    <t>门窗面积W*H-0.9*W1</t>
    <phoneticPr fontId="5" type="noConversion"/>
  </si>
  <si>
    <r>
      <t>600</t>
    </r>
    <r>
      <rPr>
        <sz val="10"/>
        <rFont val="宋体"/>
        <family val="3"/>
        <charset val="134"/>
      </rPr>
      <t>或</t>
    </r>
    <r>
      <rPr>
        <sz val="10"/>
        <rFont val="Arial"/>
        <family val="2"/>
      </rPr>
      <t>900</t>
    </r>
    <phoneticPr fontId="5" type="noConversion"/>
  </si>
  <si>
    <t>门窗面积W*H-W1*H3</t>
    <phoneticPr fontId="5" type="noConversion"/>
  </si>
  <si>
    <r>
      <t xml:space="preserve"> 1200</t>
    </r>
    <r>
      <rPr>
        <sz val="10"/>
        <rFont val="宋体"/>
        <family val="3"/>
        <charset val="134"/>
      </rPr>
      <t>≤</t>
    </r>
    <r>
      <rPr>
        <sz val="10"/>
        <rFont val="Arial"/>
        <family val="2"/>
      </rPr>
      <t>W</t>
    </r>
    <r>
      <rPr>
        <sz val="10"/>
        <rFont val="宋体"/>
        <family val="3"/>
        <charset val="134"/>
      </rPr>
      <t>≤</t>
    </r>
    <r>
      <rPr>
        <sz val="10"/>
        <rFont val="Arial"/>
        <family val="2"/>
      </rPr>
      <t>1500,W1=W2;1600</t>
    </r>
    <r>
      <rPr>
        <sz val="10"/>
        <rFont val="宋体"/>
        <family val="3"/>
        <charset val="134"/>
      </rPr>
      <t>≤</t>
    </r>
    <r>
      <rPr>
        <sz val="10"/>
        <rFont val="Arial"/>
        <family val="2"/>
      </rPr>
      <t>W</t>
    </r>
    <r>
      <rPr>
        <sz val="10"/>
        <rFont val="宋体"/>
        <family val="3"/>
        <charset val="134"/>
      </rPr>
      <t>≤</t>
    </r>
    <r>
      <rPr>
        <sz val="10"/>
        <rFont val="Arial"/>
        <family val="2"/>
      </rPr>
      <t>2000,W1=650/700</t>
    </r>
    <phoneticPr fontId="5" type="noConversion"/>
  </si>
  <si>
    <t>W1=650/700</t>
    <phoneticPr fontId="5" type="noConversion"/>
  </si>
  <si>
    <r>
      <rPr>
        <sz val="10"/>
        <rFont val="宋体"/>
        <family val="3"/>
        <charset val="134"/>
      </rPr>
      <t>卧室</t>
    </r>
    <r>
      <rPr>
        <sz val="10"/>
        <rFont val="Arial"/>
        <family val="2"/>
      </rPr>
      <t>500</t>
    </r>
    <r>
      <rPr>
        <sz val="10"/>
        <rFont val="宋体"/>
        <family val="3"/>
        <charset val="134"/>
      </rPr>
      <t>，厨房、卫生间</t>
    </r>
    <r>
      <rPr>
        <sz val="10"/>
        <rFont val="Arial"/>
        <family val="2"/>
      </rPr>
      <t>400</t>
    </r>
    <phoneticPr fontId="5" type="noConversion"/>
  </si>
  <si>
    <r>
      <t>1200</t>
    </r>
    <r>
      <rPr>
        <sz val="10"/>
        <rFont val="宋体"/>
        <family val="3"/>
        <charset val="134"/>
      </rPr>
      <t>≤</t>
    </r>
    <r>
      <rPr>
        <sz val="10"/>
        <rFont val="Arial"/>
        <family val="2"/>
      </rPr>
      <t>W</t>
    </r>
    <r>
      <rPr>
        <sz val="10"/>
        <rFont val="宋体"/>
        <family val="3"/>
        <charset val="134"/>
      </rPr>
      <t>≤</t>
    </r>
    <r>
      <rPr>
        <sz val="10"/>
        <rFont val="Arial"/>
        <family val="2"/>
      </rPr>
      <t>1500,W1=W2;1600</t>
    </r>
    <r>
      <rPr>
        <sz val="10"/>
        <rFont val="宋体"/>
        <family val="3"/>
        <charset val="134"/>
      </rPr>
      <t>≤</t>
    </r>
    <r>
      <rPr>
        <sz val="10"/>
        <rFont val="Arial"/>
        <family val="2"/>
      </rPr>
      <t>W</t>
    </r>
    <r>
      <rPr>
        <sz val="10"/>
        <rFont val="宋体"/>
        <family val="3"/>
        <charset val="134"/>
      </rPr>
      <t>≤</t>
    </r>
    <r>
      <rPr>
        <sz val="10"/>
        <rFont val="Arial"/>
        <family val="2"/>
      </rPr>
      <t>2000,W1=650/700</t>
    </r>
    <phoneticPr fontId="5" type="noConversion"/>
  </si>
  <si>
    <r>
      <rPr>
        <sz val="10"/>
        <rFont val="宋体"/>
        <family val="3"/>
        <charset val="134"/>
      </rPr>
      <t>卧室</t>
    </r>
    <r>
      <rPr>
        <sz val="10"/>
        <rFont val="Arial"/>
        <family val="2"/>
      </rPr>
      <t>500</t>
    </r>
    <r>
      <rPr>
        <sz val="10"/>
        <rFont val="宋体"/>
        <family val="3"/>
        <charset val="134"/>
      </rPr>
      <t>，厨房卫生间</t>
    </r>
    <r>
      <rPr>
        <sz val="10"/>
        <rFont val="Arial"/>
        <family val="2"/>
      </rPr>
      <t>400</t>
    </r>
    <phoneticPr fontId="5" type="noConversion"/>
  </si>
  <si>
    <t>门窗面积</t>
    <phoneticPr fontId="5" type="noConversion"/>
  </si>
  <si>
    <t>门窗周长</t>
    <phoneticPr fontId="5" type="noConversion"/>
  </si>
  <si>
    <t>外平开窗五金</t>
  </si>
  <si>
    <t>拼樘料</t>
    <phoneticPr fontId="5" type="noConversion"/>
  </si>
  <si>
    <t>弧形</t>
    <phoneticPr fontId="5" type="noConversion"/>
  </si>
  <si>
    <t>型材种类</t>
    <phoneticPr fontId="5" type="noConversion"/>
  </si>
  <si>
    <t>型材种类</t>
    <phoneticPr fontId="5" type="noConversion"/>
  </si>
  <si>
    <t>断桥隔热铝型材</t>
  </si>
  <si>
    <t>断桥隔热铝型材</t>
    <phoneticPr fontId="9" type="noConversion"/>
  </si>
  <si>
    <t>非断桥隔热铝型材</t>
  </si>
  <si>
    <t>阳极氧化铝型材</t>
  </si>
  <si>
    <t>原型：</t>
    <phoneticPr fontId="5" type="noConversion"/>
  </si>
  <si>
    <t>编号：</t>
    <phoneticPr fontId="5" type="noConversion"/>
  </si>
  <si>
    <t>NC</t>
    <phoneticPr fontId="9" type="noConversion"/>
  </si>
  <si>
    <t>原型：</t>
    <phoneticPr fontId="9" type="noConversion"/>
  </si>
  <si>
    <t>固定玻璃</t>
    <phoneticPr fontId="9" type="noConversion"/>
  </si>
  <si>
    <t>固定玻璃</t>
    <phoneticPr fontId="9" type="noConversion"/>
  </si>
  <si>
    <t>内开窗4</t>
    <phoneticPr fontId="9" type="noConversion"/>
  </si>
  <si>
    <t>内开窗5</t>
    <phoneticPr fontId="9" type="noConversion"/>
  </si>
  <si>
    <t>固定玻璃</t>
    <phoneticPr fontId="9" type="noConversion"/>
  </si>
  <si>
    <t>内开窗6</t>
    <phoneticPr fontId="9" type="noConversion"/>
  </si>
  <si>
    <t>内开窗7</t>
    <phoneticPr fontId="9" type="noConversion"/>
  </si>
  <si>
    <t>内开窗8</t>
    <phoneticPr fontId="9" type="noConversion"/>
  </si>
  <si>
    <t>内开窗9</t>
    <phoneticPr fontId="9" type="noConversion"/>
  </si>
  <si>
    <t>内开窗10</t>
    <phoneticPr fontId="9" type="noConversion"/>
  </si>
  <si>
    <t>内开窗11</t>
    <phoneticPr fontId="9" type="noConversion"/>
  </si>
  <si>
    <t>内开窗12</t>
    <phoneticPr fontId="9" type="noConversion"/>
  </si>
  <si>
    <t>固定玻璃</t>
    <phoneticPr fontId="9" type="noConversion"/>
  </si>
  <si>
    <t>公式</t>
    <phoneticPr fontId="9" type="noConversion"/>
  </si>
  <si>
    <t>W-2a</t>
    <phoneticPr fontId="9" type="noConversion"/>
  </si>
  <si>
    <t>H-2a</t>
    <phoneticPr fontId="9" type="noConversion"/>
  </si>
  <si>
    <t>H-2a</t>
    <phoneticPr fontId="9" type="noConversion"/>
  </si>
  <si>
    <t>H1+H2-8</t>
    <phoneticPr fontId="9" type="noConversion"/>
  </si>
  <si>
    <t>一级分项</t>
    <phoneticPr fontId="5" type="noConversion"/>
  </si>
  <si>
    <t>二级分项</t>
    <phoneticPr fontId="5" type="noConversion"/>
  </si>
  <si>
    <t>铝合金窗</t>
    <phoneticPr fontId="5" type="noConversion"/>
  </si>
  <si>
    <t>铝合金门</t>
    <phoneticPr fontId="5" type="noConversion"/>
  </si>
  <si>
    <t>类别</t>
    <phoneticPr fontId="5" type="noConversion"/>
  </si>
  <si>
    <t>门窗汇总表</t>
    <phoneticPr fontId="5" type="noConversion"/>
  </si>
  <si>
    <t>原型：</t>
    <phoneticPr fontId="5" type="noConversion"/>
  </si>
  <si>
    <t>TC</t>
    <phoneticPr fontId="9" type="noConversion"/>
  </si>
  <si>
    <t>公式</t>
    <phoneticPr fontId="5" type="noConversion"/>
  </si>
  <si>
    <t>H-2a</t>
    <phoneticPr fontId="9" type="noConversion"/>
  </si>
  <si>
    <t>推拉窗2</t>
    <phoneticPr fontId="5" type="noConversion"/>
  </si>
  <si>
    <t>公式</t>
    <phoneticPr fontId="9" type="noConversion"/>
  </si>
  <si>
    <t>玻璃</t>
    <phoneticPr fontId="9" type="noConversion"/>
  </si>
  <si>
    <t>左下方</t>
    <phoneticPr fontId="5" type="noConversion"/>
  </si>
  <si>
    <t>右下方</t>
    <phoneticPr fontId="5" type="noConversion"/>
  </si>
  <si>
    <t>原型：</t>
    <phoneticPr fontId="5" type="noConversion"/>
  </si>
  <si>
    <t>断桥隔热铝型材</t>
    <phoneticPr fontId="9" type="noConversion"/>
  </si>
  <si>
    <t>非断桥隔热铝型材</t>
    <phoneticPr fontId="9" type="noConversion"/>
  </si>
  <si>
    <t>阳极氧化铝型材</t>
    <phoneticPr fontId="9" type="noConversion"/>
  </si>
  <si>
    <t>推拉门2</t>
    <phoneticPr fontId="5" type="noConversion"/>
  </si>
  <si>
    <t>推拉门4</t>
    <phoneticPr fontId="5" type="noConversion"/>
  </si>
  <si>
    <t>压线竖料扣减</t>
    <phoneticPr fontId="5" type="noConversion"/>
  </si>
  <si>
    <t>压线横料扣减</t>
    <phoneticPr fontId="5" type="noConversion"/>
  </si>
  <si>
    <t>中梃竖料扣减</t>
    <phoneticPr fontId="5" type="noConversion"/>
  </si>
  <si>
    <t>中梃横料扣减</t>
    <phoneticPr fontId="5" type="noConversion"/>
  </si>
  <si>
    <t>玻璃高扣减</t>
    <phoneticPr fontId="5" type="noConversion"/>
  </si>
  <si>
    <t>玻璃宽扣减</t>
    <phoneticPr fontId="5" type="noConversion"/>
  </si>
  <si>
    <t>角码-框</t>
    <phoneticPr fontId="5" type="noConversion"/>
  </si>
  <si>
    <t>X1</t>
    <phoneticPr fontId="5" type="noConversion"/>
  </si>
  <si>
    <t>角码-扇1</t>
    <phoneticPr fontId="5" type="noConversion"/>
  </si>
  <si>
    <t>X2</t>
    <phoneticPr fontId="5" type="noConversion"/>
  </si>
  <si>
    <t>角码-扇2</t>
    <phoneticPr fontId="5" type="noConversion"/>
  </si>
  <si>
    <t>X3</t>
    <phoneticPr fontId="5" type="noConversion"/>
  </si>
  <si>
    <t>角码-中梃1</t>
    <phoneticPr fontId="5" type="noConversion"/>
  </si>
  <si>
    <t>X4</t>
    <phoneticPr fontId="5" type="noConversion"/>
  </si>
  <si>
    <t>角码-中梃2</t>
  </si>
  <si>
    <t>X5</t>
  </si>
  <si>
    <t>窗扇竖料扣减尺寸</t>
    <phoneticPr fontId="5" type="noConversion"/>
  </si>
  <si>
    <t>窗扇横料扣减尺寸</t>
    <phoneticPr fontId="5" type="noConversion"/>
  </si>
  <si>
    <t>W2-D3</t>
    <phoneticPr fontId="9" type="noConversion"/>
  </si>
  <si>
    <t>X1</t>
    <phoneticPr fontId="9" type="noConversion"/>
  </si>
  <si>
    <t>X2</t>
    <phoneticPr fontId="9" type="noConversion"/>
  </si>
  <si>
    <t>X3</t>
    <phoneticPr fontId="9" type="noConversion"/>
  </si>
  <si>
    <t>X4</t>
    <phoneticPr fontId="9" type="noConversion"/>
  </si>
  <si>
    <t>X5</t>
    <phoneticPr fontId="9" type="noConversion"/>
  </si>
  <si>
    <t>宽公式</t>
    <phoneticPr fontId="9" type="noConversion"/>
  </si>
  <si>
    <t>高公式</t>
    <phoneticPr fontId="9" type="noConversion"/>
  </si>
  <si>
    <t>W2-F3</t>
    <phoneticPr fontId="9" type="noConversion"/>
  </si>
  <si>
    <t>门窗周长L=(W+H)*2</t>
    <phoneticPr fontId="9" type="noConversion"/>
  </si>
  <si>
    <t>L</t>
    <phoneticPr fontId="9" type="noConversion"/>
  </si>
  <si>
    <t>压线总长</t>
    <phoneticPr fontId="9" type="noConversion"/>
  </si>
  <si>
    <t>扇总长</t>
    <phoneticPr fontId="9" type="noConversion"/>
  </si>
  <si>
    <t>扇总长*2</t>
    <phoneticPr fontId="9" type="noConversion"/>
  </si>
  <si>
    <t>胶条1</t>
    <phoneticPr fontId="9" type="noConversion"/>
  </si>
  <si>
    <t>胶条2</t>
  </si>
  <si>
    <t>S</t>
    <phoneticPr fontId="9" type="noConversion"/>
  </si>
  <si>
    <t>角码个数</t>
    <phoneticPr fontId="9" type="noConversion"/>
  </si>
  <si>
    <r>
      <t>H2=</t>
    </r>
    <r>
      <rPr>
        <sz val="10"/>
        <rFont val="宋体"/>
        <family val="3"/>
        <charset val="134"/>
      </rPr>
      <t>卧室凸窗</t>
    </r>
    <r>
      <rPr>
        <sz val="10"/>
        <rFont val="Arial"/>
        <family val="2"/>
      </rPr>
      <t>950</t>
    </r>
    <r>
      <rPr>
        <sz val="10"/>
        <rFont val="宋体"/>
        <family val="3"/>
        <charset val="134"/>
      </rPr>
      <t>，卧室非凸窗</t>
    </r>
    <r>
      <rPr>
        <sz val="10"/>
        <rFont val="Arial"/>
        <family val="2"/>
      </rPr>
      <t>500</t>
    </r>
    <r>
      <rPr>
        <sz val="10"/>
        <rFont val="宋体"/>
        <family val="3"/>
        <charset val="134"/>
      </rPr>
      <t>，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厨房、卫生间窗</t>
    </r>
    <r>
      <rPr>
        <sz val="10"/>
        <rFont val="Arial"/>
        <family val="2"/>
      </rPr>
      <t>400</t>
    </r>
    <phoneticPr fontId="5" type="noConversion"/>
  </si>
  <si>
    <t>提升推拉门1</t>
    <phoneticPr fontId="5" type="noConversion"/>
  </si>
  <si>
    <t>型材种类</t>
    <phoneticPr fontId="9" type="noConversion"/>
  </si>
  <si>
    <t>提升推拉门2</t>
    <phoneticPr fontId="5" type="noConversion"/>
  </si>
  <si>
    <t>外开门1</t>
    <phoneticPr fontId="5" type="noConversion"/>
  </si>
  <si>
    <t>外开门7</t>
    <phoneticPr fontId="5" type="noConversion"/>
  </si>
  <si>
    <t>MLC</t>
    <phoneticPr fontId="9" type="noConversion"/>
  </si>
  <si>
    <t>外开门6</t>
    <phoneticPr fontId="5" type="noConversion"/>
  </si>
  <si>
    <t>外开门5</t>
    <phoneticPr fontId="5" type="noConversion"/>
  </si>
  <si>
    <t>外开门4</t>
    <phoneticPr fontId="5" type="noConversion"/>
  </si>
  <si>
    <t>外开门3</t>
    <phoneticPr fontId="5" type="noConversion"/>
  </si>
  <si>
    <t>外开门2</t>
    <phoneticPr fontId="5" type="noConversion"/>
  </si>
  <si>
    <t>外开窗1</t>
    <phoneticPr fontId="5" type="noConversion"/>
  </si>
  <si>
    <t>外开窗13</t>
    <phoneticPr fontId="5" type="noConversion"/>
  </si>
  <si>
    <t>型材类型</t>
    <phoneticPr fontId="5" type="noConversion"/>
  </si>
  <si>
    <t>断桥隔热铝型材</t>
    <phoneticPr fontId="5" type="noConversion"/>
  </si>
  <si>
    <t>非断桥隔热铝型材</t>
    <phoneticPr fontId="5" type="noConversion"/>
  </si>
  <si>
    <t>阳极氧化铝型材</t>
    <phoneticPr fontId="5" type="noConversion"/>
  </si>
  <si>
    <t>外开窗2</t>
    <phoneticPr fontId="5" type="noConversion"/>
  </si>
  <si>
    <t>外开窗3</t>
    <phoneticPr fontId="5" type="noConversion"/>
  </si>
  <si>
    <t>外开窗4</t>
    <phoneticPr fontId="5" type="noConversion"/>
  </si>
  <si>
    <t>外开窗5</t>
    <phoneticPr fontId="5" type="noConversion"/>
  </si>
  <si>
    <t>外开窗6</t>
    <phoneticPr fontId="5" type="noConversion"/>
  </si>
  <si>
    <t>外开窗7</t>
    <phoneticPr fontId="5" type="noConversion"/>
  </si>
  <si>
    <t>外开窗8</t>
    <phoneticPr fontId="5" type="noConversion"/>
  </si>
  <si>
    <t>外开窗9</t>
    <phoneticPr fontId="5" type="noConversion"/>
  </si>
  <si>
    <t>外开窗10</t>
    <phoneticPr fontId="5" type="noConversion"/>
  </si>
  <si>
    <t>外开窗11</t>
    <phoneticPr fontId="5" type="noConversion"/>
  </si>
  <si>
    <t>外开窗12</t>
    <phoneticPr fontId="5" type="noConversion"/>
  </si>
  <si>
    <t>C1</t>
    <phoneticPr fontId="9" type="noConversion"/>
  </si>
  <si>
    <t>C2</t>
  </si>
  <si>
    <t>C3</t>
  </si>
  <si>
    <t>D1</t>
    <phoneticPr fontId="9" type="noConversion"/>
  </si>
  <si>
    <t>D3</t>
  </si>
  <si>
    <t>X1</t>
    <phoneticPr fontId="9" type="noConversion"/>
  </si>
  <si>
    <t>X2</t>
  </si>
  <si>
    <t>X3</t>
  </si>
  <si>
    <t>X4</t>
  </si>
  <si>
    <t>H-2a</t>
    <phoneticPr fontId="9" type="noConversion"/>
  </si>
  <si>
    <t>W-2a</t>
    <phoneticPr fontId="9" type="noConversion"/>
  </si>
  <si>
    <t>H1-M1</t>
    <phoneticPr fontId="9" type="noConversion"/>
  </si>
  <si>
    <t>W1-N1</t>
  </si>
  <si>
    <t>W1-N1</t>
    <phoneticPr fontId="9" type="noConversion"/>
  </si>
  <si>
    <t>H1-C1</t>
    <phoneticPr fontId="9" type="noConversion"/>
  </si>
  <si>
    <t>W1-D1</t>
    <phoneticPr fontId="9" type="noConversion"/>
  </si>
  <si>
    <t>E1-E9</t>
    <phoneticPr fontId="5" type="noConversion"/>
  </si>
  <si>
    <t>X1</t>
    <phoneticPr fontId="9" type="noConversion"/>
  </si>
  <si>
    <t>宽公式</t>
    <phoneticPr fontId="9" type="noConversion"/>
  </si>
  <si>
    <t>高公式</t>
    <phoneticPr fontId="9" type="noConversion"/>
  </si>
  <si>
    <t>W1-F1</t>
    <phoneticPr fontId="9" type="noConversion"/>
  </si>
  <si>
    <t>H1-E1</t>
    <phoneticPr fontId="9" type="noConversion"/>
  </si>
  <si>
    <t>W1-N2</t>
    <phoneticPr fontId="9" type="noConversion"/>
  </si>
  <si>
    <t>H1-P1</t>
    <phoneticPr fontId="9" type="noConversion"/>
  </si>
  <si>
    <t>H1-C2</t>
  </si>
  <si>
    <t>W1-D1</t>
    <phoneticPr fontId="9" type="noConversion"/>
  </si>
  <si>
    <t>W1-D2</t>
  </si>
  <si>
    <t>W1-D2</t>
    <phoneticPr fontId="9" type="noConversion"/>
  </si>
  <si>
    <t>W2-D3</t>
    <phoneticPr fontId="9" type="noConversion"/>
  </si>
  <si>
    <t>M1-M9</t>
    <phoneticPr fontId="5" type="noConversion"/>
  </si>
  <si>
    <t>N1-N9</t>
    <phoneticPr fontId="5" type="noConversion"/>
  </si>
  <si>
    <t>C1-C9</t>
    <phoneticPr fontId="5" type="noConversion"/>
  </si>
  <si>
    <t>D1-D9</t>
    <phoneticPr fontId="5" type="noConversion"/>
  </si>
  <si>
    <t>P1-P9</t>
    <phoneticPr fontId="5" type="noConversion"/>
  </si>
  <si>
    <t>Q1-Q9</t>
    <phoneticPr fontId="5" type="noConversion"/>
  </si>
  <si>
    <t>F1-F9</t>
    <phoneticPr fontId="5" type="noConversion"/>
  </si>
  <si>
    <t>W1-N3</t>
    <phoneticPr fontId="9" type="noConversion"/>
  </si>
  <si>
    <t>W1-D4</t>
    <phoneticPr fontId="9" type="noConversion"/>
  </si>
  <si>
    <t>W1-F2</t>
    <phoneticPr fontId="9" type="noConversion"/>
  </si>
  <si>
    <t>W2-F3</t>
    <phoneticPr fontId="9" type="noConversion"/>
  </si>
  <si>
    <t>H1-E2</t>
  </si>
  <si>
    <t>D2</t>
    <phoneticPr fontId="9" type="noConversion"/>
  </si>
  <si>
    <t>M1</t>
    <phoneticPr fontId="9" type="noConversion"/>
  </si>
  <si>
    <t>N3</t>
    <phoneticPr fontId="9" type="noConversion"/>
  </si>
  <si>
    <t>P1</t>
    <phoneticPr fontId="9" type="noConversion"/>
  </si>
  <si>
    <t>D4</t>
    <phoneticPr fontId="9" type="noConversion"/>
  </si>
  <si>
    <t>W1-F4</t>
    <phoneticPr fontId="9" type="noConversion"/>
  </si>
  <si>
    <t>H1-C2</t>
    <phoneticPr fontId="9" type="noConversion"/>
  </si>
  <si>
    <t>W1-D2</t>
    <phoneticPr fontId="9" type="noConversion"/>
  </si>
  <si>
    <t>C2</t>
    <phoneticPr fontId="9" type="noConversion"/>
  </si>
  <si>
    <t>H1-E2</t>
    <phoneticPr fontId="9" type="noConversion"/>
  </si>
  <si>
    <t>H1-M2</t>
    <phoneticPr fontId="9" type="noConversion"/>
  </si>
  <si>
    <t>W1-Q1</t>
    <phoneticPr fontId="9" type="noConversion"/>
  </si>
  <si>
    <t>H1-C3</t>
    <phoneticPr fontId="9" type="noConversion"/>
  </si>
  <si>
    <t>H2-C4</t>
    <phoneticPr fontId="9" type="noConversion"/>
  </si>
  <si>
    <t>W1-D5</t>
    <phoneticPr fontId="9" type="noConversion"/>
  </si>
  <si>
    <t>W1-F5</t>
    <phoneticPr fontId="9" type="noConversion"/>
  </si>
  <si>
    <t>H1-E3</t>
    <phoneticPr fontId="9" type="noConversion"/>
  </si>
  <si>
    <t>H2-E4</t>
    <phoneticPr fontId="9" type="noConversion"/>
  </si>
  <si>
    <t>H1-P2</t>
    <phoneticPr fontId="9" type="noConversion"/>
  </si>
  <si>
    <t>W-2a-Q1</t>
    <phoneticPr fontId="9" type="noConversion"/>
  </si>
  <si>
    <t>W-2a-D5</t>
    <phoneticPr fontId="9" type="noConversion"/>
  </si>
  <si>
    <t>W-2a-F5</t>
    <phoneticPr fontId="9" type="noConversion"/>
  </si>
  <si>
    <t>H-2a-P1</t>
    <phoneticPr fontId="9" type="noConversion"/>
  </si>
  <si>
    <t>W1-Q2</t>
    <phoneticPr fontId="9" type="noConversion"/>
  </si>
  <si>
    <t>H-2a-C2</t>
    <phoneticPr fontId="9" type="noConversion"/>
  </si>
  <si>
    <t>H2-C4</t>
    <phoneticPr fontId="9" type="noConversion"/>
  </si>
  <si>
    <t>W1-D3</t>
    <phoneticPr fontId="9" type="noConversion"/>
  </si>
  <si>
    <t>C4</t>
  </si>
  <si>
    <t>D3</t>
    <phoneticPr fontId="9" type="noConversion"/>
  </si>
  <si>
    <t>W1-F2</t>
    <phoneticPr fontId="9" type="noConversion"/>
  </si>
  <si>
    <t>W1-F3</t>
    <phoneticPr fontId="9" type="noConversion"/>
  </si>
  <si>
    <t>H1-E3</t>
    <phoneticPr fontId="9" type="noConversion"/>
  </si>
  <si>
    <t>W1-D3</t>
    <phoneticPr fontId="9" type="noConversion"/>
  </si>
  <si>
    <t>W2-D4</t>
    <phoneticPr fontId="9" type="noConversion"/>
  </si>
  <si>
    <t>W2-F6</t>
    <phoneticPr fontId="9" type="noConversion"/>
  </si>
  <si>
    <t>H-2a-E2</t>
    <phoneticPr fontId="9" type="noConversion"/>
  </si>
  <si>
    <t>窗框竖料扣减尺寸</t>
    <phoneticPr fontId="9" type="noConversion"/>
  </si>
  <si>
    <t>窗框横料扣减尺寸</t>
    <phoneticPr fontId="9" type="noConversion"/>
  </si>
  <si>
    <t>W-2a-S1</t>
    <phoneticPr fontId="9" type="noConversion"/>
  </si>
  <si>
    <t>H-2a-C2</t>
    <phoneticPr fontId="9" type="noConversion"/>
  </si>
  <si>
    <t>W2-D6</t>
    <phoneticPr fontId="9" type="noConversion"/>
  </si>
  <si>
    <t>W3-D7</t>
    <phoneticPr fontId="9" type="noConversion"/>
  </si>
  <si>
    <t>W2-F7</t>
    <phoneticPr fontId="9" type="noConversion"/>
  </si>
  <si>
    <t>W3-F8</t>
    <phoneticPr fontId="9" type="noConversion"/>
  </si>
  <si>
    <t>W1-D6</t>
    <phoneticPr fontId="9" type="noConversion"/>
  </si>
  <si>
    <t>W1-D8</t>
    <phoneticPr fontId="9" type="noConversion"/>
  </si>
  <si>
    <t>H1-M3</t>
    <phoneticPr fontId="9" type="noConversion"/>
  </si>
  <si>
    <t>H1-P3</t>
    <phoneticPr fontId="9" type="noConversion"/>
  </si>
  <si>
    <t>W-Q1</t>
    <phoneticPr fontId="9" type="noConversion"/>
  </si>
  <si>
    <t>弧料</t>
    <phoneticPr fontId="9" type="noConversion"/>
  </si>
  <si>
    <t>H1-C6</t>
    <phoneticPr fontId="9" type="noConversion"/>
  </si>
  <si>
    <t>W-2a-D5</t>
    <phoneticPr fontId="9" type="noConversion"/>
  </si>
  <si>
    <t>3.14*(H3-C7)</t>
    <phoneticPr fontId="9" type="noConversion"/>
  </si>
  <si>
    <t>W1-F9</t>
    <phoneticPr fontId="9" type="noConversion"/>
  </si>
  <si>
    <t>H1-E5</t>
    <phoneticPr fontId="9" type="noConversion"/>
  </si>
  <si>
    <t>3.14*(H3-E6)²/2</t>
    <phoneticPr fontId="9" type="noConversion"/>
  </si>
  <si>
    <t>S1-S9</t>
    <phoneticPr fontId="9" type="noConversion"/>
  </si>
  <si>
    <t>上/下滑竖料扣减尺寸</t>
    <phoneticPr fontId="5" type="noConversion"/>
  </si>
  <si>
    <t>上/下方料扣减尺寸</t>
    <phoneticPr fontId="5" type="noConversion"/>
  </si>
  <si>
    <t>光/勾企扣减</t>
    <phoneticPr fontId="5" type="noConversion"/>
  </si>
  <si>
    <t>光勾企</t>
    <phoneticPr fontId="9" type="noConversion"/>
  </si>
  <si>
    <t>W-2a-M1</t>
    <phoneticPr fontId="9" type="noConversion"/>
  </si>
  <si>
    <t>压线竖料扣减</t>
    <phoneticPr fontId="5" type="noConversion"/>
  </si>
  <si>
    <t>宽公式</t>
    <phoneticPr fontId="9" type="noConversion"/>
  </si>
  <si>
    <t>高公式</t>
    <phoneticPr fontId="9" type="noConversion"/>
  </si>
  <si>
    <t>W1-F1</t>
    <phoneticPr fontId="9" type="noConversion"/>
  </si>
  <si>
    <t>H1-E1</t>
    <phoneticPr fontId="9" type="noConversion"/>
  </si>
  <si>
    <t>竖料</t>
    <phoneticPr fontId="9" type="noConversion"/>
  </si>
  <si>
    <t>横料</t>
    <phoneticPr fontId="9" type="noConversion"/>
  </si>
  <si>
    <t>W-2a-D1</t>
    <phoneticPr fontId="9" type="noConversion"/>
  </si>
  <si>
    <t>H2-C1</t>
    <phoneticPr fontId="9" type="noConversion"/>
  </si>
  <si>
    <t>角码-固定框</t>
    <phoneticPr fontId="5" type="noConversion"/>
  </si>
  <si>
    <t>W-2a-F2</t>
    <phoneticPr fontId="9" type="noConversion"/>
  </si>
  <si>
    <t>H1-E2</t>
    <phoneticPr fontId="9" type="noConversion"/>
  </si>
  <si>
    <t>H2-E3</t>
    <phoneticPr fontId="9" type="noConversion"/>
  </si>
  <si>
    <t>公式</t>
    <phoneticPr fontId="9" type="noConversion"/>
  </si>
  <si>
    <t>H-2a</t>
    <phoneticPr fontId="9" type="noConversion"/>
  </si>
  <si>
    <t>W-2a-M1</t>
    <phoneticPr fontId="9" type="noConversion"/>
  </si>
  <si>
    <t>H1-P1</t>
    <phoneticPr fontId="9" type="noConversion"/>
  </si>
  <si>
    <t>W1-N2</t>
    <phoneticPr fontId="9" type="noConversion"/>
  </si>
  <si>
    <t>X1</t>
    <phoneticPr fontId="9" type="noConversion"/>
  </si>
  <si>
    <t>推拉门3</t>
    <phoneticPr fontId="5" type="noConversion"/>
  </si>
  <si>
    <t>H1-P2</t>
    <phoneticPr fontId="9" type="noConversion"/>
  </si>
  <si>
    <t>W1-F2</t>
    <phoneticPr fontId="9" type="noConversion"/>
  </si>
  <si>
    <t>M1</t>
    <phoneticPr fontId="9" type="noConversion"/>
  </si>
  <si>
    <t>P1</t>
    <phoneticPr fontId="9" type="noConversion"/>
  </si>
  <si>
    <t>N1</t>
    <phoneticPr fontId="9" type="noConversion"/>
  </si>
  <si>
    <t>N2</t>
    <phoneticPr fontId="9" type="noConversion"/>
  </si>
  <si>
    <t>P2</t>
    <phoneticPr fontId="9" type="noConversion"/>
  </si>
  <si>
    <t>X2</t>
    <phoneticPr fontId="9" type="noConversion"/>
  </si>
  <si>
    <t>P3</t>
  </si>
  <si>
    <t>C1</t>
    <phoneticPr fontId="9" type="noConversion"/>
  </si>
  <si>
    <t>D1</t>
    <phoneticPr fontId="9" type="noConversion"/>
  </si>
  <si>
    <t>M2</t>
    <phoneticPr fontId="9" type="noConversion"/>
  </si>
  <si>
    <t>N1</t>
    <phoneticPr fontId="9" type="noConversion"/>
  </si>
  <si>
    <t>Q1</t>
    <phoneticPr fontId="9" type="noConversion"/>
  </si>
  <si>
    <t>C3</t>
    <phoneticPr fontId="9" type="noConversion"/>
  </si>
  <si>
    <t>C4</t>
    <phoneticPr fontId="9" type="noConversion"/>
  </si>
  <si>
    <t>D5</t>
    <phoneticPr fontId="9" type="noConversion"/>
  </si>
  <si>
    <t>N2</t>
    <phoneticPr fontId="9" type="noConversion"/>
  </si>
  <si>
    <t>P2</t>
    <phoneticPr fontId="9" type="noConversion"/>
  </si>
  <si>
    <t>Q2</t>
    <phoneticPr fontId="9" type="noConversion"/>
  </si>
  <si>
    <t>S1</t>
    <phoneticPr fontId="9" type="noConversion"/>
  </si>
  <si>
    <t>D6</t>
    <phoneticPr fontId="9" type="noConversion"/>
  </si>
  <si>
    <t>D7</t>
    <phoneticPr fontId="9" type="noConversion"/>
  </si>
  <si>
    <t>D8</t>
    <phoneticPr fontId="9" type="noConversion"/>
  </si>
  <si>
    <t>M3</t>
    <phoneticPr fontId="9" type="noConversion"/>
  </si>
  <si>
    <t>P3</t>
    <phoneticPr fontId="9" type="noConversion"/>
  </si>
  <si>
    <t>C6</t>
    <phoneticPr fontId="9" type="noConversion"/>
  </si>
  <si>
    <t>C7</t>
    <phoneticPr fontId="9" type="noConversion"/>
  </si>
  <si>
    <t>公式</t>
    <phoneticPr fontId="9" type="noConversion"/>
  </si>
  <si>
    <t>提升推拉门3</t>
    <phoneticPr fontId="5" type="noConversion"/>
  </si>
  <si>
    <t>H-2a</t>
    <phoneticPr fontId="9" type="noConversion"/>
  </si>
  <si>
    <t>W-2a-M1</t>
    <phoneticPr fontId="9" type="noConversion"/>
  </si>
  <si>
    <t>H1-P1</t>
    <phoneticPr fontId="9" type="noConversion"/>
  </si>
  <si>
    <t>W1-N1</t>
    <phoneticPr fontId="9" type="noConversion"/>
  </si>
  <si>
    <t>竖料</t>
    <phoneticPr fontId="9" type="noConversion"/>
  </si>
  <si>
    <t>横料</t>
    <phoneticPr fontId="9" type="noConversion"/>
  </si>
  <si>
    <t>H1-C1</t>
    <phoneticPr fontId="9" type="noConversion"/>
  </si>
  <si>
    <t>W1-D1</t>
    <phoneticPr fontId="9" type="noConversion"/>
  </si>
  <si>
    <t>宽公式</t>
    <phoneticPr fontId="9" type="noConversion"/>
  </si>
  <si>
    <t>高公式</t>
    <phoneticPr fontId="9" type="noConversion"/>
  </si>
  <si>
    <t>W1-F1</t>
    <phoneticPr fontId="9" type="noConversion"/>
  </si>
  <si>
    <t>H1-E1</t>
    <phoneticPr fontId="9" type="noConversion"/>
  </si>
  <si>
    <t>M1</t>
    <phoneticPr fontId="9" type="noConversion"/>
  </si>
  <si>
    <t>P1</t>
    <phoneticPr fontId="9" type="noConversion"/>
  </si>
  <si>
    <t>N1</t>
    <phoneticPr fontId="9" type="noConversion"/>
  </si>
  <si>
    <t>C1</t>
    <phoneticPr fontId="9" type="noConversion"/>
  </si>
  <si>
    <t>D1</t>
    <phoneticPr fontId="9" type="noConversion"/>
  </si>
  <si>
    <t>W1-N2</t>
    <phoneticPr fontId="9" type="noConversion"/>
  </si>
  <si>
    <t>H1-P2</t>
    <phoneticPr fontId="9" type="noConversion"/>
  </si>
  <si>
    <t>W1-D2</t>
    <phoneticPr fontId="9" type="noConversion"/>
  </si>
  <si>
    <t>N2</t>
    <phoneticPr fontId="9" type="noConversion"/>
  </si>
  <si>
    <t>P2</t>
    <phoneticPr fontId="9" type="noConversion"/>
  </si>
  <si>
    <t>D2</t>
    <phoneticPr fontId="9" type="noConversion"/>
  </si>
  <si>
    <t>W1-F2</t>
    <phoneticPr fontId="9" type="noConversion"/>
  </si>
  <si>
    <t>公式</t>
    <phoneticPr fontId="5" type="noConversion"/>
  </si>
  <si>
    <t>宽公式</t>
    <phoneticPr fontId="5" type="noConversion"/>
  </si>
  <si>
    <t>高公式</t>
    <phoneticPr fontId="5" type="noConversion"/>
  </si>
  <si>
    <t>H-2a</t>
    <phoneticPr fontId="5" type="noConversion"/>
  </si>
  <si>
    <t>W-2a</t>
    <phoneticPr fontId="5" type="noConversion"/>
  </si>
  <si>
    <t>H1-M1</t>
    <phoneticPr fontId="5" type="noConversion"/>
  </si>
  <si>
    <t>W1-N1</t>
    <phoneticPr fontId="5" type="noConversion"/>
  </si>
  <si>
    <t>H1-C1</t>
    <phoneticPr fontId="5" type="noConversion"/>
  </si>
  <si>
    <t>W1-D1</t>
    <phoneticPr fontId="5" type="noConversion"/>
  </si>
  <si>
    <t>X1</t>
    <phoneticPr fontId="5" type="noConversion"/>
  </si>
  <si>
    <t>X2</t>
    <phoneticPr fontId="5" type="noConversion"/>
  </si>
  <si>
    <t>M1</t>
    <phoneticPr fontId="5" type="noConversion"/>
  </si>
  <si>
    <t>N1</t>
    <phoneticPr fontId="5" type="noConversion"/>
  </si>
  <si>
    <t>C1</t>
    <phoneticPr fontId="5" type="noConversion"/>
  </si>
  <si>
    <t>D1</t>
    <phoneticPr fontId="5" type="noConversion"/>
  </si>
  <si>
    <t>W1-F1</t>
    <phoneticPr fontId="5" type="noConversion"/>
  </si>
  <si>
    <t>H1-E1</t>
    <phoneticPr fontId="5" type="noConversion"/>
  </si>
  <si>
    <t>H1-M2</t>
    <phoneticPr fontId="5" type="noConversion"/>
  </si>
  <si>
    <t>M2</t>
    <phoneticPr fontId="5" type="noConversion"/>
  </si>
  <si>
    <t>W1-Q1</t>
    <phoneticPr fontId="5" type="noConversion"/>
  </si>
  <si>
    <t>Q1</t>
    <phoneticPr fontId="5" type="noConversion"/>
  </si>
  <si>
    <t>(转向)框竖料扣减尺寸</t>
    <phoneticPr fontId="9" type="noConversion"/>
  </si>
  <si>
    <t>(转向)框横料扣减尺寸</t>
    <phoneticPr fontId="9" type="noConversion"/>
  </si>
  <si>
    <t>H2-R1</t>
    <phoneticPr fontId="5" type="noConversion"/>
  </si>
  <si>
    <t>W1-S1</t>
    <phoneticPr fontId="5" type="noConversion"/>
  </si>
  <si>
    <t>R1</t>
    <phoneticPr fontId="5" type="noConversion"/>
  </si>
  <si>
    <t>S1</t>
    <phoneticPr fontId="5" type="noConversion"/>
  </si>
  <si>
    <t>H1-C2</t>
    <phoneticPr fontId="5" type="noConversion"/>
  </si>
  <si>
    <t>H2-C3</t>
    <phoneticPr fontId="5" type="noConversion"/>
  </si>
  <si>
    <t>X4</t>
    <phoneticPr fontId="5" type="noConversion"/>
  </si>
  <si>
    <t>X5</t>
    <phoneticPr fontId="5" type="noConversion"/>
  </si>
  <si>
    <t>W1-F2</t>
    <phoneticPr fontId="5" type="noConversion"/>
  </si>
  <si>
    <t>H1-E2</t>
    <phoneticPr fontId="5" type="noConversion"/>
  </si>
  <si>
    <t>H2-E3</t>
    <phoneticPr fontId="5" type="noConversion"/>
  </si>
  <si>
    <t>H1-M3</t>
    <phoneticPr fontId="5" type="noConversion"/>
  </si>
  <si>
    <t>W1-N2</t>
    <phoneticPr fontId="5" type="noConversion"/>
  </si>
  <si>
    <t>M2</t>
    <phoneticPr fontId="5" type="noConversion"/>
  </si>
  <si>
    <t>N1</t>
    <phoneticPr fontId="5" type="noConversion"/>
  </si>
  <si>
    <t>Q1</t>
    <phoneticPr fontId="5" type="noConversion"/>
  </si>
  <si>
    <t>S1</t>
    <phoneticPr fontId="5" type="noConversion"/>
  </si>
  <si>
    <t>C2</t>
    <phoneticPr fontId="5" type="noConversion"/>
  </si>
  <si>
    <t>C3</t>
    <phoneticPr fontId="5" type="noConversion"/>
  </si>
  <si>
    <t>D1</t>
    <phoneticPr fontId="5" type="noConversion"/>
  </si>
  <si>
    <t>D2</t>
    <phoneticPr fontId="5" type="noConversion"/>
  </si>
  <si>
    <t>X1</t>
    <phoneticPr fontId="5" type="noConversion"/>
  </si>
  <si>
    <t>X4</t>
    <phoneticPr fontId="5" type="noConversion"/>
  </si>
  <si>
    <t>X5</t>
    <phoneticPr fontId="5" type="noConversion"/>
  </si>
  <si>
    <t>H-2a</t>
    <phoneticPr fontId="5" type="noConversion"/>
  </si>
  <si>
    <t>W-2a</t>
    <phoneticPr fontId="5" type="noConversion"/>
  </si>
  <si>
    <t>W1-N3</t>
    <phoneticPr fontId="5" type="noConversion"/>
  </si>
  <si>
    <t>H1-P1</t>
    <phoneticPr fontId="5" type="noConversion"/>
  </si>
  <si>
    <t>H1-R2</t>
    <phoneticPr fontId="5" type="noConversion"/>
  </si>
  <si>
    <t>H1-C1</t>
    <phoneticPr fontId="5" type="noConversion"/>
  </si>
  <si>
    <t>X2</t>
    <phoneticPr fontId="5" type="noConversion"/>
  </si>
  <si>
    <t>W1-F1</t>
    <phoneticPr fontId="5" type="noConversion"/>
  </si>
  <si>
    <t>H1-E2</t>
    <phoneticPr fontId="5" type="noConversion"/>
  </si>
  <si>
    <t>W1-F2</t>
    <phoneticPr fontId="5" type="noConversion"/>
  </si>
  <si>
    <t>H2-E3</t>
    <phoneticPr fontId="5" type="noConversion"/>
  </si>
  <si>
    <t>H1-M3</t>
    <phoneticPr fontId="5" type="noConversion"/>
  </si>
  <si>
    <t>W1-D5</t>
    <phoneticPr fontId="5" type="noConversion"/>
  </si>
  <si>
    <t>X6</t>
    <phoneticPr fontId="5" type="noConversion"/>
  </si>
  <si>
    <t>W1-F5</t>
    <phoneticPr fontId="5" type="noConversion"/>
  </si>
  <si>
    <t>H1-E5</t>
    <phoneticPr fontId="5" type="noConversion"/>
  </si>
  <si>
    <t>M3</t>
    <phoneticPr fontId="5" type="noConversion"/>
  </si>
  <si>
    <t>N2</t>
    <phoneticPr fontId="5" type="noConversion"/>
  </si>
  <si>
    <t>C1</t>
    <phoneticPr fontId="5" type="noConversion"/>
  </si>
  <si>
    <t>H1-E1</t>
    <phoneticPr fontId="5" type="noConversion"/>
  </si>
  <si>
    <t>N3</t>
    <phoneticPr fontId="5" type="noConversion"/>
  </si>
  <si>
    <t>P1</t>
    <phoneticPr fontId="5" type="noConversion"/>
  </si>
  <si>
    <t>D5</t>
    <phoneticPr fontId="5" type="noConversion"/>
  </si>
  <si>
    <t>高扣减</t>
    <phoneticPr fontId="5" type="noConversion"/>
  </si>
  <si>
    <t>H-2a-P1</t>
    <phoneticPr fontId="5" type="noConversion"/>
  </si>
  <si>
    <t>H1-M4</t>
    <phoneticPr fontId="5" type="noConversion"/>
  </si>
  <si>
    <t>W1-Q2</t>
    <phoneticPr fontId="5" type="noConversion"/>
  </si>
  <si>
    <t>H1-R3</t>
    <phoneticPr fontId="5" type="noConversion"/>
  </si>
  <si>
    <t>H1-C5</t>
    <phoneticPr fontId="5" type="noConversion"/>
  </si>
  <si>
    <t>H2-C6</t>
    <phoneticPr fontId="5" type="noConversion"/>
  </si>
  <si>
    <t>H-2a-C7</t>
    <phoneticPr fontId="5" type="noConversion"/>
  </si>
  <si>
    <t>W1-D7</t>
    <phoneticPr fontId="5" type="noConversion"/>
  </si>
  <si>
    <t>W1-D8</t>
  </si>
  <si>
    <t>W2-D8</t>
    <phoneticPr fontId="5" type="noConversion"/>
  </si>
  <si>
    <t>M4</t>
    <phoneticPr fontId="5" type="noConversion"/>
  </si>
  <si>
    <t>P1</t>
    <phoneticPr fontId="5" type="noConversion"/>
  </si>
  <si>
    <t>Q2</t>
    <phoneticPr fontId="5" type="noConversion"/>
  </si>
  <si>
    <t>R3</t>
    <phoneticPr fontId="5" type="noConversion"/>
  </si>
  <si>
    <t>C5</t>
    <phoneticPr fontId="5" type="noConversion"/>
  </si>
  <si>
    <t>C6</t>
    <phoneticPr fontId="5" type="noConversion"/>
  </si>
  <si>
    <t>C7</t>
    <phoneticPr fontId="5" type="noConversion"/>
  </si>
  <si>
    <t>D7</t>
    <phoneticPr fontId="5" type="noConversion"/>
  </si>
  <si>
    <t>D8</t>
    <phoneticPr fontId="5" type="noConversion"/>
  </si>
  <si>
    <t>X1</t>
    <phoneticPr fontId="5" type="noConversion"/>
  </si>
  <si>
    <t>X2</t>
    <phoneticPr fontId="5" type="noConversion"/>
  </si>
  <si>
    <t>X4</t>
    <phoneticPr fontId="5" type="noConversion"/>
  </si>
  <si>
    <t>X5</t>
    <phoneticPr fontId="5" type="noConversion"/>
  </si>
  <si>
    <t>W1-F6</t>
    <phoneticPr fontId="5" type="noConversion"/>
  </si>
  <si>
    <t>H1-E6</t>
    <phoneticPr fontId="5" type="noConversion"/>
  </si>
  <si>
    <t>W1-F7</t>
    <phoneticPr fontId="5" type="noConversion"/>
  </si>
  <si>
    <t>W2-F7</t>
    <phoneticPr fontId="5" type="noConversion"/>
  </si>
  <si>
    <t>H2-E7</t>
    <phoneticPr fontId="5" type="noConversion"/>
  </si>
  <si>
    <t>H-2a-E8</t>
    <phoneticPr fontId="5" type="noConversion"/>
  </si>
  <si>
    <t>H-2a</t>
    <phoneticPr fontId="5" type="noConversion"/>
  </si>
  <si>
    <t>W-2a</t>
    <phoneticPr fontId="5" type="noConversion"/>
  </si>
  <si>
    <t>X1</t>
    <phoneticPr fontId="5" type="noConversion"/>
  </si>
  <si>
    <t>X4</t>
    <phoneticPr fontId="5" type="noConversion"/>
  </si>
  <si>
    <t>H-2a</t>
    <phoneticPr fontId="5" type="noConversion"/>
  </si>
  <si>
    <t>X2</t>
    <phoneticPr fontId="5" type="noConversion"/>
  </si>
  <si>
    <t>X5</t>
    <phoneticPr fontId="5" type="noConversion"/>
  </si>
  <si>
    <t>转角料</t>
    <phoneticPr fontId="5" type="noConversion"/>
  </si>
  <si>
    <t>H1+H2-8</t>
    <phoneticPr fontId="5" type="noConversion"/>
  </si>
  <si>
    <t>W-2a</t>
    <phoneticPr fontId="5" type="noConversion"/>
  </si>
  <si>
    <t>3.14*(W-2a)/2</t>
    <phoneticPr fontId="9" type="noConversion"/>
  </si>
  <si>
    <t>3.14*W1</t>
    <phoneticPr fontId="5" type="noConversion"/>
  </si>
  <si>
    <t>弧料</t>
    <phoneticPr fontId="9" type="noConversion"/>
  </si>
  <si>
    <t>横料</t>
    <phoneticPr fontId="9" type="noConversion"/>
  </si>
  <si>
    <t>H1-M4</t>
    <phoneticPr fontId="5" type="noConversion"/>
  </si>
  <si>
    <t>H-2a-P1</t>
    <phoneticPr fontId="5" type="noConversion"/>
  </si>
  <si>
    <t>W1-Q2</t>
    <phoneticPr fontId="5" type="noConversion"/>
  </si>
  <si>
    <t>H1-R3</t>
    <phoneticPr fontId="5" type="noConversion"/>
  </si>
  <si>
    <t>H1-C5</t>
    <phoneticPr fontId="5" type="noConversion"/>
  </si>
  <si>
    <t>H2-C6</t>
    <phoneticPr fontId="5" type="noConversion"/>
  </si>
  <si>
    <t>H-2a-C7</t>
    <phoneticPr fontId="5" type="noConversion"/>
  </si>
  <si>
    <t>W1-D7</t>
    <phoneticPr fontId="5" type="noConversion"/>
  </si>
  <si>
    <t>W1-D8</t>
    <phoneticPr fontId="5" type="noConversion"/>
  </si>
  <si>
    <t>W2-D9</t>
    <phoneticPr fontId="5" type="noConversion"/>
  </si>
  <si>
    <t>D9</t>
    <phoneticPr fontId="5" type="noConversion"/>
  </si>
  <si>
    <t>W2-F8</t>
    <phoneticPr fontId="5" type="noConversion"/>
  </si>
  <si>
    <t>H1-M4</t>
    <phoneticPr fontId="5" type="noConversion"/>
  </si>
  <si>
    <t>R3</t>
    <phoneticPr fontId="5" type="noConversion"/>
  </si>
  <si>
    <t>H-2a-C7</t>
    <phoneticPr fontId="5" type="noConversion"/>
  </si>
  <si>
    <t>W2-F9</t>
    <phoneticPr fontId="5" type="noConversion"/>
  </si>
  <si>
    <t>D9</t>
    <phoneticPr fontId="5" type="noConversion"/>
  </si>
  <si>
    <t>固定玻璃</t>
    <phoneticPr fontId="9" type="noConversion"/>
  </si>
  <si>
    <t>W1-F7</t>
    <phoneticPr fontId="5" type="noConversion"/>
  </si>
  <si>
    <t>H2-E7</t>
    <phoneticPr fontId="5" type="noConversion"/>
  </si>
  <si>
    <t>H1-M5</t>
    <phoneticPr fontId="5" type="noConversion"/>
  </si>
  <si>
    <t>R2</t>
    <phoneticPr fontId="5" type="noConversion"/>
  </si>
  <si>
    <t>W1-D7</t>
    <phoneticPr fontId="5" type="noConversion"/>
  </si>
  <si>
    <t>C7</t>
    <phoneticPr fontId="5" type="noConversion"/>
  </si>
  <si>
    <t>H1-C7</t>
    <phoneticPr fontId="5" type="noConversion"/>
  </si>
  <si>
    <t>W2-D9</t>
    <phoneticPr fontId="5" type="noConversion"/>
  </si>
  <si>
    <t>W2-F7</t>
    <phoneticPr fontId="5" type="noConversion"/>
  </si>
  <si>
    <t>H1-E8</t>
    <phoneticPr fontId="5" type="noConversion"/>
  </si>
  <si>
    <t>W2-D8</t>
    <phoneticPr fontId="5" type="noConversion"/>
  </si>
  <si>
    <t>D8</t>
  </si>
  <si>
    <t>D8</t>
    <phoneticPr fontId="5" type="noConversion"/>
  </si>
  <si>
    <t>W1-F6</t>
    <phoneticPr fontId="5" type="noConversion"/>
  </si>
  <si>
    <t>W-2a-Q1</t>
    <phoneticPr fontId="5" type="noConversion"/>
  </si>
  <si>
    <t>Q1</t>
    <phoneticPr fontId="5" type="noConversion"/>
  </si>
  <si>
    <t>P2</t>
    <phoneticPr fontId="5" type="noConversion"/>
  </si>
  <si>
    <t>H1-P2</t>
    <phoneticPr fontId="5" type="noConversion"/>
  </si>
  <si>
    <t>H1-C5</t>
    <phoneticPr fontId="5" type="noConversion"/>
  </si>
  <si>
    <t>H2-C6</t>
    <phoneticPr fontId="5" type="noConversion"/>
  </si>
  <si>
    <t>H1-E6</t>
    <phoneticPr fontId="5" type="noConversion"/>
  </si>
  <si>
    <t>H2-E7</t>
    <phoneticPr fontId="5" type="noConversion"/>
  </si>
  <si>
    <t>H1-M4-8</t>
    <phoneticPr fontId="5" type="noConversion"/>
  </si>
  <si>
    <t>H1-P2-8</t>
    <phoneticPr fontId="5" type="noConversion"/>
  </si>
  <si>
    <t>P2</t>
    <phoneticPr fontId="5" type="noConversion"/>
  </si>
  <si>
    <t>Q1</t>
    <phoneticPr fontId="5" type="noConversion"/>
  </si>
  <si>
    <t>W-2a-Q1</t>
    <phoneticPr fontId="5" type="noConversion"/>
  </si>
  <si>
    <t>H1-R3-8</t>
    <phoneticPr fontId="5" type="noConversion"/>
  </si>
  <si>
    <t>H1-C5-8</t>
    <phoneticPr fontId="5" type="noConversion"/>
  </si>
  <si>
    <t>3.14*(W1-23)</t>
    <phoneticPr fontId="5" type="noConversion"/>
  </si>
  <si>
    <t>H1-E6-8</t>
    <phoneticPr fontId="5" type="noConversion"/>
  </si>
  <si>
    <t>3.14*(H3-35-8)*(H3-35-8)/2</t>
    <phoneticPr fontId="5" type="noConversion"/>
  </si>
  <si>
    <t>X1</t>
    <phoneticPr fontId="5" type="noConversion"/>
  </si>
  <si>
    <t>X2</t>
    <phoneticPr fontId="5" type="noConversion"/>
  </si>
  <si>
    <t>X4</t>
    <phoneticPr fontId="5" type="noConversion"/>
  </si>
  <si>
    <t>X5</t>
    <phoneticPr fontId="5" type="noConversion"/>
  </si>
  <si>
    <t>公式</t>
    <phoneticPr fontId="9" type="noConversion"/>
  </si>
  <si>
    <t>宽公式</t>
    <phoneticPr fontId="9" type="noConversion"/>
  </si>
  <si>
    <t>高公式</t>
    <phoneticPr fontId="9" type="noConversion"/>
  </si>
  <si>
    <t>H-2a</t>
    <phoneticPr fontId="9" type="noConversion"/>
  </si>
  <si>
    <t>W-2a</t>
    <phoneticPr fontId="9" type="noConversion"/>
  </si>
  <si>
    <t>H1-M1</t>
    <phoneticPr fontId="9" type="noConversion"/>
  </si>
  <si>
    <t>W1-N1</t>
    <phoneticPr fontId="9" type="noConversion"/>
  </si>
  <si>
    <t>M1</t>
    <phoneticPr fontId="9" type="noConversion"/>
  </si>
  <si>
    <t>N1</t>
    <phoneticPr fontId="9" type="noConversion"/>
  </si>
  <si>
    <t>X1</t>
    <phoneticPr fontId="9" type="noConversion"/>
  </si>
  <si>
    <t>X2</t>
    <phoneticPr fontId="9" type="noConversion"/>
  </si>
  <si>
    <t>X3</t>
    <phoneticPr fontId="9" type="noConversion"/>
  </si>
  <si>
    <t>H1-C1</t>
    <phoneticPr fontId="9" type="noConversion"/>
  </si>
  <si>
    <t>W1-D1</t>
    <phoneticPr fontId="9" type="noConversion"/>
  </si>
  <si>
    <t>C1</t>
    <phoneticPr fontId="9" type="noConversion"/>
  </si>
  <si>
    <t>D1</t>
    <phoneticPr fontId="9" type="noConversion"/>
  </si>
  <si>
    <t>W1-F1</t>
    <phoneticPr fontId="9" type="noConversion"/>
  </si>
  <si>
    <t>H1-E1</t>
    <phoneticPr fontId="9" type="noConversion"/>
  </si>
  <si>
    <t>N2</t>
    <phoneticPr fontId="9" type="noConversion"/>
  </si>
  <si>
    <t>W1-N2</t>
    <phoneticPr fontId="9" type="noConversion"/>
  </si>
  <si>
    <t>H1-P1</t>
    <phoneticPr fontId="9" type="noConversion"/>
  </si>
  <si>
    <t>P1</t>
    <phoneticPr fontId="9" type="noConversion"/>
  </si>
  <si>
    <t>D2</t>
    <phoneticPr fontId="9" type="noConversion"/>
  </si>
  <si>
    <t>W-2a-D2</t>
    <phoneticPr fontId="9" type="noConversion"/>
  </si>
  <si>
    <t>W1-F2</t>
    <phoneticPr fontId="9" type="noConversion"/>
  </si>
  <si>
    <t>W2-F2</t>
    <phoneticPr fontId="9" type="noConversion"/>
  </si>
  <si>
    <t>N3</t>
    <phoneticPr fontId="9" type="noConversion"/>
  </si>
  <si>
    <t>W1-N3</t>
    <phoneticPr fontId="9" type="noConversion"/>
  </si>
  <si>
    <t>H1-C2</t>
    <phoneticPr fontId="9" type="noConversion"/>
  </si>
  <si>
    <t>D3</t>
    <phoneticPr fontId="9" type="noConversion"/>
  </si>
  <si>
    <t>W1-D3</t>
    <phoneticPr fontId="9" type="noConversion"/>
  </si>
  <si>
    <t>D4</t>
  </si>
  <si>
    <t>D4</t>
    <phoneticPr fontId="9" type="noConversion"/>
  </si>
  <si>
    <t>W2-D4</t>
    <phoneticPr fontId="9" type="noConversion"/>
  </si>
  <si>
    <t>X4</t>
    <phoneticPr fontId="9" type="noConversion"/>
  </si>
  <si>
    <t>X5</t>
    <phoneticPr fontId="9" type="noConversion"/>
  </si>
  <si>
    <t>X6</t>
  </si>
  <si>
    <t>R1</t>
    <phoneticPr fontId="9" type="noConversion"/>
  </si>
  <si>
    <t>S1</t>
    <phoneticPr fontId="9" type="noConversion"/>
  </si>
  <si>
    <t>H1-R1</t>
    <phoneticPr fontId="9" type="noConversion"/>
  </si>
  <si>
    <t>W2-S1</t>
    <phoneticPr fontId="9" type="noConversion"/>
  </si>
  <si>
    <t>W2-F3</t>
    <phoneticPr fontId="9" type="noConversion"/>
  </si>
  <si>
    <t>H1-E3</t>
    <phoneticPr fontId="9" type="noConversion"/>
  </si>
  <si>
    <t>W1-8</t>
    <phoneticPr fontId="9" type="noConversion"/>
  </si>
  <si>
    <t>W2+W3-8</t>
    <phoneticPr fontId="9" type="noConversion"/>
  </si>
  <si>
    <t>H-2a-M1</t>
    <phoneticPr fontId="9" type="noConversion"/>
  </si>
  <si>
    <t>W1-N4</t>
    <phoneticPr fontId="9" type="noConversion"/>
  </si>
  <si>
    <t>N4</t>
    <phoneticPr fontId="9" type="noConversion"/>
  </si>
  <si>
    <t>H1-P2</t>
    <phoneticPr fontId="9" type="noConversion"/>
  </si>
  <si>
    <t>W3-Q1</t>
    <phoneticPr fontId="9" type="noConversion"/>
  </si>
  <si>
    <t>P2</t>
    <phoneticPr fontId="9" type="noConversion"/>
  </si>
  <si>
    <t>Q1</t>
    <phoneticPr fontId="9" type="noConversion"/>
  </si>
  <si>
    <t>H1-M2</t>
    <phoneticPr fontId="9" type="noConversion"/>
  </si>
  <si>
    <t>W3-N5</t>
    <phoneticPr fontId="9" type="noConversion"/>
  </si>
  <si>
    <t>M2</t>
    <phoneticPr fontId="9" type="noConversion"/>
  </si>
  <si>
    <t>N5</t>
    <phoneticPr fontId="9" type="noConversion"/>
  </si>
  <si>
    <t>H-2a-C1</t>
    <phoneticPr fontId="9" type="noConversion"/>
  </si>
  <si>
    <t>H-2a-C3</t>
    <phoneticPr fontId="9" type="noConversion"/>
  </si>
  <si>
    <t>C3</t>
    <phoneticPr fontId="9" type="noConversion"/>
  </si>
  <si>
    <t>H1-C4</t>
    <phoneticPr fontId="9" type="noConversion"/>
  </si>
  <si>
    <t>C5</t>
  </si>
  <si>
    <t>H2-C5</t>
    <phoneticPr fontId="9" type="noConversion"/>
  </si>
  <si>
    <t>D5</t>
    <phoneticPr fontId="9" type="noConversion"/>
  </si>
  <si>
    <t>D6</t>
  </si>
  <si>
    <t>D7</t>
  </si>
  <si>
    <t>W1-D5</t>
    <phoneticPr fontId="9" type="noConversion"/>
  </si>
  <si>
    <t>W2-D6</t>
    <phoneticPr fontId="9" type="noConversion"/>
  </si>
  <si>
    <t>W3-D7</t>
    <phoneticPr fontId="9" type="noConversion"/>
  </si>
  <si>
    <t>W3-D8</t>
    <phoneticPr fontId="9" type="noConversion"/>
  </si>
  <si>
    <t>X7</t>
  </si>
  <si>
    <t>X7</t>
    <phoneticPr fontId="9" type="noConversion"/>
  </si>
  <si>
    <t>X8</t>
  </si>
  <si>
    <t>X9</t>
  </si>
  <si>
    <t>H-2a-E1</t>
    <phoneticPr fontId="9" type="noConversion"/>
  </si>
  <si>
    <t>W1-F4</t>
    <phoneticPr fontId="9" type="noConversion"/>
  </si>
  <si>
    <t>W3-F5</t>
    <phoneticPr fontId="9" type="noConversion"/>
  </si>
  <si>
    <t>H1-E4</t>
    <phoneticPr fontId="9" type="noConversion"/>
  </si>
  <si>
    <t>W2-F6</t>
    <phoneticPr fontId="9" type="noConversion"/>
  </si>
  <si>
    <t>H-2a-E5</t>
    <phoneticPr fontId="9" type="noConversion"/>
  </si>
  <si>
    <t>W3-F7</t>
    <phoneticPr fontId="9" type="noConversion"/>
  </si>
  <si>
    <t>H2-E6</t>
    <phoneticPr fontId="9" type="noConversion"/>
  </si>
  <si>
    <t>W2-8</t>
    <phoneticPr fontId="9" type="noConversion"/>
  </si>
  <si>
    <t>H1</t>
    <phoneticPr fontId="9" type="noConversion"/>
  </si>
  <si>
    <t>W2-N4</t>
    <phoneticPr fontId="9" type="noConversion"/>
  </si>
  <si>
    <t>M3</t>
    <phoneticPr fontId="9" type="noConversion"/>
  </si>
  <si>
    <t>H1-M3</t>
    <phoneticPr fontId="9" type="noConversion"/>
  </si>
  <si>
    <t>W1-N6</t>
    <phoneticPr fontId="9" type="noConversion"/>
  </si>
  <si>
    <t>N6</t>
    <phoneticPr fontId="9" type="noConversion"/>
  </si>
  <si>
    <t>H1-C6</t>
    <phoneticPr fontId="9" type="noConversion"/>
  </si>
  <si>
    <t>W2-D1-8</t>
    <phoneticPr fontId="9" type="noConversion"/>
  </si>
  <si>
    <t>W1-D9-8</t>
    <phoneticPr fontId="9" type="noConversion"/>
  </si>
  <si>
    <t>W2-F1-8</t>
    <phoneticPr fontId="9" type="noConversion"/>
  </si>
  <si>
    <t>H1-E7</t>
    <phoneticPr fontId="9" type="noConversion"/>
  </si>
  <si>
    <t>W1-F8</t>
    <phoneticPr fontId="9" type="noConversion"/>
  </si>
  <si>
    <t>H1+H2</t>
    <phoneticPr fontId="9" type="noConversion"/>
  </si>
  <si>
    <t>W1-Q2</t>
    <phoneticPr fontId="9" type="noConversion"/>
  </si>
  <si>
    <t>Q2</t>
    <phoneticPr fontId="9" type="noConversion"/>
  </si>
  <si>
    <t>C6</t>
    <phoneticPr fontId="9" type="noConversion"/>
  </si>
  <si>
    <t>D9</t>
    <phoneticPr fontId="9" type="noConversion"/>
  </si>
  <si>
    <t>X8</t>
    <phoneticPr fontId="9" type="noConversion"/>
  </si>
  <si>
    <t>X9</t>
    <phoneticPr fontId="9" type="noConversion"/>
  </si>
  <si>
    <t>H1-M4</t>
    <phoneticPr fontId="9" type="noConversion"/>
  </si>
  <si>
    <t>M4</t>
    <phoneticPr fontId="9" type="noConversion"/>
  </si>
  <si>
    <t>H2-R2</t>
    <phoneticPr fontId="9" type="noConversion"/>
  </si>
  <si>
    <t>W1-S2</t>
    <phoneticPr fontId="9" type="noConversion"/>
  </si>
  <si>
    <t>R2</t>
    <phoneticPr fontId="9" type="noConversion"/>
  </si>
  <si>
    <t>S2</t>
    <phoneticPr fontId="9" type="noConversion"/>
  </si>
  <si>
    <t>H1-C7</t>
    <phoneticPr fontId="9" type="noConversion"/>
  </si>
  <si>
    <t>C7</t>
    <phoneticPr fontId="9" type="noConversion"/>
  </si>
  <si>
    <t>C8</t>
    <phoneticPr fontId="9" type="noConversion"/>
  </si>
  <si>
    <t>H2-C8</t>
    <phoneticPr fontId="9" type="noConversion"/>
  </si>
  <si>
    <t>W1-D4-8</t>
    <phoneticPr fontId="9" type="noConversion"/>
  </si>
  <si>
    <t>H1-E8</t>
    <phoneticPr fontId="9" type="noConversion"/>
  </si>
  <si>
    <t>W1-F9-8</t>
    <phoneticPr fontId="9" type="noConversion"/>
  </si>
  <si>
    <t>NZC</t>
    <phoneticPr fontId="9" type="noConversion"/>
  </si>
  <si>
    <t>TLM</t>
    <phoneticPr fontId="9" type="noConversion"/>
  </si>
  <si>
    <t>WC</t>
    <phoneticPr fontId="5" type="noConversion"/>
  </si>
  <si>
    <t>WC</t>
    <phoneticPr fontId="9" type="noConversion"/>
  </si>
  <si>
    <r>
      <rPr>
        <sz val="10"/>
        <color theme="0"/>
        <rFont val="宋体"/>
        <family val="3"/>
        <charset val="134"/>
      </rPr>
      <t>内开窗</t>
    </r>
    <r>
      <rPr>
        <sz val="10"/>
        <color theme="0"/>
        <rFont val="Arial"/>
        <family val="2"/>
      </rPr>
      <t>1</t>
    </r>
    <phoneticPr fontId="5" type="noConversion"/>
  </si>
  <si>
    <t>原型：</t>
    <phoneticPr fontId="5" type="noConversion"/>
  </si>
  <si>
    <r>
      <rPr>
        <sz val="10"/>
        <color theme="0"/>
        <rFont val="宋体"/>
        <family val="3"/>
        <charset val="134"/>
      </rPr>
      <t>内开窗</t>
    </r>
    <r>
      <rPr>
        <sz val="10"/>
        <color theme="0"/>
        <rFont val="Arial"/>
        <family val="2"/>
      </rPr>
      <t>2</t>
    </r>
    <phoneticPr fontId="5" type="noConversion"/>
  </si>
  <si>
    <r>
      <rPr>
        <sz val="10"/>
        <color theme="0"/>
        <rFont val="宋体"/>
        <family val="3"/>
        <charset val="134"/>
      </rPr>
      <t>内开窗</t>
    </r>
    <r>
      <rPr>
        <sz val="10"/>
        <color theme="0"/>
        <rFont val="Arial"/>
        <family val="2"/>
      </rPr>
      <t>3</t>
    </r>
    <phoneticPr fontId="5" type="noConversion"/>
  </si>
  <si>
    <r>
      <rPr>
        <sz val="10"/>
        <color theme="0"/>
        <rFont val="宋体"/>
        <family val="3"/>
        <charset val="134"/>
      </rPr>
      <t>推拉窗</t>
    </r>
    <r>
      <rPr>
        <sz val="10"/>
        <color theme="0"/>
        <rFont val="Arial"/>
        <family val="2"/>
      </rPr>
      <t>1</t>
    </r>
    <phoneticPr fontId="5" type="noConversion"/>
  </si>
  <si>
    <r>
      <rPr>
        <sz val="10"/>
        <color theme="0"/>
        <rFont val="宋体"/>
        <family val="3"/>
        <charset val="134"/>
      </rPr>
      <t>推拉门</t>
    </r>
    <r>
      <rPr>
        <sz val="10"/>
        <color theme="0"/>
        <rFont val="Arial"/>
        <family val="2"/>
      </rPr>
      <t>1</t>
    </r>
    <phoneticPr fontId="5" type="noConversion"/>
  </si>
  <si>
    <t>WZC</t>
    <phoneticPr fontId="5" type="noConversion"/>
  </si>
  <si>
    <t>WM</t>
    <phoneticPr fontId="9" type="noConversion"/>
  </si>
  <si>
    <t>W-2a-S1*2</t>
    <phoneticPr fontId="9" type="noConversion"/>
  </si>
  <si>
    <t>W1-Q2-8</t>
    <phoneticPr fontId="9" type="noConversion"/>
  </si>
  <si>
    <t>W1-N2-S1/2</t>
    <phoneticPr fontId="9" type="noConversion"/>
  </si>
  <si>
    <t>W1-D2-S1/2</t>
    <phoneticPr fontId="9" type="noConversion"/>
  </si>
  <si>
    <t>W1-D3-S1/2</t>
    <phoneticPr fontId="9" type="noConversion"/>
  </si>
  <si>
    <t>W1-F3-S1/2</t>
    <phoneticPr fontId="9" type="noConversion"/>
  </si>
  <si>
    <t>W1-F2-S1/2</t>
    <phoneticPr fontId="9" type="noConversion"/>
  </si>
  <si>
    <t>W1-Q2-S1/2</t>
    <phoneticPr fontId="9" type="noConversion"/>
  </si>
  <si>
    <t>W1-F2-S1/2</t>
    <phoneticPr fontId="9" type="noConversion"/>
  </si>
  <si>
    <t>W1-F3-S1/2</t>
    <phoneticPr fontId="9" type="noConversion"/>
  </si>
  <si>
    <t>H1-M4</t>
    <phoneticPr fontId="5" type="noConversion"/>
  </si>
  <si>
    <t>GS09A9620b</t>
    <phoneticPr fontId="5" type="noConversion"/>
  </si>
  <si>
    <t>下滑</t>
    <phoneticPr fontId="5" type="noConversion"/>
  </si>
  <si>
    <t>GS09A6620b</t>
    <phoneticPr fontId="5" type="noConversion"/>
  </si>
  <si>
    <t>边封</t>
    <phoneticPr fontId="5" type="noConversion"/>
  </si>
  <si>
    <t>GS09A8920b</t>
    <phoneticPr fontId="5" type="noConversion"/>
  </si>
  <si>
    <t>上滑</t>
    <phoneticPr fontId="5" type="noConversion"/>
  </si>
  <si>
    <t>GS09A9620a</t>
    <phoneticPr fontId="5" type="noConversion"/>
  </si>
  <si>
    <t>GS09A6620a</t>
    <phoneticPr fontId="5" type="noConversion"/>
  </si>
  <si>
    <t>GS09A10720</t>
    <phoneticPr fontId="5" type="noConversion"/>
  </si>
  <si>
    <t>上方</t>
    <phoneticPr fontId="5" type="noConversion"/>
  </si>
  <si>
    <t>GS09A11020</t>
    <phoneticPr fontId="5" type="noConversion"/>
  </si>
  <si>
    <t>光企</t>
    <phoneticPr fontId="5" type="noConversion"/>
  </si>
  <si>
    <t xml:space="preserve">GS09A11120 </t>
    <phoneticPr fontId="5" type="noConversion"/>
  </si>
  <si>
    <t>勾企</t>
    <phoneticPr fontId="5" type="noConversion"/>
  </si>
  <si>
    <t>GS09A10820</t>
    <phoneticPr fontId="5" type="noConversion"/>
  </si>
  <si>
    <t>下方</t>
    <phoneticPr fontId="5" type="noConversion"/>
  </si>
  <si>
    <t>GS09A8920a</t>
    <phoneticPr fontId="5" type="noConversion"/>
  </si>
  <si>
    <t>GS09A8920</t>
    <phoneticPr fontId="5" type="noConversion"/>
  </si>
  <si>
    <t>GS09A9620</t>
    <phoneticPr fontId="5" type="noConversion"/>
  </si>
  <si>
    <t>GS09A6620</t>
    <phoneticPr fontId="5" type="noConversion"/>
  </si>
  <si>
    <t>GS09A12720</t>
    <phoneticPr fontId="5" type="noConversion"/>
  </si>
  <si>
    <t>门框</t>
    <phoneticPr fontId="5" type="noConversion"/>
  </si>
  <si>
    <t>H-2a</t>
    <phoneticPr fontId="9" type="noConversion"/>
  </si>
  <si>
    <t>竖边框</t>
    <phoneticPr fontId="9" type="noConversion"/>
  </si>
  <si>
    <t>GS09A11020</t>
    <phoneticPr fontId="9" type="noConversion"/>
  </si>
  <si>
    <t xml:space="preserve">GS09A11120 </t>
    <phoneticPr fontId="9" type="noConversion"/>
  </si>
  <si>
    <t>GS09A10720</t>
    <phoneticPr fontId="9" type="noConversion"/>
  </si>
  <si>
    <t>GS09A10820</t>
    <phoneticPr fontId="9" type="noConversion"/>
  </si>
  <si>
    <t>下方</t>
    <phoneticPr fontId="5" type="noConversion"/>
  </si>
  <si>
    <t>W-2a-M2</t>
    <phoneticPr fontId="9" type="noConversion"/>
  </si>
  <si>
    <t>H1-P3</t>
    <phoneticPr fontId="9" type="noConversion"/>
  </si>
  <si>
    <t>W1-N3</t>
    <phoneticPr fontId="9" type="noConversion"/>
  </si>
  <si>
    <t>M2</t>
    <phoneticPr fontId="9" type="noConversion"/>
  </si>
  <si>
    <t>P3</t>
    <phoneticPr fontId="9" type="noConversion"/>
  </si>
  <si>
    <t>N3</t>
    <phoneticPr fontId="9" type="noConversion"/>
  </si>
  <si>
    <t>W1-F3</t>
    <phoneticPr fontId="9" type="noConversion"/>
  </si>
  <si>
    <t>H1-E3</t>
    <phoneticPr fontId="9" type="noConversion"/>
  </si>
  <si>
    <t>091(09A)系列扣减尺寸</t>
    <phoneticPr fontId="5" type="noConversion"/>
  </si>
  <si>
    <t>092(09B)系列扣减尺寸</t>
    <phoneticPr fontId="5" type="noConversion"/>
  </si>
  <si>
    <t>窗型</t>
    <phoneticPr fontId="5" type="noConversion"/>
  </si>
  <si>
    <t>内开窗</t>
    <phoneticPr fontId="9" type="noConversion"/>
  </si>
  <si>
    <t>NC1</t>
    <phoneticPr fontId="9" type="noConversion"/>
  </si>
  <si>
    <t>NC2</t>
  </si>
  <si>
    <t>NC3</t>
  </si>
  <si>
    <t>NC4</t>
  </si>
  <si>
    <t>NC5</t>
  </si>
  <si>
    <t>NC6</t>
  </si>
  <si>
    <t>NC7</t>
  </si>
  <si>
    <t>NC8</t>
  </si>
  <si>
    <t>NC9</t>
  </si>
  <si>
    <t>NC10</t>
  </si>
  <si>
    <t>NZC1</t>
    <phoneticPr fontId="5" type="noConversion"/>
  </si>
  <si>
    <t>NZC2</t>
  </si>
  <si>
    <t>NZC3</t>
  </si>
  <si>
    <t>NZC4</t>
  </si>
  <si>
    <t>TC1</t>
    <phoneticPr fontId="5" type="noConversion"/>
  </si>
  <si>
    <t>TC2</t>
  </si>
  <si>
    <t>推拉窗</t>
    <phoneticPr fontId="5" type="noConversion"/>
  </si>
  <si>
    <t>推拉门</t>
    <phoneticPr fontId="5" type="noConversion"/>
  </si>
  <si>
    <t>提升推拉门</t>
    <phoneticPr fontId="5" type="noConversion"/>
  </si>
  <si>
    <t>TLM1</t>
    <phoneticPr fontId="5" type="noConversion"/>
  </si>
  <si>
    <t>TLM4</t>
    <phoneticPr fontId="5" type="noConversion"/>
  </si>
  <si>
    <t>TLM5</t>
  </si>
  <si>
    <t>TLM6</t>
  </si>
  <si>
    <t>TLM2</t>
    <phoneticPr fontId="5" type="noConversion"/>
  </si>
  <si>
    <t>TLM3</t>
  </si>
  <si>
    <t>TLM7</t>
    <phoneticPr fontId="5" type="noConversion"/>
  </si>
  <si>
    <t>WC1</t>
    <phoneticPr fontId="5" type="noConversion"/>
  </si>
  <si>
    <t>WC2</t>
  </si>
  <si>
    <t>WC3</t>
  </si>
  <si>
    <t>WC4</t>
  </si>
  <si>
    <t>WC5</t>
  </si>
  <si>
    <t>WC6</t>
  </si>
  <si>
    <t>WC7</t>
  </si>
  <si>
    <t>WC8</t>
  </si>
  <si>
    <t>WC9</t>
  </si>
  <si>
    <t>WC10</t>
  </si>
  <si>
    <t>WC11</t>
  </si>
  <si>
    <t>外开窗</t>
    <phoneticPr fontId="5" type="noConversion"/>
  </si>
  <si>
    <t>WZC1</t>
    <phoneticPr fontId="5" type="noConversion"/>
  </si>
  <si>
    <t>WZC2</t>
  </si>
  <si>
    <t>WZC3</t>
  </si>
  <si>
    <t>WZC4</t>
  </si>
  <si>
    <t>外开门</t>
    <phoneticPr fontId="5" type="noConversion"/>
  </si>
  <si>
    <t>WM1</t>
    <phoneticPr fontId="5" type="noConversion"/>
  </si>
  <si>
    <t>WM2</t>
  </si>
  <si>
    <t>WM3</t>
  </si>
  <si>
    <t>WM4</t>
  </si>
  <si>
    <t>MLC1</t>
    <phoneticPr fontId="5" type="noConversion"/>
  </si>
  <si>
    <t>MLC2</t>
  </si>
  <si>
    <t>MLC3</t>
  </si>
  <si>
    <t>门联窗</t>
    <phoneticPr fontId="5" type="noConversion"/>
  </si>
  <si>
    <t>M1</t>
    <phoneticPr fontId="9" type="noConversion"/>
  </si>
  <si>
    <t>N1</t>
    <phoneticPr fontId="9" type="noConversion"/>
  </si>
  <si>
    <t>C1</t>
    <phoneticPr fontId="9" type="noConversion"/>
  </si>
  <si>
    <t>D1</t>
    <phoneticPr fontId="9" type="noConversion"/>
  </si>
  <si>
    <t>N2</t>
    <phoneticPr fontId="9" type="noConversion"/>
  </si>
  <si>
    <t>P1</t>
    <phoneticPr fontId="9" type="noConversion"/>
  </si>
  <si>
    <t>D9</t>
    <phoneticPr fontId="9" type="noConversion"/>
  </si>
  <si>
    <t>W1-D9</t>
    <phoneticPr fontId="9" type="noConversion"/>
  </si>
  <si>
    <t>M5</t>
    <phoneticPr fontId="5" type="noConversion"/>
  </si>
  <si>
    <t>H1-M5</t>
    <phoneticPr fontId="5" type="noConversion"/>
  </si>
  <si>
    <t>R3</t>
    <phoneticPr fontId="5" type="noConversion"/>
  </si>
  <si>
    <t>H2-R3</t>
    <phoneticPr fontId="5" type="noConversion"/>
  </si>
  <si>
    <t>N4</t>
    <phoneticPr fontId="5" type="noConversion"/>
  </si>
  <si>
    <t>W1-N4</t>
    <phoneticPr fontId="5" type="noConversion"/>
  </si>
  <si>
    <t>S2</t>
    <phoneticPr fontId="5" type="noConversion"/>
  </si>
  <si>
    <t>W2-S2</t>
    <phoneticPr fontId="5" type="noConversion"/>
  </si>
  <si>
    <t>W1-S2</t>
    <phoneticPr fontId="5" type="noConversion"/>
  </si>
  <si>
    <t>W1-S2-S3/2</t>
    <phoneticPr fontId="5" type="noConversion"/>
  </si>
  <si>
    <t>S3</t>
    <phoneticPr fontId="5" type="noConversion"/>
  </si>
  <si>
    <t>W-2A-S3</t>
    <phoneticPr fontId="5" type="noConversion"/>
  </si>
  <si>
    <t>W-2A-S3*2</t>
    <phoneticPr fontId="5" type="noConversion"/>
  </si>
  <si>
    <t>C4</t>
    <phoneticPr fontId="5" type="noConversion"/>
  </si>
  <si>
    <t>H1-C4</t>
    <phoneticPr fontId="5" type="noConversion"/>
  </si>
  <si>
    <t>D3</t>
    <phoneticPr fontId="5" type="noConversion"/>
  </si>
  <si>
    <t>W2-D3</t>
    <phoneticPr fontId="5" type="noConversion"/>
  </si>
  <si>
    <t>D4</t>
    <phoneticPr fontId="5" type="noConversion"/>
  </si>
  <si>
    <t>W3-D4</t>
    <phoneticPr fontId="5" type="noConversion"/>
  </si>
  <si>
    <t>D6</t>
    <phoneticPr fontId="5" type="noConversion"/>
  </si>
  <si>
    <t>W-2a-D6</t>
    <phoneticPr fontId="5" type="noConversion"/>
  </si>
  <si>
    <t>R1-R9</t>
    <phoneticPr fontId="9" type="noConversion"/>
  </si>
  <si>
    <t>F1</t>
    <phoneticPr fontId="9" type="noConversion"/>
  </si>
  <si>
    <t>E1</t>
    <phoneticPr fontId="9" type="noConversion"/>
  </si>
  <si>
    <t>F2</t>
    <phoneticPr fontId="9" type="noConversion"/>
  </si>
  <si>
    <t>F3</t>
  </si>
  <si>
    <t>E2</t>
  </si>
  <si>
    <t>F4</t>
    <phoneticPr fontId="9" type="noConversion"/>
  </si>
  <si>
    <t>F5</t>
    <phoneticPr fontId="9" type="noConversion"/>
  </si>
  <si>
    <t>E3</t>
    <phoneticPr fontId="9" type="noConversion"/>
  </si>
  <si>
    <t>E4</t>
    <phoneticPr fontId="9" type="noConversion"/>
  </si>
  <si>
    <t>F3</t>
    <phoneticPr fontId="9" type="noConversion"/>
  </si>
  <si>
    <t>F6</t>
    <phoneticPr fontId="9" type="noConversion"/>
  </si>
  <si>
    <t>E2</t>
    <phoneticPr fontId="9" type="noConversion"/>
  </si>
  <si>
    <t>F9</t>
    <phoneticPr fontId="9" type="noConversion"/>
  </si>
  <si>
    <t>E5</t>
    <phoneticPr fontId="9" type="noConversion"/>
  </si>
  <si>
    <t>E6</t>
    <phoneticPr fontId="9" type="noConversion"/>
  </si>
  <si>
    <t>F7</t>
    <phoneticPr fontId="9" type="noConversion"/>
  </si>
  <si>
    <t>F8</t>
    <phoneticPr fontId="9" type="noConversion"/>
  </si>
  <si>
    <t>F1</t>
    <phoneticPr fontId="9" type="noConversion"/>
  </si>
  <si>
    <t>E1</t>
    <phoneticPr fontId="9" type="noConversion"/>
  </si>
  <si>
    <t>F2</t>
    <phoneticPr fontId="9" type="noConversion"/>
  </si>
  <si>
    <t>E2</t>
    <phoneticPr fontId="9" type="noConversion"/>
  </si>
  <si>
    <t>E3</t>
    <phoneticPr fontId="9" type="noConversion"/>
  </si>
  <si>
    <t>F3</t>
    <phoneticPr fontId="9" type="noConversion"/>
  </si>
  <si>
    <t>F1</t>
    <phoneticPr fontId="5" type="noConversion"/>
  </si>
  <si>
    <t>E1</t>
    <phoneticPr fontId="5" type="noConversion"/>
  </si>
  <si>
    <t>F2</t>
    <phoneticPr fontId="5" type="noConversion"/>
  </si>
  <si>
    <t>E2</t>
    <phoneticPr fontId="5" type="noConversion"/>
  </si>
  <si>
    <t>E3</t>
    <phoneticPr fontId="5" type="noConversion"/>
  </si>
  <si>
    <t>F6</t>
    <phoneticPr fontId="5" type="noConversion"/>
  </si>
  <si>
    <t>F7</t>
    <phoneticPr fontId="5" type="noConversion"/>
  </si>
  <si>
    <t>E8</t>
    <phoneticPr fontId="5" type="noConversion"/>
  </si>
  <si>
    <t>F5</t>
    <phoneticPr fontId="5" type="noConversion"/>
  </si>
  <si>
    <t>E5</t>
    <phoneticPr fontId="5" type="noConversion"/>
  </si>
  <si>
    <t>F8</t>
    <phoneticPr fontId="5" type="noConversion"/>
  </si>
  <si>
    <t>E6</t>
    <phoneticPr fontId="5" type="noConversion"/>
  </si>
  <si>
    <t>E7</t>
    <phoneticPr fontId="5" type="noConversion"/>
  </si>
  <si>
    <t>F9</t>
    <phoneticPr fontId="5" type="noConversion"/>
  </si>
  <si>
    <t>W1-F2</t>
    <phoneticPr fontId="9" type="noConversion"/>
  </si>
  <si>
    <t>F4</t>
    <phoneticPr fontId="9" type="noConversion"/>
  </si>
  <si>
    <t>F5</t>
    <phoneticPr fontId="9" type="noConversion"/>
  </si>
  <si>
    <t>F6</t>
    <phoneticPr fontId="9" type="noConversion"/>
  </si>
  <si>
    <t>F7</t>
    <phoneticPr fontId="9" type="noConversion"/>
  </si>
  <si>
    <t>E4</t>
    <phoneticPr fontId="9" type="noConversion"/>
  </si>
  <si>
    <t>E5</t>
    <phoneticPr fontId="9" type="noConversion"/>
  </si>
  <si>
    <t>E6</t>
    <phoneticPr fontId="9" type="noConversion"/>
  </si>
  <si>
    <t>F8</t>
    <phoneticPr fontId="9" type="noConversion"/>
  </si>
  <si>
    <t>E7</t>
    <phoneticPr fontId="9" type="noConversion"/>
  </si>
  <si>
    <t>F9</t>
    <phoneticPr fontId="9" type="noConversion"/>
  </si>
  <si>
    <t>E8</t>
    <phoneticPr fontId="9" type="noConversion"/>
  </si>
  <si>
    <t>E4</t>
    <phoneticPr fontId="5" type="noConversion"/>
  </si>
  <si>
    <t>H1-E4</t>
    <phoneticPr fontId="5" type="noConversion"/>
  </si>
  <si>
    <t>F3</t>
    <phoneticPr fontId="5" type="noConversion"/>
  </si>
  <si>
    <t>W3-F3</t>
    <phoneticPr fontId="5" type="noConversion"/>
  </si>
  <si>
    <t>F4</t>
    <phoneticPr fontId="5" type="noConversion"/>
  </si>
  <si>
    <t>W-2a-F4</t>
    <phoneticPr fontId="5" type="noConversion"/>
  </si>
  <si>
    <t>H2-E2</t>
    <phoneticPr fontId="9" type="noConversion"/>
  </si>
  <si>
    <t>W-2a</t>
    <phoneticPr fontId="9" type="noConversion"/>
  </si>
  <si>
    <t>C2</t>
    <phoneticPr fontId="9" type="noConversion"/>
  </si>
  <si>
    <t>D4</t>
    <phoneticPr fontId="9" type="noConversion"/>
  </si>
  <si>
    <r>
      <t>H-2a-</t>
    </r>
    <r>
      <rPr>
        <sz val="10"/>
        <color rgb="FFFF0000"/>
        <rFont val="宋体"/>
        <family val="3"/>
        <charset val="134"/>
      </rPr>
      <t>C2</t>
    </r>
    <phoneticPr fontId="9" type="noConversion"/>
  </si>
  <si>
    <r>
      <t>W2-</t>
    </r>
    <r>
      <rPr>
        <sz val="10"/>
        <color rgb="FFFF0000"/>
        <rFont val="宋体"/>
        <family val="3"/>
        <charset val="134"/>
      </rPr>
      <t>D4</t>
    </r>
    <phoneticPr fontId="9" type="noConversion"/>
  </si>
  <si>
    <t>E2</t>
    <phoneticPr fontId="9" type="noConversion"/>
  </si>
  <si>
    <t>H2-E4</t>
    <phoneticPr fontId="9" type="noConversion"/>
  </si>
  <si>
    <r>
      <t>H-2a-</t>
    </r>
    <r>
      <rPr>
        <sz val="10"/>
        <color rgb="FFFF0000"/>
        <rFont val="宋体"/>
        <family val="3"/>
        <charset val="134"/>
      </rPr>
      <t>E2</t>
    </r>
    <phoneticPr fontId="9" type="noConversion"/>
  </si>
  <si>
    <t>X10</t>
    <phoneticPr fontId="9" type="noConversion"/>
  </si>
  <si>
    <t>X11</t>
    <phoneticPr fontId="9" type="noConversion"/>
  </si>
  <si>
    <t>W1-N6-S3/2</t>
    <phoneticPr fontId="5" type="noConversion"/>
  </si>
  <si>
    <t>W1-Q2-S3/2</t>
    <phoneticPr fontId="5" type="noConversion"/>
  </si>
  <si>
    <t>W1-S4-S3/2</t>
    <phoneticPr fontId="5" type="noConversion"/>
  </si>
  <si>
    <t>W1-D7-S3/2</t>
    <phoneticPr fontId="5" type="noConversion"/>
  </si>
  <si>
    <t>W1-D8-S3/2</t>
    <phoneticPr fontId="5" type="noConversion"/>
  </si>
  <si>
    <t>W1-F6-S3/2</t>
    <phoneticPr fontId="5" type="noConversion"/>
  </si>
  <si>
    <t>W1-F7-S3/2</t>
    <phoneticPr fontId="5" type="noConversion"/>
  </si>
  <si>
    <t>W1-N4-S3/2</t>
    <phoneticPr fontId="5" type="noConversion"/>
  </si>
  <si>
    <t>W-2a-S3*2</t>
    <phoneticPr fontId="5" type="noConversion"/>
  </si>
  <si>
    <t>X10</t>
    <phoneticPr fontId="9" type="noConversion"/>
  </si>
  <si>
    <t>X11</t>
    <phoneticPr fontId="9" type="noConversion"/>
  </si>
  <si>
    <t>SN60Y001</t>
    <phoneticPr fontId="5" type="noConversion"/>
  </si>
  <si>
    <t>SN60P001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</si>
</sst>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.00_ "/>
    <numFmt numFmtId="177" formatCode="0_ "/>
    <numFmt numFmtId="178" formatCode="0.0_ "/>
    <numFmt numFmtId="179" formatCode="0.000"/>
    <numFmt numFmtId="180" formatCode="0.00_);[Red]\(0.00\)"/>
    <numFmt numFmtId="181" formatCode="0.0"/>
  </numFmts>
  <fonts count="48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b/>
      <sz val="14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10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theme="1"/>
      <name val="宋体"/>
      <family val="3"/>
      <charset val="134"/>
    </font>
    <font>
      <sz val="9"/>
      <name val="宋体"/>
      <family val="3"/>
      <charset val="134"/>
    </font>
    <font>
      <sz val="10"/>
      <color indexed="9"/>
      <name val="Arial"/>
      <family val="2"/>
    </font>
    <font>
      <sz val="10"/>
      <color theme="1"/>
      <name val="Arial"/>
      <family val="2"/>
    </font>
    <font>
      <sz val="10"/>
      <color indexed="9"/>
      <name val="宋体"/>
      <family val="3"/>
      <charset val="134"/>
    </font>
    <font>
      <sz val="10"/>
      <color rgb="FFFF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indexed="17"/>
      <name val="宋体"/>
      <family val="3"/>
      <charset val="134"/>
    </font>
    <font>
      <sz val="10"/>
      <color indexed="12"/>
      <name val="宋体"/>
      <family val="3"/>
      <charset val="134"/>
    </font>
    <font>
      <sz val="12"/>
      <name val="宋体"/>
      <family val="3"/>
      <charset val="134"/>
    </font>
    <font>
      <sz val="12"/>
      <color theme="1"/>
      <name val="宋体"/>
      <family val="2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2"/>
      <name val="宋体"/>
      <family val="3"/>
      <charset val="134"/>
    </font>
    <font>
      <sz val="12"/>
      <name val="宋体"/>
      <family val="2"/>
      <charset val="134"/>
    </font>
    <font>
      <sz val="12"/>
      <color indexed="8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name val="Arial"/>
      <family val="2"/>
    </font>
    <font>
      <sz val="12"/>
      <name val="宋体"/>
      <family val="2"/>
      <charset val="134"/>
      <scheme val="minor"/>
    </font>
    <font>
      <sz val="10"/>
      <name val="Times New Roman"/>
      <family val="1"/>
    </font>
    <font>
      <b/>
      <sz val="16"/>
      <name val="宋体"/>
      <family val="3"/>
      <charset val="134"/>
    </font>
    <font>
      <b/>
      <sz val="10"/>
      <color theme="0"/>
      <name val="宋体"/>
      <family val="3"/>
      <charset val="134"/>
    </font>
    <font>
      <b/>
      <sz val="12"/>
      <color theme="0"/>
      <name val="宋体"/>
      <family val="3"/>
      <charset val="134"/>
    </font>
    <font>
      <sz val="10"/>
      <color theme="0"/>
      <name val="宋体"/>
      <family val="3"/>
      <charset val="134"/>
    </font>
    <font>
      <b/>
      <sz val="1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b/>
      <sz val="12"/>
      <color indexed="8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0"/>
      <color rgb="FFFF0000"/>
      <name val="宋体"/>
      <family val="2"/>
      <charset val="134"/>
      <scheme val="minor"/>
    </font>
    <font>
      <sz val="10"/>
      <color rgb="FFFF0000"/>
      <name val="Arial"/>
      <family val="2"/>
    </font>
    <font>
      <sz val="10"/>
      <color theme="0"/>
      <name val="Arial"/>
      <family val="2"/>
    </font>
    <font>
      <sz val="10"/>
      <color theme="0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/>
      <right style="thin">
        <color indexed="8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indexed="65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/>
    <xf numFmtId="0" fontId="6" fillId="0" borderId="0" applyProtection="0"/>
    <xf numFmtId="0" fontId="6" fillId="0" borderId="0" applyProtection="0"/>
    <xf numFmtId="0" fontId="3" fillId="0" borderId="0" applyProtection="0">
      <alignment vertical="center"/>
    </xf>
    <xf numFmtId="0" fontId="17" fillId="0" borderId="0"/>
    <xf numFmtId="0" fontId="17" fillId="0" borderId="0">
      <alignment vertical="center"/>
    </xf>
    <xf numFmtId="0" fontId="17" fillId="0" borderId="0"/>
  </cellStyleXfs>
  <cellXfs count="592">
    <xf numFmtId="0" fontId="0" fillId="0" borderId="0" xfId="0">
      <alignment vertical="center"/>
    </xf>
    <xf numFmtId="0" fontId="0" fillId="0" borderId="0" xfId="0" applyAlignment="1"/>
    <xf numFmtId="0" fontId="7" fillId="3" borderId="1" xfId="3" applyNumberFormat="1" applyFont="1" applyFill="1" applyBorder="1" applyAlignment="1">
      <alignment vertical="center" wrapText="1"/>
    </xf>
    <xf numFmtId="0" fontId="8" fillId="3" borderId="2" xfId="3" applyNumberFormat="1" applyFont="1" applyFill="1" applyBorder="1" applyAlignment="1">
      <alignment vertical="center" wrapText="1"/>
    </xf>
    <xf numFmtId="0" fontId="7" fillId="3" borderId="2" xfId="3" applyNumberFormat="1" applyFont="1" applyFill="1" applyBorder="1" applyAlignment="1">
      <alignment horizontal="right" vertical="center" wrapText="1"/>
    </xf>
    <xf numFmtId="0" fontId="7" fillId="3" borderId="2" xfId="3" applyNumberFormat="1" applyFont="1" applyFill="1" applyBorder="1" applyAlignment="1">
      <alignment horizontal="center" vertical="center"/>
    </xf>
    <xf numFmtId="1" fontId="7" fillId="3" borderId="2" xfId="3" applyNumberFormat="1" applyFont="1" applyFill="1" applyBorder="1" applyAlignment="1">
      <alignment horizontal="center" vertical="center" wrapText="1"/>
    </xf>
    <xf numFmtId="0" fontId="7" fillId="3" borderId="2" xfId="3" applyNumberFormat="1" applyFont="1" applyFill="1" applyBorder="1" applyAlignment="1">
      <alignment horizontal="center" vertical="center" wrapText="1"/>
    </xf>
    <xf numFmtId="176" fontId="7" fillId="3" borderId="2" xfId="3" applyNumberFormat="1" applyFont="1" applyFill="1" applyBorder="1" applyAlignment="1">
      <alignment horizontal="center" vertical="center" wrapText="1"/>
    </xf>
    <xf numFmtId="176" fontId="7" fillId="3" borderId="2" xfId="4" applyNumberFormat="1" applyFont="1" applyFill="1" applyBorder="1" applyAlignment="1">
      <alignment vertical="center"/>
    </xf>
    <xf numFmtId="0" fontId="7" fillId="3" borderId="2" xfId="4" applyNumberFormat="1" applyFont="1" applyFill="1" applyBorder="1" applyAlignment="1">
      <alignment vertical="center"/>
    </xf>
    <xf numFmtId="2" fontId="7" fillId="3" borderId="3" xfId="4" applyNumberFormat="1" applyFont="1" applyFill="1" applyBorder="1" applyAlignment="1">
      <alignment vertical="center" wrapText="1"/>
    </xf>
    <xf numFmtId="0" fontId="10" fillId="4" borderId="4" xfId="2" applyNumberFormat="1" applyFont="1" applyFill="1" applyBorder="1" applyAlignment="1">
      <alignment wrapText="1"/>
    </xf>
    <xf numFmtId="0" fontId="11" fillId="4" borderId="5" xfId="2" applyNumberFormat="1" applyFont="1" applyFill="1" applyBorder="1" applyAlignment="1">
      <alignment wrapText="1"/>
    </xf>
    <xf numFmtId="0" fontId="12" fillId="4" borderId="5" xfId="2" applyNumberFormat="1" applyFont="1" applyFill="1" applyBorder="1" applyAlignment="1">
      <alignment horizontal="center" wrapText="1"/>
    </xf>
    <xf numFmtId="0" fontId="10" fillId="4" borderId="5" xfId="2" applyNumberFormat="1" applyFont="1" applyFill="1" applyBorder="1" applyAlignment="1">
      <alignment wrapText="1"/>
    </xf>
    <xf numFmtId="0" fontId="6" fillId="5" borderId="6" xfId="2" applyNumberFormat="1" applyFont="1" applyFill="1" applyBorder="1" applyAlignment="1">
      <alignment horizontal="center" vertical="center"/>
    </xf>
    <xf numFmtId="2" fontId="6" fillId="5" borderId="6" xfId="2" applyNumberFormat="1" applyFont="1" applyFill="1" applyBorder="1" applyAlignment="1">
      <alignment horizontal="center" vertical="center"/>
    </xf>
    <xf numFmtId="0" fontId="10" fillId="4" borderId="0" xfId="2" applyNumberFormat="1" applyFont="1" applyFill="1" applyBorder="1" applyAlignment="1">
      <alignment wrapText="1"/>
    </xf>
    <xf numFmtId="2" fontId="10" fillId="4" borderId="5" xfId="2" applyNumberFormat="1" applyFont="1" applyFill="1" applyBorder="1" applyAlignment="1">
      <alignment wrapText="1"/>
    </xf>
    <xf numFmtId="2" fontId="10" fillId="4" borderId="7" xfId="2" applyNumberFormat="1" applyFont="1" applyFill="1" applyBorder="1" applyAlignment="1">
      <alignment wrapText="1"/>
    </xf>
    <xf numFmtId="0" fontId="10" fillId="4" borderId="8" xfId="2" applyNumberFormat="1" applyFont="1" applyFill="1" applyBorder="1" applyAlignment="1">
      <alignment wrapText="1"/>
    </xf>
    <xf numFmtId="0" fontId="11" fillId="4" borderId="0" xfId="2" applyNumberFormat="1" applyFont="1" applyFill="1" applyBorder="1" applyAlignment="1">
      <alignment wrapText="1"/>
    </xf>
    <xf numFmtId="0" fontId="12" fillId="4" borderId="0" xfId="2" applyNumberFormat="1" applyFont="1" applyFill="1" applyBorder="1" applyAlignment="1">
      <alignment horizontal="center" wrapText="1"/>
    </xf>
    <xf numFmtId="0" fontId="6" fillId="5" borderId="6" xfId="2" applyNumberFormat="1" applyFont="1" applyFill="1" applyBorder="1" applyAlignment="1"/>
    <xf numFmtId="1" fontId="13" fillId="5" borderId="6" xfId="2" applyNumberFormat="1" applyFont="1" applyFill="1" applyBorder="1" applyAlignment="1">
      <alignment horizontal="center"/>
    </xf>
    <xf numFmtId="2" fontId="6" fillId="5" borderId="6" xfId="2" applyNumberFormat="1" applyFont="1" applyFill="1" applyBorder="1" applyAlignment="1"/>
    <xf numFmtId="2" fontId="10" fillId="4" borderId="0" xfId="2" applyNumberFormat="1" applyFont="1" applyFill="1" applyBorder="1" applyAlignment="1">
      <alignment wrapText="1"/>
    </xf>
    <xf numFmtId="2" fontId="10" fillId="4" borderId="9" xfId="2" applyNumberFormat="1" applyFont="1" applyFill="1" applyBorder="1" applyAlignment="1">
      <alignment wrapText="1"/>
    </xf>
    <xf numFmtId="0" fontId="6" fillId="5" borderId="6" xfId="2" applyNumberFormat="1" applyFont="1" applyFill="1" applyBorder="1" applyAlignment="1">
      <alignment vertical="center"/>
    </xf>
    <xf numFmtId="2" fontId="6" fillId="5" borderId="6" xfId="2" applyNumberFormat="1" applyFont="1" applyFill="1" applyBorder="1" applyAlignment="1">
      <alignment vertical="center"/>
    </xf>
    <xf numFmtId="176" fontId="6" fillId="5" borderId="6" xfId="2" applyNumberFormat="1" applyFont="1" applyFill="1" applyBorder="1" applyAlignment="1"/>
    <xf numFmtId="0" fontId="10" fillId="4" borderId="10" xfId="2" applyNumberFormat="1" applyFont="1" applyFill="1" applyBorder="1" applyAlignment="1">
      <alignment wrapText="1"/>
    </xf>
    <xf numFmtId="0" fontId="11" fillId="4" borderId="11" xfId="2" applyNumberFormat="1" applyFont="1" applyFill="1" applyBorder="1" applyAlignment="1">
      <alignment wrapText="1"/>
    </xf>
    <xf numFmtId="0" fontId="12" fillId="4" borderId="11" xfId="2" applyNumberFormat="1" applyFont="1" applyFill="1" applyBorder="1" applyAlignment="1">
      <alignment horizontal="center" wrapText="1"/>
    </xf>
    <xf numFmtId="0" fontId="10" fillId="4" borderId="11" xfId="2" applyNumberFormat="1" applyFont="1" applyFill="1" applyBorder="1" applyAlignment="1">
      <alignment wrapText="1"/>
    </xf>
    <xf numFmtId="178" fontId="6" fillId="5" borderId="6" xfId="2" applyNumberFormat="1" applyFont="1" applyFill="1" applyBorder="1" applyAlignment="1"/>
    <xf numFmtId="2" fontId="10" fillId="4" borderId="11" xfId="2" applyNumberFormat="1" applyFont="1" applyFill="1" applyBorder="1" applyAlignment="1">
      <alignment wrapText="1"/>
    </xf>
    <xf numFmtId="2" fontId="10" fillId="4" borderId="12" xfId="2" applyNumberFormat="1" applyFont="1" applyFill="1" applyBorder="1" applyAlignment="1">
      <alignment wrapText="1"/>
    </xf>
    <xf numFmtId="0" fontId="7" fillId="6" borderId="13" xfId="2" applyNumberFormat="1" applyFont="1" applyFill="1" applyBorder="1" applyAlignment="1">
      <alignment horizontal="center" vertical="center" wrapText="1"/>
    </xf>
    <xf numFmtId="0" fontId="7" fillId="6" borderId="14" xfId="2" applyNumberFormat="1" applyFont="1" applyFill="1" applyBorder="1" applyAlignment="1">
      <alignment horizontal="center" vertical="center" wrapText="1"/>
    </xf>
    <xf numFmtId="2" fontId="7" fillId="6" borderId="14" xfId="2" applyNumberFormat="1" applyFont="1" applyFill="1" applyBorder="1" applyAlignment="1">
      <alignment horizontal="center" vertical="center" wrapText="1"/>
    </xf>
    <xf numFmtId="10" fontId="7" fillId="6" borderId="11" xfId="2" applyNumberFormat="1" applyFont="1" applyFill="1" applyBorder="1" applyAlignment="1">
      <alignment horizontal="center" vertical="center" wrapText="1"/>
    </xf>
    <xf numFmtId="2" fontId="7" fillId="6" borderId="6" xfId="5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0" fontId="7" fillId="0" borderId="6" xfId="2" applyNumberFormat="1" applyFont="1" applyFill="1" applyBorder="1" applyAlignment="1">
      <alignment horizontal="center" vertical="center" wrapText="1"/>
    </xf>
    <xf numFmtId="176" fontId="7" fillId="0" borderId="6" xfId="2" applyNumberFormat="1" applyFont="1" applyFill="1" applyBorder="1" applyAlignment="1">
      <alignment horizontal="center" vertical="center" wrapText="1"/>
    </xf>
    <xf numFmtId="179" fontId="7" fillId="0" borderId="6" xfId="2" applyNumberFormat="1" applyFont="1" applyFill="1" applyBorder="1" applyAlignment="1">
      <alignment horizontal="center" vertical="center" wrapText="1"/>
    </xf>
    <xf numFmtId="10" fontId="7" fillId="0" borderId="6" xfId="1" applyNumberFormat="1" applyFont="1" applyFill="1" applyBorder="1" applyAlignment="1" applyProtection="1">
      <alignment horizontal="center" vertical="center" wrapText="1"/>
    </xf>
    <xf numFmtId="176" fontId="7" fillId="0" borderId="6" xfId="2" applyNumberFormat="1" applyFont="1" applyFill="1" applyBorder="1" applyAlignment="1" applyProtection="1">
      <alignment horizontal="center" vertical="center" wrapText="1"/>
    </xf>
    <xf numFmtId="2" fontId="7" fillId="0" borderId="16" xfId="2" applyNumberFormat="1" applyFont="1" applyFill="1" applyBorder="1" applyAlignment="1">
      <alignment horizontal="center" vertical="center"/>
    </xf>
    <xf numFmtId="0" fontId="8" fillId="0" borderId="6" xfId="2" applyNumberFormat="1" applyFont="1" applyFill="1" applyBorder="1" applyAlignment="1">
      <alignment horizontal="center" vertical="center" wrapText="1"/>
    </xf>
    <xf numFmtId="176" fontId="7" fillId="0" borderId="6" xfId="0" applyNumberFormat="1" applyFont="1" applyFill="1" applyBorder="1" applyAlignment="1">
      <alignment horizontal="center" vertical="center" wrapText="1"/>
    </xf>
    <xf numFmtId="0" fontId="8" fillId="0" borderId="15" xfId="2" applyNumberFormat="1" applyFont="1" applyFill="1" applyBorder="1" applyAlignment="1">
      <alignment horizontal="center" vertical="center" wrapText="1"/>
    </xf>
    <xf numFmtId="176" fontId="7" fillId="0" borderId="15" xfId="2" applyNumberFormat="1" applyFont="1" applyFill="1" applyBorder="1" applyAlignment="1">
      <alignment horizontal="center" vertical="center" wrapText="1"/>
    </xf>
    <xf numFmtId="0" fontId="7" fillId="0" borderId="15" xfId="2" applyNumberFormat="1" applyFont="1" applyFill="1" applyBorder="1" applyAlignment="1">
      <alignment horizontal="center" vertical="center" wrapText="1"/>
    </xf>
    <xf numFmtId="176" fontId="7" fillId="0" borderId="15" xfId="2" applyNumberFormat="1" applyFont="1" applyFill="1" applyBorder="1" applyAlignment="1" applyProtection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6" fontId="7" fillId="0" borderId="1" xfId="2" applyNumberFormat="1" applyFont="1" applyFill="1" applyBorder="1" applyAlignment="1">
      <alignment horizontal="center" vertical="center" wrapText="1"/>
    </xf>
    <xf numFmtId="10" fontId="7" fillId="0" borderId="1" xfId="1" applyNumberFormat="1" applyFont="1" applyFill="1" applyBorder="1" applyAlignment="1" applyProtection="1">
      <alignment horizontal="center" vertical="center" wrapText="1"/>
    </xf>
    <xf numFmtId="176" fontId="7" fillId="0" borderId="16" xfId="2" applyNumberFormat="1" applyFont="1" applyFill="1" applyBorder="1" applyAlignment="1" applyProtection="1">
      <alignment horizontal="center" vertical="center" wrapText="1"/>
    </xf>
    <xf numFmtId="0" fontId="7" fillId="7" borderId="6" xfId="2" applyNumberFormat="1" applyFont="1" applyFill="1" applyBorder="1" applyAlignment="1">
      <alignment vertical="center" wrapText="1"/>
    </xf>
    <xf numFmtId="176" fontId="15" fillId="7" borderId="6" xfId="2" applyNumberFormat="1" applyFont="1" applyFill="1" applyBorder="1" applyAlignment="1">
      <alignment horizontal="center" vertical="center" wrapText="1"/>
    </xf>
    <xf numFmtId="10" fontId="7" fillId="7" borderId="1" xfId="2" applyNumberFormat="1" applyFont="1" applyFill="1" applyBorder="1" applyAlignment="1">
      <alignment horizontal="center" vertical="center" wrapText="1"/>
    </xf>
    <xf numFmtId="2" fontId="7" fillId="7" borderId="18" xfId="2" applyNumberFormat="1" applyFont="1" applyFill="1" applyBorder="1" applyAlignment="1">
      <alignment horizontal="center" vertical="center" wrapText="1"/>
    </xf>
    <xf numFmtId="177" fontId="16" fillId="6" borderId="6" xfId="2" applyNumberFormat="1" applyFont="1" applyFill="1" applyBorder="1" applyAlignment="1">
      <alignment horizontal="center" vertical="center" wrapText="1"/>
    </xf>
    <xf numFmtId="0" fontId="7" fillId="6" borderId="6" xfId="2" applyNumberFormat="1" applyFont="1" applyFill="1" applyBorder="1" applyAlignment="1">
      <alignment horizontal="center" vertical="center" wrapText="1"/>
    </xf>
    <xf numFmtId="2" fontId="7" fillId="6" borderId="6" xfId="2" applyNumberFormat="1" applyFont="1" applyFill="1" applyBorder="1" applyAlignment="1">
      <alignment horizontal="center" vertical="center" wrapText="1"/>
    </xf>
    <xf numFmtId="0" fontId="7" fillId="6" borderId="19" xfId="2" applyNumberFormat="1" applyFont="1" applyFill="1" applyBorder="1" applyAlignment="1">
      <alignment horizontal="center" vertical="center" wrapText="1"/>
    </xf>
    <xf numFmtId="10" fontId="7" fillId="6" borderId="20" xfId="2" applyNumberFormat="1" applyFont="1" applyFill="1" applyBorder="1" applyAlignment="1">
      <alignment horizontal="center" vertical="center" wrapText="1"/>
    </xf>
    <xf numFmtId="1" fontId="7" fillId="0" borderId="6" xfId="2" applyNumberFormat="1" applyFont="1" applyFill="1" applyBorder="1" applyAlignment="1">
      <alignment horizontal="center" vertical="center" wrapText="1"/>
    </xf>
    <xf numFmtId="10" fontId="7" fillId="0" borderId="6" xfId="2" applyNumberFormat="1" applyFont="1" applyFill="1" applyBorder="1" applyAlignment="1">
      <alignment horizontal="center" vertical="center" wrapText="1"/>
    </xf>
    <xf numFmtId="2" fontId="7" fillId="0" borderId="6" xfId="2" applyNumberFormat="1" applyFont="1" applyFill="1" applyBorder="1" applyAlignment="1">
      <alignment horizontal="center" vertical="center" wrapText="1"/>
    </xf>
    <xf numFmtId="2" fontId="7" fillId="0" borderId="6" xfId="2" applyNumberFormat="1" applyFont="1" applyFill="1" applyBorder="1" applyAlignment="1">
      <alignment vertical="center"/>
    </xf>
    <xf numFmtId="177" fontId="16" fillId="7" borderId="6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177" fontId="7" fillId="0" borderId="6" xfId="0" applyNumberFormat="1" applyFont="1" applyFill="1" applyBorder="1" applyAlignment="1" applyProtection="1">
      <alignment horizontal="center" vertical="center" wrapText="1"/>
    </xf>
    <xf numFmtId="0" fontId="14" fillId="0" borderId="6" xfId="0" applyFont="1" applyFill="1" applyBorder="1" applyAlignment="1"/>
    <xf numFmtId="0" fontId="7" fillId="0" borderId="6" xfId="0" applyNumberFormat="1" applyFont="1" applyFill="1" applyBorder="1" applyAlignment="1" applyProtection="1">
      <alignment horizontal="center" vertical="center" wrapText="1"/>
    </xf>
    <xf numFmtId="2" fontId="7" fillId="0" borderId="6" xfId="0" applyNumberFormat="1" applyFont="1" applyFill="1" applyBorder="1" applyAlignment="1" applyProtection="1">
      <alignment horizontal="center" vertical="center" wrapText="1"/>
    </xf>
    <xf numFmtId="176" fontId="7" fillId="0" borderId="6" xfId="0" applyNumberFormat="1" applyFont="1" applyFill="1" applyBorder="1" applyAlignment="1" applyProtection="1">
      <alignment horizontal="center" vertical="center" wrapText="1"/>
    </xf>
    <xf numFmtId="10" fontId="7" fillId="0" borderId="1" xfId="0" applyNumberFormat="1" applyFont="1" applyFill="1" applyBorder="1" applyAlignment="1" applyProtection="1">
      <alignment horizontal="center" vertical="center" wrapText="1"/>
    </xf>
    <xf numFmtId="176" fontId="7" fillId="0" borderId="6" xfId="5" applyNumberFormat="1" applyFont="1" applyFill="1" applyBorder="1" applyAlignment="1">
      <alignment horizontal="center" vertical="center" wrapText="1"/>
    </xf>
    <xf numFmtId="2" fontId="7" fillId="6" borderId="17" xfId="2" applyNumberFormat="1" applyFont="1" applyFill="1" applyBorder="1" applyAlignment="1">
      <alignment horizontal="center" vertical="center" wrapText="1"/>
    </xf>
    <xf numFmtId="10" fontId="7" fillId="6" borderId="1" xfId="2" applyNumberFormat="1" applyFont="1" applyFill="1" applyBorder="1" applyAlignment="1">
      <alignment horizontal="center" vertical="center" wrapText="1"/>
    </xf>
    <xf numFmtId="176" fontId="7" fillId="0" borderId="6" xfId="3" applyNumberFormat="1" applyFont="1" applyFill="1" applyBorder="1" applyAlignment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0" xfId="2" applyNumberFormat="1" applyFont="1" applyFill="1" applyBorder="1" applyAlignment="1"/>
    <xf numFmtId="0" fontId="7" fillId="7" borderId="1" xfId="3" applyNumberFormat="1" applyFont="1" applyFill="1" applyBorder="1" applyAlignment="1">
      <alignment horizontal="center" vertical="center" wrapText="1"/>
    </xf>
    <xf numFmtId="10" fontId="7" fillId="7" borderId="1" xfId="3" applyNumberFormat="1" applyFont="1" applyFill="1" applyBorder="1" applyAlignment="1">
      <alignment horizontal="center" vertical="center" wrapText="1"/>
    </xf>
    <xf numFmtId="2" fontId="7" fillId="7" borderId="6" xfId="3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7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10" fontId="22" fillId="0" borderId="6" xfId="1" applyNumberFormat="1" applyFont="1" applyFill="1" applyBorder="1" applyAlignment="1" applyProtection="1">
      <alignment horizontal="center" vertical="center" wrapText="1"/>
    </xf>
    <xf numFmtId="176" fontId="22" fillId="0" borderId="6" xfId="2" applyNumberFormat="1" applyFont="1" applyFill="1" applyBorder="1" applyAlignment="1">
      <alignment horizontal="center" vertical="center" wrapText="1"/>
    </xf>
    <xf numFmtId="10" fontId="7" fillId="0" borderId="6" xfId="1" applyNumberFormat="1" applyFont="1" applyFill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3" fillId="0" borderId="6" xfId="0" applyFont="1" applyBorder="1" applyAlignment="1">
      <alignment horizontal="center" vertical="center" wrapText="1"/>
    </xf>
    <xf numFmtId="0" fontId="7" fillId="0" borderId="0" xfId="0" applyNumberFormat="1" applyFont="1" applyFill="1" applyBorder="1" applyAlignment="1" applyProtection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0" fontId="7" fillId="3" borderId="2" xfId="3" applyNumberFormat="1" applyFont="1" applyFill="1" applyBorder="1" applyAlignment="1">
      <alignment horizontal="left" vertical="center"/>
    </xf>
    <xf numFmtId="0" fontId="10" fillId="4" borderId="0" xfId="2" applyNumberFormat="1" applyFont="1" applyFill="1" applyBorder="1" applyAlignment="1">
      <alignment horizont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0" fontId="24" fillId="4" borderId="0" xfId="2" applyNumberFormat="1" applyFont="1" applyFill="1" applyBorder="1" applyAlignment="1"/>
    <xf numFmtId="1" fontId="6" fillId="5" borderId="6" xfId="2" applyNumberFormat="1" applyFont="1" applyFill="1" applyBorder="1" applyAlignment="1">
      <alignment horizontal="center"/>
    </xf>
    <xf numFmtId="179" fontId="18" fillId="0" borderId="6" xfId="0" applyNumberFormat="1" applyFont="1" applyBorder="1" applyAlignment="1">
      <alignment horizontal="center" vertical="center"/>
    </xf>
    <xf numFmtId="0" fontId="6" fillId="4" borderId="0" xfId="2" applyNumberFormat="1" applyFont="1" applyFill="1" applyBorder="1" applyAlignment="1"/>
    <xf numFmtId="0" fontId="6" fillId="0" borderId="6" xfId="2" applyNumberFormat="1" applyFont="1" applyFill="1" applyBorder="1" applyAlignment="1">
      <alignment horizontal="center" vertical="center" wrapText="1"/>
    </xf>
    <xf numFmtId="2" fontId="7" fillId="0" borderId="16" xfId="2" applyNumberFormat="1" applyFont="1" applyFill="1" applyBorder="1" applyAlignment="1">
      <alignment vertical="center"/>
    </xf>
    <xf numFmtId="0" fontId="25" fillId="0" borderId="6" xfId="0" applyFont="1" applyBorder="1" applyAlignment="1">
      <alignment horizontal="center" vertical="center"/>
    </xf>
    <xf numFmtId="0" fontId="26" fillId="0" borderId="0" xfId="6" applyFont="1" applyAlignment="1">
      <alignment horizontal="center"/>
    </xf>
    <xf numFmtId="0" fontId="27" fillId="0" borderId="0" xfId="6" applyFont="1" applyAlignment="1">
      <alignment horizontal="center" vertical="center"/>
    </xf>
    <xf numFmtId="0" fontId="6" fillId="2" borderId="6" xfId="6" applyFont="1" applyFill="1" applyBorder="1" applyAlignment="1">
      <alignment horizontal="center" vertical="center"/>
    </xf>
    <xf numFmtId="0" fontId="6" fillId="0" borderId="0" xfId="6" applyFont="1" applyAlignment="1">
      <alignment horizontal="center"/>
    </xf>
    <xf numFmtId="0" fontId="6" fillId="0" borderId="6" xfId="6" applyFont="1" applyBorder="1" applyAlignment="1">
      <alignment horizontal="center" vertical="center"/>
    </xf>
    <xf numFmtId="0" fontId="6" fillId="0" borderId="6" xfId="6" applyFont="1" applyBorder="1" applyAlignment="1">
      <alignment horizontal="center" vertical="center" wrapText="1"/>
    </xf>
    <xf numFmtId="176" fontId="6" fillId="0" borderId="6" xfId="6" applyNumberFormat="1" applyFont="1" applyBorder="1" applyAlignment="1">
      <alignment horizontal="center" vertical="center" wrapText="1"/>
    </xf>
    <xf numFmtId="0" fontId="30" fillId="0" borderId="6" xfId="6" applyFont="1" applyBorder="1" applyAlignment="1">
      <alignment horizontal="center" vertical="center"/>
    </xf>
    <xf numFmtId="0" fontId="6" fillId="9" borderId="16" xfId="6" applyFont="1" applyFill="1" applyBorder="1" applyAlignment="1">
      <alignment horizontal="center" vertical="center"/>
    </xf>
    <xf numFmtId="0" fontId="13" fillId="9" borderId="16" xfId="6" applyFont="1" applyFill="1" applyBorder="1" applyAlignment="1">
      <alignment horizontal="center" vertical="center" wrapText="1"/>
    </xf>
    <xf numFmtId="180" fontId="13" fillId="9" borderId="6" xfId="6" applyNumberFormat="1" applyFont="1" applyFill="1" applyBorder="1" applyAlignment="1">
      <alignment horizontal="center" vertical="center" wrapText="1"/>
    </xf>
    <xf numFmtId="0" fontId="6" fillId="0" borderId="0" xfId="6" applyFont="1" applyAlignment="1">
      <alignment horizontal="center" vertical="center"/>
    </xf>
    <xf numFmtId="0" fontId="6" fillId="0" borderId="6" xfId="7" applyFont="1" applyBorder="1" applyAlignment="1">
      <alignment horizontal="left" vertical="center"/>
    </xf>
    <xf numFmtId="0" fontId="13" fillId="0" borderId="6" xfId="6" applyFont="1" applyBorder="1" applyAlignment="1">
      <alignment horizontal="left" vertical="center"/>
    </xf>
    <xf numFmtId="176" fontId="6" fillId="0" borderId="6" xfId="6" applyNumberFormat="1" applyFont="1" applyBorder="1" applyAlignment="1">
      <alignment horizontal="center" vertical="center"/>
    </xf>
    <xf numFmtId="180" fontId="6" fillId="0" borderId="6" xfId="6" applyNumberFormat="1" applyFont="1" applyBorder="1" applyAlignment="1">
      <alignment horizontal="center" vertical="center" wrapText="1"/>
    </xf>
    <xf numFmtId="0" fontId="6" fillId="0" borderId="6" xfId="8" applyFont="1" applyBorder="1" applyAlignment="1">
      <alignment horizontal="left" vertical="center"/>
    </xf>
    <xf numFmtId="0" fontId="6" fillId="0" borderId="6" xfId="6" applyFont="1" applyBorder="1" applyAlignment="1">
      <alignment horizontal="left" vertical="center"/>
    </xf>
    <xf numFmtId="0" fontId="0" fillId="0" borderId="6" xfId="6" applyFont="1" applyBorder="1" applyAlignment="1">
      <alignment horizontal="center" vertical="center"/>
    </xf>
    <xf numFmtId="180" fontId="31" fillId="0" borderId="6" xfId="6" applyNumberFormat="1" applyFont="1" applyBorder="1" applyAlignment="1">
      <alignment horizontal="center" vertical="center" wrapText="1"/>
    </xf>
    <xf numFmtId="0" fontId="31" fillId="0" borderId="6" xfId="6" applyFont="1" applyBorder="1" applyAlignment="1">
      <alignment horizontal="center" vertical="center"/>
    </xf>
    <xf numFmtId="0" fontId="31" fillId="0" borderId="6" xfId="8" applyFont="1" applyBorder="1" applyAlignment="1">
      <alignment horizontal="left" vertical="center"/>
    </xf>
    <xf numFmtId="176" fontId="31" fillId="0" borderId="6" xfId="6" applyNumberFormat="1" applyFont="1" applyBorder="1" applyAlignment="1">
      <alignment horizontal="center" vertical="center"/>
    </xf>
    <xf numFmtId="176" fontId="31" fillId="0" borderId="6" xfId="6" applyNumberFormat="1" applyFont="1" applyBorder="1" applyAlignment="1">
      <alignment horizontal="center" vertical="center" wrapText="1"/>
    </xf>
    <xf numFmtId="176" fontId="26" fillId="0" borderId="0" xfId="6" applyNumberFormat="1" applyFont="1" applyAlignment="1">
      <alignment horizontal="center"/>
    </xf>
    <xf numFmtId="0" fontId="26" fillId="0" borderId="0" xfId="6" applyFont="1" applyAlignment="1">
      <alignment horizontal="center" wrapText="1"/>
    </xf>
    <xf numFmtId="176" fontId="26" fillId="0" borderId="0" xfId="6" applyNumberFormat="1" applyFont="1" applyAlignment="1">
      <alignment horizontal="center" wrapText="1"/>
    </xf>
    <xf numFmtId="180" fontId="26" fillId="0" borderId="0" xfId="6" applyNumberFormat="1" applyFont="1" applyAlignment="1">
      <alignment horizontal="center" wrapText="1"/>
    </xf>
    <xf numFmtId="176" fontId="6" fillId="0" borderId="6" xfId="2" applyNumberFormat="1" applyFont="1" applyFill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23" fillId="0" borderId="0" xfId="0" applyFont="1" applyAlignment="1"/>
    <xf numFmtId="0" fontId="34" fillId="0" borderId="6" xfId="0" applyFont="1" applyBorder="1" applyAlignment="1">
      <alignment horizontal="center" vertical="center"/>
    </xf>
    <xf numFmtId="176" fontId="35" fillId="0" borderId="6" xfId="2" applyNumberFormat="1" applyFont="1" applyFill="1" applyBorder="1" applyAlignment="1">
      <alignment horizontal="center" vertical="center" wrapText="1"/>
    </xf>
    <xf numFmtId="10" fontId="35" fillId="0" borderId="6" xfId="1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/>
    <xf numFmtId="179" fontId="7" fillId="0" borderId="15" xfId="2" applyNumberFormat="1" applyFont="1" applyFill="1" applyBorder="1" applyAlignment="1">
      <alignment horizontal="center" vertical="center" wrapText="1"/>
    </xf>
    <xf numFmtId="176" fontId="7" fillId="0" borderId="15" xfId="0" applyNumberFormat="1" applyFont="1" applyFill="1" applyBorder="1" applyAlignment="1">
      <alignment horizontal="center" vertical="center" wrapText="1"/>
    </xf>
    <xf numFmtId="177" fontId="6" fillId="0" borderId="6" xfId="6" applyNumberFormat="1" applyFont="1" applyBorder="1" applyAlignment="1">
      <alignment horizontal="center" vertical="center"/>
    </xf>
    <xf numFmtId="176" fontId="6" fillId="0" borderId="3" xfId="6" applyNumberFormat="1" applyFont="1" applyBorder="1" applyAlignment="1">
      <alignment horizontal="center" vertical="center"/>
    </xf>
    <xf numFmtId="177" fontId="6" fillId="0" borderId="1" xfId="6" applyNumberFormat="1" applyFont="1" applyBorder="1" applyAlignment="1">
      <alignment horizontal="center" vertical="center"/>
    </xf>
    <xf numFmtId="0" fontId="6" fillId="2" borderId="6" xfId="6" applyFont="1" applyFill="1" applyBorder="1" applyAlignment="1">
      <alignment horizontal="center" vertical="center" wrapText="1"/>
    </xf>
    <xf numFmtId="180" fontId="6" fillId="2" borderId="6" xfId="6" applyNumberFormat="1" applyFont="1" applyFill="1" applyBorder="1" applyAlignment="1">
      <alignment horizontal="center" vertical="center" wrapText="1"/>
    </xf>
    <xf numFmtId="9" fontId="13" fillId="8" borderId="6" xfId="6" applyNumberFormat="1" applyFont="1" applyFill="1" applyBorder="1" applyAlignment="1">
      <alignment horizontal="center" vertical="center" wrapText="1"/>
    </xf>
    <xf numFmtId="9" fontId="13" fillId="8" borderId="6" xfId="1" applyFont="1" applyFill="1" applyBorder="1" applyAlignment="1">
      <alignment horizontal="center" vertical="center" wrapText="1"/>
    </xf>
    <xf numFmtId="1" fontId="6" fillId="0" borderId="6" xfId="6" applyNumberFormat="1" applyFont="1" applyBorder="1" applyAlignment="1">
      <alignment horizontal="center" vertical="center"/>
    </xf>
    <xf numFmtId="0" fontId="13" fillId="8" borderId="6" xfId="6" applyFont="1" applyFill="1" applyBorder="1" applyAlignment="1">
      <alignment horizontal="center" vertical="center"/>
    </xf>
    <xf numFmtId="0" fontId="6" fillId="8" borderId="6" xfId="6" applyFont="1" applyFill="1" applyBorder="1" applyAlignment="1">
      <alignment horizontal="center" vertical="center"/>
    </xf>
    <xf numFmtId="0" fontId="31" fillId="8" borderId="6" xfId="6" applyFont="1" applyFill="1" applyBorder="1" applyAlignment="1">
      <alignment horizontal="center" vertical="center"/>
    </xf>
    <xf numFmtId="0" fontId="26" fillId="8" borderId="0" xfId="6" applyFont="1" applyFill="1" applyAlignment="1">
      <alignment horizontal="center"/>
    </xf>
    <xf numFmtId="0" fontId="0" fillId="8" borderId="0" xfId="0" applyFill="1" applyAlignment="1"/>
    <xf numFmtId="0" fontId="6" fillId="2" borderId="0" xfId="6" applyFont="1" applyFill="1" applyAlignment="1">
      <alignment horizontal="center" vertical="center"/>
    </xf>
    <xf numFmtId="0" fontId="6" fillId="2" borderId="6" xfId="3" applyNumberFormat="1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left" vertical="center"/>
    </xf>
    <xf numFmtId="0" fontId="6" fillId="2" borderId="1" xfId="6" applyFont="1" applyFill="1" applyBorder="1" applyAlignment="1">
      <alignment horizontal="left" vertical="center"/>
    </xf>
    <xf numFmtId="177" fontId="6" fillId="2" borderId="1" xfId="6" applyNumberFormat="1" applyFont="1" applyFill="1" applyBorder="1" applyAlignment="1">
      <alignment horizontal="center" vertical="center"/>
    </xf>
    <xf numFmtId="176" fontId="6" fillId="2" borderId="3" xfId="6" applyNumberFormat="1" applyFont="1" applyFill="1" applyBorder="1" applyAlignment="1">
      <alignment horizontal="center" vertical="center"/>
    </xf>
    <xf numFmtId="1" fontId="6" fillId="2" borderId="6" xfId="6" applyNumberFormat="1" applyFont="1" applyFill="1" applyBorder="1" applyAlignment="1">
      <alignment horizontal="center" vertical="center"/>
    </xf>
    <xf numFmtId="177" fontId="6" fillId="2" borderId="6" xfId="6" applyNumberFormat="1" applyFont="1" applyFill="1" applyBorder="1" applyAlignment="1">
      <alignment horizontal="center" vertical="center"/>
    </xf>
    <xf numFmtId="176" fontId="6" fillId="2" borderId="6" xfId="6" applyNumberFormat="1" applyFont="1" applyFill="1" applyBorder="1" applyAlignment="1">
      <alignment horizontal="center" vertical="center"/>
    </xf>
    <xf numFmtId="176" fontId="6" fillId="2" borderId="6" xfId="6" applyNumberFormat="1" applyFont="1" applyFill="1" applyBorder="1" applyAlignment="1">
      <alignment horizontal="center" vertical="center" wrapText="1"/>
    </xf>
    <xf numFmtId="0" fontId="6" fillId="2" borderId="6" xfId="6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6" fontId="6" fillId="0" borderId="6" xfId="6" applyNumberFormat="1" applyFont="1" applyBorder="1" applyAlignment="1">
      <alignment horizontal="center" vertical="center" wrapText="1"/>
    </xf>
    <xf numFmtId="180" fontId="6" fillId="0" borderId="6" xfId="6" applyNumberFormat="1" applyFont="1" applyBorder="1" applyAlignment="1">
      <alignment horizontal="center" vertical="center" wrapText="1"/>
    </xf>
    <xf numFmtId="0" fontId="6" fillId="2" borderId="6" xfId="6" applyFont="1" applyFill="1" applyBorder="1" applyAlignment="1">
      <alignment horizontal="center" vertical="center"/>
    </xf>
    <xf numFmtId="0" fontId="6" fillId="0" borderId="6" xfId="6" applyFont="1" applyBorder="1" applyAlignment="1">
      <alignment horizontal="center" vertical="center"/>
    </xf>
    <xf numFmtId="0" fontId="7" fillId="7" borderId="1" xfId="3" applyNumberFormat="1" applyFont="1" applyFill="1" applyBorder="1" applyAlignment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0" borderId="1" xfId="2" applyNumberFormat="1" applyFont="1" applyFill="1" applyBorder="1" applyAlignment="1">
      <alignment horizontal="center" vertical="center" wrapText="1"/>
    </xf>
    <xf numFmtId="0" fontId="7" fillId="0" borderId="3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23" fillId="0" borderId="21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10" fontId="22" fillId="0" borderId="21" xfId="1" applyNumberFormat="1" applyFont="1" applyFill="1" applyBorder="1" applyAlignment="1" applyProtection="1">
      <alignment horizontal="center" vertical="center" wrapText="1"/>
    </xf>
    <xf numFmtId="176" fontId="22" fillId="0" borderId="21" xfId="2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7" fillId="0" borderId="21" xfId="2" applyNumberFormat="1" applyFont="1" applyFill="1" applyBorder="1" applyAlignment="1">
      <alignment horizontal="center" vertical="center" wrapText="1"/>
    </xf>
    <xf numFmtId="176" fontId="7" fillId="0" borderId="21" xfId="2" applyNumberFormat="1" applyFont="1" applyFill="1" applyBorder="1" applyAlignment="1">
      <alignment horizontal="center" vertical="center" wrapText="1"/>
    </xf>
    <xf numFmtId="2" fontId="7" fillId="0" borderId="21" xfId="2" applyNumberFormat="1" applyFont="1" applyFill="1" applyBorder="1" applyAlignment="1">
      <alignment horizontal="center" vertical="center" wrapText="1"/>
    </xf>
    <xf numFmtId="176" fontId="7" fillId="0" borderId="21" xfId="2" applyNumberFormat="1" applyFont="1" applyFill="1" applyBorder="1" applyAlignment="1" applyProtection="1">
      <alignment horizontal="center" vertical="center" wrapText="1"/>
    </xf>
    <xf numFmtId="10" fontId="7" fillId="0" borderId="21" xfId="1" applyNumberFormat="1" applyFont="1" applyFill="1" applyBorder="1" applyAlignment="1" applyProtection="1">
      <alignment horizontal="center" vertical="center" wrapText="1"/>
    </xf>
    <xf numFmtId="2" fontId="7" fillId="0" borderId="21" xfId="2" applyNumberFormat="1" applyFont="1" applyFill="1" applyBorder="1" applyAlignment="1">
      <alignment vertical="center"/>
    </xf>
    <xf numFmtId="0" fontId="8" fillId="0" borderId="21" xfId="2" applyNumberFormat="1" applyFont="1" applyFill="1" applyBorder="1" applyAlignment="1">
      <alignment horizontal="center" vertical="center" wrapText="1"/>
    </xf>
    <xf numFmtId="176" fontId="7" fillId="0" borderId="2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9" fontId="7" fillId="2" borderId="6" xfId="2" applyNumberFormat="1" applyFont="1" applyFill="1" applyBorder="1" applyAlignment="1">
      <alignment horizontal="center" vertical="center" wrapText="1"/>
    </xf>
    <xf numFmtId="0" fontId="7" fillId="2" borderId="21" xfId="2" applyNumberFormat="1" applyFont="1" applyFill="1" applyBorder="1" applyAlignment="1">
      <alignment horizontal="center" vertical="center" wrapText="1"/>
    </xf>
    <xf numFmtId="176" fontId="7" fillId="2" borderId="21" xfId="2" applyNumberFormat="1" applyFont="1" applyFill="1" applyBorder="1" applyAlignment="1">
      <alignment horizontal="center" vertical="center" wrapText="1"/>
    </xf>
    <xf numFmtId="176" fontId="7" fillId="2" borderId="6" xfId="2" applyNumberFormat="1" applyFont="1" applyFill="1" applyBorder="1" applyAlignment="1">
      <alignment horizontal="center" vertical="center" wrapText="1"/>
    </xf>
    <xf numFmtId="2" fontId="7" fillId="2" borderId="6" xfId="2" applyNumberFormat="1" applyFont="1" applyFill="1" applyBorder="1" applyAlignment="1">
      <alignment horizontal="center" vertical="center" wrapText="1"/>
    </xf>
    <xf numFmtId="10" fontId="7" fillId="2" borderId="6" xfId="1" applyNumberFormat="1" applyFont="1" applyFill="1" applyBorder="1" applyAlignment="1">
      <alignment horizontal="center" vertical="center" wrapText="1"/>
    </xf>
    <xf numFmtId="176" fontId="7" fillId="2" borderId="21" xfId="2" applyNumberFormat="1" applyFont="1" applyFill="1" applyBorder="1" applyAlignment="1" applyProtection="1">
      <alignment horizontal="center" vertical="center" wrapText="1"/>
    </xf>
    <xf numFmtId="2" fontId="7" fillId="2" borderId="16" xfId="2" applyNumberFormat="1" applyFont="1" applyFill="1" applyBorder="1" applyAlignment="1">
      <alignment horizontal="center" vertical="center"/>
    </xf>
    <xf numFmtId="0" fontId="0" fillId="2" borderId="0" xfId="0" applyFill="1" applyAlignment="1"/>
    <xf numFmtId="0" fontId="8" fillId="2" borderId="21" xfId="2" applyNumberFormat="1" applyFont="1" applyFill="1" applyBorder="1" applyAlignment="1">
      <alignment horizontal="center" vertical="center" wrapText="1"/>
    </xf>
    <xf numFmtId="176" fontId="7" fillId="2" borderId="21" xfId="0" applyNumberFormat="1" applyFont="1" applyFill="1" applyBorder="1" applyAlignment="1">
      <alignment horizontal="center" vertical="center" wrapText="1"/>
    </xf>
    <xf numFmtId="0" fontId="8" fillId="2" borderId="6" xfId="2" applyNumberFormat="1" applyFont="1" applyFill="1" applyBorder="1" applyAlignment="1">
      <alignment horizontal="center" vertical="center" wrapText="1"/>
    </xf>
    <xf numFmtId="0" fontId="7" fillId="2" borderId="6" xfId="2" applyNumberFormat="1" applyFont="1" applyFill="1" applyBorder="1" applyAlignment="1">
      <alignment horizontal="center" vertical="center" wrapText="1"/>
    </xf>
    <xf numFmtId="176" fontId="7" fillId="2" borderId="6" xfId="0" applyNumberFormat="1" applyFont="1" applyFill="1" applyBorder="1" applyAlignment="1">
      <alignment horizontal="center" vertical="center" wrapText="1"/>
    </xf>
    <xf numFmtId="176" fontId="7" fillId="2" borderId="6" xfId="2" applyNumberFormat="1" applyFont="1" applyFill="1" applyBorder="1" applyAlignment="1" applyProtection="1">
      <alignment horizontal="center" vertical="center" wrapText="1"/>
    </xf>
    <xf numFmtId="0" fontId="6" fillId="0" borderId="6" xfId="8" applyFont="1" applyBorder="1" applyAlignment="1">
      <alignment horizontal="center" vertical="center"/>
    </xf>
    <xf numFmtId="181" fontId="7" fillId="0" borderId="6" xfId="2" applyNumberFormat="1" applyFont="1" applyFill="1" applyBorder="1" applyAlignment="1">
      <alignment horizontal="center" vertical="center" wrapText="1"/>
    </xf>
    <xf numFmtId="177" fontId="7" fillId="0" borderId="21" xfId="2" applyNumberFormat="1" applyFont="1" applyFill="1" applyBorder="1" applyAlignment="1">
      <alignment horizontal="center" vertical="center" wrapText="1"/>
    </xf>
    <xf numFmtId="1" fontId="7" fillId="0" borderId="21" xfId="2" applyNumberFormat="1" applyFont="1" applyFill="1" applyBorder="1" applyAlignment="1">
      <alignment horizontal="center" vertical="center" wrapText="1"/>
    </xf>
    <xf numFmtId="10" fontId="7" fillId="0" borderId="21" xfId="2" applyNumberFormat="1" applyFont="1" applyFill="1" applyBorder="1" applyAlignment="1">
      <alignment horizontal="center" vertical="center" wrapText="1"/>
    </xf>
    <xf numFmtId="179" fontId="13" fillId="0" borderId="6" xfId="2" applyNumberFormat="1" applyFont="1" applyFill="1" applyBorder="1" applyAlignment="1">
      <alignment horizontal="center" vertical="center" wrapText="1"/>
    </xf>
    <xf numFmtId="0" fontId="13" fillId="0" borderId="6" xfId="2" applyNumberFormat="1" applyFont="1" applyFill="1" applyBorder="1" applyAlignment="1">
      <alignment horizontal="center" vertical="center" wrapText="1"/>
    </xf>
    <xf numFmtId="176" fontId="13" fillId="0" borderId="6" xfId="2" applyNumberFormat="1" applyFont="1" applyFill="1" applyBorder="1" applyAlignment="1">
      <alignment horizontal="center" vertical="center" wrapText="1"/>
    </xf>
    <xf numFmtId="2" fontId="13" fillId="0" borderId="6" xfId="2" applyNumberFormat="1" applyFont="1" applyFill="1" applyBorder="1" applyAlignment="1">
      <alignment horizontal="center" vertical="center" wrapText="1"/>
    </xf>
    <xf numFmtId="10" fontId="13" fillId="0" borderId="6" xfId="1" applyNumberFormat="1" applyFont="1" applyFill="1" applyBorder="1" applyAlignment="1">
      <alignment horizontal="center" vertical="center" wrapText="1"/>
    </xf>
    <xf numFmtId="176" fontId="13" fillId="0" borderId="6" xfId="2" applyNumberFormat="1" applyFont="1" applyFill="1" applyBorder="1" applyAlignment="1" applyProtection="1">
      <alignment horizontal="center" vertical="center" wrapText="1"/>
    </xf>
    <xf numFmtId="2" fontId="13" fillId="0" borderId="16" xfId="2" applyNumberFormat="1" applyFont="1" applyFill="1" applyBorder="1" applyAlignment="1">
      <alignment horizontal="center" vertical="center"/>
    </xf>
    <xf numFmtId="0" fontId="36" fillId="0" borderId="0" xfId="0" applyFont="1" applyAlignment="1"/>
    <xf numFmtId="0" fontId="13" fillId="0" borderId="21" xfId="2" applyNumberFormat="1" applyFont="1" applyFill="1" applyBorder="1" applyAlignment="1">
      <alignment horizontal="center" vertical="center" wrapText="1"/>
    </xf>
    <xf numFmtId="176" fontId="13" fillId="0" borderId="21" xfId="2" applyNumberFormat="1" applyFont="1" applyFill="1" applyBorder="1" applyAlignment="1">
      <alignment horizontal="center" vertical="center" wrapText="1"/>
    </xf>
    <xf numFmtId="176" fontId="13" fillId="0" borderId="21" xfId="2" applyNumberFormat="1" applyFont="1" applyFill="1" applyBorder="1" applyAlignment="1" applyProtection="1">
      <alignment horizontal="center" vertical="center" wrapText="1"/>
    </xf>
    <xf numFmtId="0" fontId="37" fillId="4" borderId="5" xfId="2" applyNumberFormat="1" applyFont="1" applyFill="1" applyBorder="1" applyAlignment="1">
      <alignment wrapText="1"/>
    </xf>
    <xf numFmtId="0" fontId="7" fillId="7" borderId="1" xfId="3" applyNumberFormat="1" applyFont="1" applyFill="1" applyBorder="1" applyAlignment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/>
    </xf>
    <xf numFmtId="0" fontId="38" fillId="0" borderId="0" xfId="0" applyFont="1" applyAlignment="1"/>
    <xf numFmtId="0" fontId="38" fillId="0" borderId="0" xfId="0" applyFont="1" applyAlignment="1">
      <alignment horizontal="center" vertical="center" wrapText="1"/>
    </xf>
    <xf numFmtId="0" fontId="39" fillId="0" borderId="8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40" fillId="0" borderId="8" xfId="0" applyFont="1" applyBorder="1" applyAlignment="1">
      <alignment horizontal="center"/>
    </xf>
    <xf numFmtId="0" fontId="40" fillId="0" borderId="0" xfId="0" applyFont="1" applyBorder="1" applyAlignment="1">
      <alignment horizontal="center"/>
    </xf>
    <xf numFmtId="0" fontId="40" fillId="2" borderId="0" xfId="0" applyFont="1" applyFill="1" applyAlignment="1">
      <alignment horizontal="center"/>
    </xf>
    <xf numFmtId="0" fontId="40" fillId="2" borderId="8" xfId="0" applyFont="1" applyFill="1" applyBorder="1" applyAlignment="1">
      <alignment horizontal="center"/>
    </xf>
    <xf numFmtId="0" fontId="40" fillId="2" borderId="0" xfId="0" applyFont="1" applyFill="1" applyBorder="1" applyAlignment="1">
      <alignment horizontal="center"/>
    </xf>
    <xf numFmtId="178" fontId="40" fillId="0" borderId="0" xfId="0" applyNumberFormat="1" applyFont="1" applyAlignment="1">
      <alignment horizontal="center"/>
    </xf>
    <xf numFmtId="0" fontId="40" fillId="0" borderId="0" xfId="0" applyFont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1" fillId="0" borderId="8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1" fontId="40" fillId="0" borderId="0" xfId="0" applyNumberFormat="1" applyFont="1" applyAlignment="1">
      <alignment horizontal="center"/>
    </xf>
    <xf numFmtId="1" fontId="40" fillId="0" borderId="8" xfId="0" applyNumberFormat="1" applyFont="1" applyBorder="1" applyAlignment="1">
      <alignment horizontal="center"/>
    </xf>
    <xf numFmtId="0" fontId="40" fillId="0" borderId="0" xfId="0" applyFont="1" applyBorder="1" applyAlignment="1"/>
    <xf numFmtId="0" fontId="40" fillId="0" borderId="8" xfId="0" applyFont="1" applyBorder="1" applyAlignment="1"/>
    <xf numFmtId="178" fontId="40" fillId="0" borderId="8" xfId="0" applyNumberFormat="1" applyFont="1" applyBorder="1" applyAlignment="1">
      <alignment horizontal="center"/>
    </xf>
    <xf numFmtId="0" fontId="41" fillId="0" borderId="0" xfId="0" applyFont="1" applyAlignment="1">
      <alignment horizontal="center" vertical="center" wrapText="1"/>
    </xf>
    <xf numFmtId="0" fontId="41" fillId="0" borderId="0" xfId="0" applyFont="1" applyBorder="1" applyAlignment="1">
      <alignment horizontal="center" vertical="center" wrapText="1"/>
    </xf>
    <xf numFmtId="0" fontId="39" fillId="0" borderId="0" xfId="0" applyFont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41" fillId="0" borderId="8" xfId="0" applyFont="1" applyBorder="1" applyAlignment="1">
      <alignment horizontal="center"/>
    </xf>
    <xf numFmtId="0" fontId="41" fillId="0" borderId="0" xfId="0" applyFont="1" applyBorder="1" applyAlignment="1">
      <alignment horizontal="center"/>
    </xf>
    <xf numFmtId="0" fontId="38" fillId="0" borderId="8" xfId="0" applyFont="1" applyBorder="1" applyAlignment="1">
      <alignment horizontal="center"/>
    </xf>
    <xf numFmtId="0" fontId="42" fillId="0" borderId="0" xfId="0" applyFont="1" applyBorder="1" applyAlignment="1">
      <alignment horizontal="center" vertical="center" wrapText="1"/>
    </xf>
    <xf numFmtId="0" fontId="38" fillId="0" borderId="0" xfId="0" applyFont="1" applyBorder="1" applyAlignment="1">
      <alignment horizontal="center"/>
    </xf>
    <xf numFmtId="0" fontId="38" fillId="2" borderId="0" xfId="0" applyFont="1" applyFill="1" applyBorder="1" applyAlignment="1">
      <alignment horizontal="center"/>
    </xf>
    <xf numFmtId="0" fontId="38" fillId="0" borderId="0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2" fontId="40" fillId="0" borderId="6" xfId="0" applyNumberFormat="1" applyFont="1" applyBorder="1" applyAlignment="1">
      <alignment horizontal="center" vertical="center"/>
    </xf>
    <xf numFmtId="0" fontId="40" fillId="0" borderId="21" xfId="0" applyFont="1" applyBorder="1" applyAlignment="1">
      <alignment horizontal="center" vertical="center"/>
    </xf>
    <xf numFmtId="2" fontId="40" fillId="0" borderId="21" xfId="0" applyNumberFormat="1" applyFont="1" applyBorder="1" applyAlignment="1">
      <alignment horizontal="center" vertical="center"/>
    </xf>
    <xf numFmtId="0" fontId="8" fillId="2" borderId="2" xfId="2" applyNumberFormat="1" applyFont="1" applyFill="1" applyBorder="1" applyAlignment="1">
      <alignment horizontal="center" vertical="center" wrapText="1"/>
    </xf>
    <xf numFmtId="176" fontId="7" fillId="2" borderId="16" xfId="2" applyNumberFormat="1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6" fontId="38" fillId="0" borderId="0" xfId="0" applyNumberFormat="1" applyFont="1" applyAlignment="1">
      <alignment horizontal="center"/>
    </xf>
    <xf numFmtId="0" fontId="38" fillId="0" borderId="9" xfId="0" applyFont="1" applyBorder="1" applyAlignment="1">
      <alignment horizontal="center"/>
    </xf>
    <xf numFmtId="176" fontId="38" fillId="0" borderId="8" xfId="0" applyNumberFormat="1" applyFont="1" applyBorder="1" applyAlignment="1">
      <alignment horizontal="center"/>
    </xf>
    <xf numFmtId="179" fontId="7" fillId="0" borderId="21" xfId="2" applyNumberFormat="1" applyFont="1" applyFill="1" applyBorder="1" applyAlignment="1">
      <alignment horizontal="center" vertical="center" wrapText="1"/>
    </xf>
    <xf numFmtId="10" fontId="7" fillId="0" borderId="21" xfId="1" applyNumberFormat="1" applyFont="1" applyFill="1" applyBorder="1" applyAlignment="1">
      <alignment horizontal="center" vertical="center" wrapText="1"/>
    </xf>
    <xf numFmtId="1" fontId="13" fillId="8" borderId="6" xfId="2" applyNumberFormat="1" applyFont="1" applyFill="1" applyBorder="1" applyAlignment="1">
      <alignment horizontal="center"/>
    </xf>
    <xf numFmtId="0" fontId="24" fillId="4" borderId="0" xfId="2" applyNumberFormat="1" applyFont="1" applyFill="1" applyBorder="1" applyAlignment="1">
      <alignment wrapText="1"/>
    </xf>
    <xf numFmtId="179" fontId="6" fillId="0" borderId="6" xfId="2" applyNumberFormat="1" applyFont="1" applyFill="1" applyBorder="1" applyAlignment="1">
      <alignment horizontal="center" vertical="center" wrapText="1"/>
    </xf>
    <xf numFmtId="2" fontId="6" fillId="0" borderId="6" xfId="2" applyNumberFormat="1" applyFont="1" applyFill="1" applyBorder="1" applyAlignment="1">
      <alignment horizontal="center" vertical="center" wrapText="1"/>
    </xf>
    <xf numFmtId="10" fontId="6" fillId="0" borderId="6" xfId="1" applyNumberFormat="1" applyFont="1" applyFill="1" applyBorder="1" applyAlignment="1">
      <alignment horizontal="center" vertical="center" wrapText="1"/>
    </xf>
    <xf numFmtId="176" fontId="6" fillId="0" borderId="6" xfId="2" applyNumberFormat="1" applyFont="1" applyFill="1" applyBorder="1" applyAlignment="1" applyProtection="1">
      <alignment horizontal="center" vertical="center" wrapText="1"/>
    </xf>
    <xf numFmtId="2" fontId="6" fillId="0" borderId="16" xfId="2" applyNumberFormat="1" applyFont="1" applyFill="1" applyBorder="1" applyAlignment="1">
      <alignment horizontal="center" vertical="center"/>
    </xf>
    <xf numFmtId="0" fontId="43" fillId="0" borderId="0" xfId="0" applyFont="1" applyAlignment="1"/>
    <xf numFmtId="0" fontId="39" fillId="0" borderId="0" xfId="0" applyFont="1" applyAlignment="1">
      <alignment horizontal="center"/>
    </xf>
    <xf numFmtId="0" fontId="39" fillId="0" borderId="8" xfId="0" applyFont="1" applyBorder="1" applyAlignment="1">
      <alignment horizontal="center"/>
    </xf>
    <xf numFmtId="0" fontId="39" fillId="0" borderId="0" xfId="0" applyFont="1" applyBorder="1" applyAlignment="1">
      <alignment horizontal="center"/>
    </xf>
    <xf numFmtId="0" fontId="41" fillId="0" borderId="9" xfId="0" applyFont="1" applyBorder="1" applyAlignment="1">
      <alignment horizontal="center"/>
    </xf>
    <xf numFmtId="0" fontId="40" fillId="2" borderId="9" xfId="0" applyFont="1" applyFill="1" applyBorder="1" applyAlignment="1">
      <alignment horizontal="center"/>
    </xf>
    <xf numFmtId="0" fontId="40" fillId="0" borderId="9" xfId="0" applyFont="1" applyBorder="1" applyAlignment="1">
      <alignment horizontal="center" vertical="center"/>
    </xf>
    <xf numFmtId="0" fontId="6" fillId="2" borderId="6" xfId="6" applyFont="1" applyFill="1" applyBorder="1" applyAlignment="1">
      <alignment horizontal="center" vertical="center"/>
    </xf>
    <xf numFmtId="0" fontId="6" fillId="0" borderId="6" xfId="6" applyFont="1" applyBorder="1" applyAlignment="1">
      <alignment horizontal="center" vertical="center"/>
    </xf>
    <xf numFmtId="0" fontId="7" fillId="7" borderId="1" xfId="3" applyNumberFormat="1" applyFont="1" applyFill="1" applyBorder="1" applyAlignment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7" fontId="6" fillId="0" borderId="6" xfId="2" applyNumberFormat="1" applyFont="1" applyFill="1" applyBorder="1" applyAlignment="1">
      <alignment horizontal="center" vertical="center" wrapText="1"/>
    </xf>
    <xf numFmtId="0" fontId="6" fillId="0" borderId="21" xfId="2" applyNumberFormat="1" applyFont="1" applyFill="1" applyBorder="1" applyAlignment="1">
      <alignment horizontal="center" vertical="center" wrapText="1"/>
    </xf>
    <xf numFmtId="176" fontId="6" fillId="0" borderId="21" xfId="2" applyNumberFormat="1" applyFont="1" applyFill="1" applyBorder="1" applyAlignment="1">
      <alignment horizontal="center" vertical="center" wrapText="1"/>
    </xf>
    <xf numFmtId="176" fontId="6" fillId="0" borderId="21" xfId="2" applyNumberFormat="1" applyFont="1" applyFill="1" applyBorder="1" applyAlignment="1" applyProtection="1">
      <alignment horizontal="center" vertical="center" wrapText="1"/>
    </xf>
    <xf numFmtId="0" fontId="38" fillId="0" borderId="8" xfId="0" applyFont="1" applyBorder="1" applyAlignment="1"/>
    <xf numFmtId="0" fontId="44" fillId="0" borderId="0" xfId="0" applyFont="1" applyAlignment="1">
      <alignment horizontal="center" vertical="center" wrapText="1"/>
    </xf>
    <xf numFmtId="0" fontId="31" fillId="0" borderId="6" xfId="8" applyFont="1" applyBorder="1" applyAlignment="1">
      <alignment horizontal="center" vertical="center"/>
    </xf>
    <xf numFmtId="0" fontId="0" fillId="0" borderId="0" xfId="0" applyAlignment="1">
      <alignment horizontal="center"/>
    </xf>
    <xf numFmtId="178" fontId="38" fillId="0" borderId="0" xfId="0" applyNumberFormat="1" applyFont="1" applyAlignment="1">
      <alignment horizontal="center"/>
    </xf>
    <xf numFmtId="10" fontId="7" fillId="0" borderId="10" xfId="1" applyNumberFormat="1" applyFont="1" applyFill="1" applyBorder="1" applyAlignment="1" applyProtection="1">
      <alignment horizontal="center" vertical="center" wrapText="1"/>
    </xf>
    <xf numFmtId="10" fontId="7" fillId="7" borderId="10" xfId="2" applyNumberFormat="1" applyFont="1" applyFill="1" applyBorder="1" applyAlignment="1">
      <alignment horizontal="center" vertical="center" wrapText="1"/>
    </xf>
    <xf numFmtId="10" fontId="7" fillId="6" borderId="21" xfId="2" applyNumberFormat="1" applyFont="1" applyFill="1" applyBorder="1" applyAlignment="1">
      <alignment horizontal="center" vertical="center" wrapText="1"/>
    </xf>
    <xf numFmtId="0" fontId="8" fillId="3" borderId="2" xfId="3" applyNumberFormat="1" applyFont="1" applyFill="1" applyBorder="1" applyAlignment="1">
      <alignment horizontal="right" vertical="center" wrapText="1"/>
    </xf>
    <xf numFmtId="0" fontId="8" fillId="3" borderId="2" xfId="3" applyNumberFormat="1" applyFont="1" applyFill="1" applyBorder="1" applyAlignment="1">
      <alignment horizontal="left" vertical="center" wrapText="1"/>
    </xf>
    <xf numFmtId="0" fontId="7" fillId="3" borderId="1" xfId="3" applyNumberFormat="1" applyFont="1" applyFill="1" applyBorder="1" applyAlignment="1">
      <alignment horizontal="right" vertical="center" wrapText="1"/>
    </xf>
    <xf numFmtId="0" fontId="13" fillId="4" borderId="8" xfId="2" applyNumberFormat="1" applyFont="1" applyFill="1" applyBorder="1" applyAlignment="1">
      <alignment wrapText="1"/>
    </xf>
    <xf numFmtId="0" fontId="45" fillId="4" borderId="0" xfId="2" applyNumberFormat="1" applyFont="1" applyFill="1" applyBorder="1" applyAlignment="1">
      <alignment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0" fontId="7" fillId="6" borderId="6" xfId="2" applyNumberFormat="1" applyFont="1" applyFill="1" applyBorder="1" applyAlignment="1">
      <alignment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0" fontId="7" fillId="6" borderId="21" xfId="2" applyNumberFormat="1" applyFont="1" applyFill="1" applyBorder="1" applyAlignment="1">
      <alignment horizontal="center" vertical="center" wrapText="1"/>
    </xf>
    <xf numFmtId="0" fontId="7" fillId="0" borderId="21" xfId="0" applyNumberFormat="1" applyFont="1" applyFill="1" applyBorder="1" applyAlignment="1" applyProtection="1">
      <alignment horizontal="center" vertical="center" wrapText="1"/>
    </xf>
    <xf numFmtId="2" fontId="7" fillId="2" borderId="1" xfId="2" applyNumberFormat="1" applyFont="1" applyFill="1" applyBorder="1" applyAlignment="1">
      <alignment horizontal="center" vertical="center" wrapText="1"/>
    </xf>
    <xf numFmtId="10" fontId="7" fillId="2" borderId="1" xfId="1" applyNumberFormat="1" applyFont="1" applyFill="1" applyBorder="1" applyAlignment="1">
      <alignment horizontal="center" vertical="center" wrapText="1"/>
    </xf>
    <xf numFmtId="10" fontId="7" fillId="2" borderId="10" xfId="1" applyNumberFormat="1" applyFont="1" applyFill="1" applyBorder="1" applyAlignment="1">
      <alignment horizontal="center" vertical="center" wrapText="1"/>
    </xf>
    <xf numFmtId="0" fontId="6" fillId="5" borderId="1" xfId="2" applyNumberFormat="1" applyFont="1" applyFill="1" applyBorder="1" applyAlignment="1">
      <alignment horizontal="left" vertical="center"/>
    </xf>
    <xf numFmtId="0" fontId="6" fillId="5" borderId="3" xfId="2" applyNumberFormat="1" applyFont="1" applyFill="1" applyBorder="1" applyAlignment="1">
      <alignment horizontal="left" vertical="center"/>
    </xf>
    <xf numFmtId="0" fontId="36" fillId="0" borderId="0" xfId="0" applyFont="1">
      <alignment vertical="center"/>
    </xf>
    <xf numFmtId="10" fontId="7" fillId="6" borderId="6" xfId="2" applyNumberFormat="1" applyFont="1" applyFill="1" applyBorder="1" applyAlignment="1">
      <alignment horizontal="center" vertical="center" wrapText="1"/>
    </xf>
    <xf numFmtId="10" fontId="7" fillId="0" borderId="10" xfId="1" applyNumberFormat="1" applyFont="1" applyFill="1" applyBorder="1" applyAlignment="1">
      <alignment horizontal="center" vertical="center" wrapText="1"/>
    </xf>
    <xf numFmtId="10" fontId="7" fillId="0" borderId="16" xfId="1" applyNumberFormat="1" applyFont="1" applyFill="1" applyBorder="1" applyAlignment="1">
      <alignment horizontal="center" vertical="center" wrapText="1"/>
    </xf>
    <xf numFmtId="0" fontId="41" fillId="0" borderId="0" xfId="0" applyFont="1">
      <alignment vertical="center"/>
    </xf>
    <xf numFmtId="176" fontId="7" fillId="0" borderId="10" xfId="2" applyNumberFormat="1" applyFont="1" applyFill="1" applyBorder="1" applyAlignment="1">
      <alignment horizontal="center" vertical="center" wrapText="1"/>
    </xf>
    <xf numFmtId="2" fontId="7" fillId="0" borderId="1" xfId="2" applyNumberFormat="1" applyFont="1" applyFill="1" applyBorder="1" applyAlignment="1">
      <alignment horizontal="center" vertical="center" wrapText="1"/>
    </xf>
    <xf numFmtId="10" fontId="7" fillId="0" borderId="1" xfId="1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2" fontId="24" fillId="4" borderId="9" xfId="2" applyNumberFormat="1" applyFont="1" applyFill="1" applyBorder="1" applyAlignment="1">
      <alignment wrapText="1"/>
    </xf>
    <xf numFmtId="2" fontId="24" fillId="4" borderId="12" xfId="2" applyNumberFormat="1" applyFont="1" applyFill="1" applyBorder="1" applyAlignment="1">
      <alignment wrapText="1"/>
    </xf>
    <xf numFmtId="2" fontId="24" fillId="4" borderId="0" xfId="2" applyNumberFormat="1" applyFont="1" applyFill="1" applyBorder="1" applyAlignment="1">
      <alignment wrapText="1"/>
    </xf>
    <xf numFmtId="2" fontId="24" fillId="4" borderId="11" xfId="2" applyNumberFormat="1" applyFont="1" applyFill="1" applyBorder="1" applyAlignment="1">
      <alignment wrapText="1"/>
    </xf>
    <xf numFmtId="2" fontId="38" fillId="0" borderId="0" xfId="0" applyNumberFormat="1" applyFont="1" applyAlignment="1">
      <alignment horizontal="center"/>
    </xf>
    <xf numFmtId="2" fontId="40" fillId="0" borderId="8" xfId="0" applyNumberFormat="1" applyFont="1" applyBorder="1" applyAlignment="1">
      <alignment horizontal="center"/>
    </xf>
    <xf numFmtId="2" fontId="40" fillId="0" borderId="0" xfId="0" applyNumberFormat="1" applyFont="1" applyBorder="1" applyAlignment="1">
      <alignment horizont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43" fillId="0" borderId="0" xfId="0" applyFont="1" applyAlignment="1">
      <alignment horizontal="right" vertical="center"/>
    </xf>
    <xf numFmtId="177" fontId="7" fillId="0" borderId="6" xfId="2" applyNumberFormat="1" applyFont="1" applyFill="1" applyBorder="1" applyAlignment="1">
      <alignment horizontal="center" vertical="center" wrapText="1"/>
    </xf>
    <xf numFmtId="178" fontId="38" fillId="0" borderId="8" xfId="0" applyNumberFormat="1" applyFont="1" applyBorder="1" applyAlignment="1">
      <alignment horizontal="center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7" fontId="7" fillId="0" borderId="21" xfId="2" applyNumberFormat="1" applyFont="1" applyFill="1" applyBorder="1" applyAlignment="1">
      <alignment horizontal="center" vertical="center" wrapText="1"/>
    </xf>
    <xf numFmtId="176" fontId="6" fillId="0" borderId="6" xfId="6" applyNumberFormat="1" applyFont="1" applyBorder="1" applyAlignment="1">
      <alignment horizontal="center" vertical="center" wrapText="1"/>
    </xf>
    <xf numFmtId="0" fontId="6" fillId="2" borderId="6" xfId="6" applyFont="1" applyFill="1" applyBorder="1" applyAlignment="1">
      <alignment horizontal="center" vertical="center"/>
    </xf>
    <xf numFmtId="0" fontId="6" fillId="0" borderId="6" xfId="6" applyFont="1" applyBorder="1" applyAlignment="1">
      <alignment horizontal="center" vertical="center"/>
    </xf>
    <xf numFmtId="177" fontId="8" fillId="0" borderId="10" xfId="2" applyNumberFormat="1" applyFont="1" applyFill="1" applyBorder="1" applyAlignment="1">
      <alignment horizontal="center" vertical="center" wrapText="1"/>
    </xf>
    <xf numFmtId="177" fontId="8" fillId="0" borderId="11" xfId="2" applyNumberFormat="1" applyFont="1" applyFill="1" applyBorder="1" applyAlignment="1">
      <alignment horizontal="center" vertical="center" wrapText="1"/>
    </xf>
    <xf numFmtId="177" fontId="8" fillId="0" borderId="12" xfId="2" applyNumberFormat="1" applyFont="1" applyFill="1" applyBorder="1" applyAlignment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7" fontId="7" fillId="0" borderId="21" xfId="2" applyNumberFormat="1" applyFont="1" applyFill="1" applyBorder="1" applyAlignment="1">
      <alignment horizontal="center" vertical="center" wrapText="1"/>
    </xf>
    <xf numFmtId="0" fontId="38" fillId="0" borderId="0" xfId="0" applyFont="1">
      <alignment vertical="center"/>
    </xf>
    <xf numFmtId="0" fontId="30" fillId="4" borderId="8" xfId="2" applyNumberFormat="1" applyFont="1" applyFill="1" applyBorder="1" applyAlignment="1">
      <alignment wrapText="1"/>
    </xf>
    <xf numFmtId="0" fontId="46" fillId="4" borderId="0" xfId="2" applyNumberFormat="1" applyFont="1" applyFill="1" applyBorder="1" applyAlignment="1">
      <alignment wrapText="1"/>
    </xf>
    <xf numFmtId="0" fontId="46" fillId="2" borderId="0" xfId="2" applyNumberFormat="1" applyFont="1" applyFill="1" applyBorder="1" applyAlignment="1">
      <alignment wrapText="1"/>
    </xf>
    <xf numFmtId="0" fontId="30" fillId="4" borderId="0" xfId="2" applyNumberFormat="1" applyFont="1" applyFill="1" applyBorder="1" applyAlignment="1">
      <alignment wrapText="1"/>
    </xf>
    <xf numFmtId="0" fontId="30" fillId="2" borderId="8" xfId="2" applyNumberFormat="1" applyFont="1" applyFill="1" applyBorder="1" applyAlignment="1">
      <alignment wrapText="1"/>
    </xf>
    <xf numFmtId="0" fontId="30" fillId="2" borderId="0" xfId="2" applyNumberFormat="1" applyFont="1" applyFill="1" applyBorder="1" applyAlignment="1">
      <alignment wrapText="1"/>
    </xf>
    <xf numFmtId="0" fontId="30" fillId="4" borderId="0" xfId="2" applyNumberFormat="1" applyFont="1" applyFill="1" applyBorder="1" applyAlignment="1"/>
    <xf numFmtId="0" fontId="46" fillId="4" borderId="0" xfId="2" applyNumberFormat="1" applyFont="1" applyFill="1" applyBorder="1" applyAlignment="1"/>
    <xf numFmtId="0" fontId="47" fillId="0" borderId="0" xfId="0" applyFont="1">
      <alignment vertical="center"/>
    </xf>
    <xf numFmtId="0" fontId="47" fillId="2" borderId="0" xfId="0" applyFont="1" applyFill="1">
      <alignment vertical="center"/>
    </xf>
    <xf numFmtId="176" fontId="6" fillId="0" borderId="6" xfId="6" applyNumberFormat="1" applyFont="1" applyBorder="1" applyAlignment="1">
      <alignment horizontal="center" vertical="center" wrapText="1"/>
    </xf>
    <xf numFmtId="0" fontId="6" fillId="2" borderId="6" xfId="6" applyFont="1" applyFill="1" applyBorder="1" applyAlignment="1">
      <alignment horizontal="center" vertical="center"/>
    </xf>
    <xf numFmtId="0" fontId="6" fillId="0" borderId="6" xfId="6" applyFont="1" applyBorder="1" applyAlignment="1">
      <alignment horizontal="center" vertical="center"/>
    </xf>
    <xf numFmtId="180" fontId="6" fillId="0" borderId="6" xfId="6" applyNumberFormat="1" applyFont="1" applyBorder="1" applyAlignment="1">
      <alignment horizontal="center" vertical="center" wrapText="1"/>
    </xf>
    <xf numFmtId="177" fontId="8" fillId="0" borderId="11" xfId="2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7" fontId="7" fillId="0" borderId="21" xfId="2" applyNumberFormat="1" applyFont="1" applyFill="1" applyBorder="1" applyAlignment="1">
      <alignment horizontal="center" vertical="center" wrapText="1"/>
    </xf>
    <xf numFmtId="2" fontId="4" fillId="0" borderId="0" xfId="2" applyNumberFormat="1" applyFont="1" applyFill="1" applyBorder="1" applyAlignment="1">
      <alignment horizontal="center" vertical="center" wrapText="1"/>
    </xf>
    <xf numFmtId="0" fontId="6" fillId="0" borderId="21" xfId="6" applyFont="1" applyBorder="1" applyAlignment="1">
      <alignment horizontal="center" vertical="center"/>
    </xf>
    <xf numFmtId="0" fontId="6" fillId="2" borderId="21" xfId="6" applyFont="1" applyFill="1" applyBorder="1" applyAlignment="1">
      <alignment horizontal="center" vertical="center"/>
    </xf>
    <xf numFmtId="0" fontId="6" fillId="0" borderId="21" xfId="6" applyFont="1" applyBorder="1" applyAlignment="1">
      <alignment horizontal="left" vertical="center"/>
    </xf>
    <xf numFmtId="0" fontId="6" fillId="0" borderId="21" xfId="3" applyNumberFormat="1" applyFont="1" applyFill="1" applyBorder="1" applyAlignment="1">
      <alignment horizontal="center" vertical="center" wrapText="1"/>
    </xf>
    <xf numFmtId="0" fontId="6" fillId="0" borderId="21" xfId="7" applyFont="1" applyBorder="1" applyAlignment="1">
      <alignment horizontal="left" vertical="center"/>
    </xf>
    <xf numFmtId="177" fontId="6" fillId="0" borderId="24" xfId="6" applyNumberFormat="1" applyFont="1" applyBorder="1" applyAlignment="1">
      <alignment horizontal="center" vertical="center"/>
    </xf>
    <xf numFmtId="176" fontId="6" fillId="0" borderId="26" xfId="6" applyNumberFormat="1" applyFont="1" applyBorder="1" applyAlignment="1">
      <alignment horizontal="center" vertical="center"/>
    </xf>
    <xf numFmtId="176" fontId="6" fillId="0" borderId="21" xfId="6" applyNumberFormat="1" applyFont="1" applyBorder="1" applyAlignment="1">
      <alignment horizontal="center" vertical="center"/>
    </xf>
    <xf numFmtId="1" fontId="6" fillId="0" borderId="21" xfId="6" applyNumberFormat="1" applyFont="1" applyBorder="1" applyAlignment="1">
      <alignment horizontal="center" vertical="center"/>
    </xf>
    <xf numFmtId="177" fontId="6" fillId="0" borderId="21" xfId="6" applyNumberFormat="1" applyFont="1" applyBorder="1" applyAlignment="1">
      <alignment horizontal="center" vertical="center"/>
    </xf>
    <xf numFmtId="0" fontId="6" fillId="8" borderId="21" xfId="6" applyFont="1" applyFill="1" applyBorder="1" applyAlignment="1">
      <alignment horizontal="center" vertical="center"/>
    </xf>
    <xf numFmtId="176" fontId="6" fillId="2" borderId="21" xfId="6" applyNumberFormat="1" applyFont="1" applyFill="1" applyBorder="1" applyAlignment="1">
      <alignment horizontal="center" vertical="center"/>
    </xf>
    <xf numFmtId="176" fontId="6" fillId="0" borderId="21" xfId="6" applyNumberFormat="1" applyFont="1" applyBorder="1" applyAlignment="1">
      <alignment horizontal="center" vertical="center" wrapText="1"/>
    </xf>
    <xf numFmtId="180" fontId="6" fillId="0" borderId="21" xfId="6" applyNumberFormat="1" applyFont="1" applyBorder="1" applyAlignment="1">
      <alignment horizontal="center" vertical="center" wrapText="1"/>
    </xf>
    <xf numFmtId="0" fontId="13" fillId="0" borderId="21" xfId="6" applyFont="1" applyBorder="1" applyAlignment="1">
      <alignment horizontal="left" vertical="center"/>
    </xf>
    <xf numFmtId="0" fontId="6" fillId="0" borderId="21" xfId="8" applyFont="1" applyBorder="1" applyAlignment="1">
      <alignment horizontal="center" vertical="center"/>
    </xf>
    <xf numFmtId="2" fontId="7" fillId="0" borderId="24" xfId="2" applyNumberFormat="1" applyFont="1" applyFill="1" applyBorder="1" applyAlignment="1">
      <alignment horizontal="center" vertical="center" wrapText="1"/>
    </xf>
    <xf numFmtId="10" fontId="7" fillId="0" borderId="24" xfId="1" applyNumberFormat="1" applyFont="1" applyFill="1" applyBorder="1" applyAlignment="1">
      <alignment horizontal="center" vertical="center" wrapText="1"/>
    </xf>
    <xf numFmtId="0" fontId="7" fillId="0" borderId="24" xfId="2" applyNumberFormat="1" applyFont="1" applyFill="1" applyBorder="1" applyAlignment="1">
      <alignment horizontal="center" vertical="center" wrapText="1"/>
    </xf>
    <xf numFmtId="0" fontId="7" fillId="0" borderId="25" xfId="2" applyNumberFormat="1" applyFont="1" applyFill="1" applyBorder="1" applyAlignment="1">
      <alignment horizontal="center" vertical="center" wrapText="1"/>
    </xf>
    <xf numFmtId="0" fontId="7" fillId="0" borderId="26" xfId="2" applyNumberFormat="1" applyFont="1" applyFill="1" applyBorder="1" applyAlignment="1">
      <alignment horizontal="center" vertical="center" wrapText="1"/>
    </xf>
    <xf numFmtId="10" fontId="7" fillId="0" borderId="24" xfId="1" applyNumberFormat="1" applyFont="1" applyFill="1" applyBorder="1" applyAlignment="1" applyProtection="1">
      <alignment horizontal="center" vertical="center" wrapText="1"/>
    </xf>
    <xf numFmtId="2" fontId="7" fillId="2" borderId="24" xfId="2" applyNumberFormat="1" applyFont="1" applyFill="1" applyBorder="1" applyAlignment="1">
      <alignment horizontal="center" vertical="center" wrapText="1"/>
    </xf>
    <xf numFmtId="10" fontId="7" fillId="2" borderId="24" xfId="1" applyNumberFormat="1" applyFont="1" applyFill="1" applyBorder="1" applyAlignment="1">
      <alignment horizontal="center" vertical="center" wrapText="1"/>
    </xf>
    <xf numFmtId="177" fontId="8" fillId="0" borderId="21" xfId="2" applyNumberFormat="1" applyFont="1" applyFill="1" applyBorder="1" applyAlignment="1">
      <alignment vertical="center" wrapText="1"/>
    </xf>
    <xf numFmtId="176" fontId="6" fillId="0" borderId="6" xfId="6" applyNumberFormat="1" applyFont="1" applyBorder="1" applyAlignment="1">
      <alignment horizontal="center" vertical="center" wrapText="1"/>
    </xf>
    <xf numFmtId="177" fontId="8" fillId="0" borderId="10" xfId="2" applyNumberFormat="1" applyFont="1" applyFill="1" applyBorder="1" applyAlignment="1">
      <alignment horizontal="center" vertical="center" wrapText="1"/>
    </xf>
    <xf numFmtId="177" fontId="8" fillId="0" borderId="11" xfId="2" applyNumberFormat="1" applyFont="1" applyFill="1" applyBorder="1" applyAlignment="1">
      <alignment horizontal="center" vertical="center" wrapText="1"/>
    </xf>
    <xf numFmtId="177" fontId="8" fillId="0" borderId="12" xfId="2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7" fontId="8" fillId="0" borderId="24" xfId="2" applyNumberFormat="1" applyFont="1" applyFill="1" applyBorder="1" applyAlignment="1">
      <alignment horizontal="center" vertical="center" wrapText="1"/>
    </xf>
    <xf numFmtId="177" fontId="8" fillId="0" borderId="25" xfId="2" applyNumberFormat="1" applyFont="1" applyFill="1" applyBorder="1" applyAlignment="1">
      <alignment horizontal="center" vertical="center" wrapText="1"/>
    </xf>
    <xf numFmtId="177" fontId="8" fillId="0" borderId="26" xfId="2" applyNumberFormat="1" applyFont="1" applyFill="1" applyBorder="1" applyAlignment="1">
      <alignment horizontal="center" vertical="center" wrapText="1"/>
    </xf>
    <xf numFmtId="0" fontId="6" fillId="2" borderId="6" xfId="8" applyFont="1" applyFill="1" applyBorder="1" applyAlignment="1">
      <alignment horizontal="center" vertical="center"/>
    </xf>
    <xf numFmtId="0" fontId="13" fillId="2" borderId="6" xfId="6" applyFont="1" applyFill="1" applyBorder="1" applyAlignment="1">
      <alignment horizontal="left" vertical="center"/>
    </xf>
    <xf numFmtId="179" fontId="7" fillId="0" borderId="25" xfId="2" applyNumberFormat="1" applyFont="1" applyFill="1" applyBorder="1" applyAlignment="1">
      <alignment horizontal="center" vertical="center" wrapText="1"/>
    </xf>
    <xf numFmtId="0" fontId="8" fillId="0" borderId="25" xfId="2" applyNumberFormat="1" applyFont="1" applyFill="1" applyBorder="1" applyAlignment="1">
      <alignment horizontal="center" vertical="center" wrapText="1"/>
    </xf>
    <xf numFmtId="176" fontId="7" fillId="0" borderId="25" xfId="0" applyNumberFormat="1" applyFont="1" applyFill="1" applyBorder="1" applyAlignment="1">
      <alignment horizontal="center" vertical="center" wrapText="1"/>
    </xf>
    <xf numFmtId="179" fontId="7" fillId="0" borderId="26" xfId="2" applyNumberFormat="1" applyFont="1" applyFill="1" applyBorder="1" applyAlignment="1">
      <alignment horizontal="center" vertical="center" wrapText="1"/>
    </xf>
    <xf numFmtId="179" fontId="7" fillId="0" borderId="21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2" fontId="7" fillId="3" borderId="0" xfId="4" applyNumberFormat="1" applyFont="1" applyFill="1" applyBorder="1" applyAlignment="1">
      <alignment vertical="center" wrapText="1"/>
    </xf>
    <xf numFmtId="2" fontId="7" fillId="6" borderId="0" xfId="5" applyNumberFormat="1" applyFont="1" applyFill="1" applyBorder="1" applyAlignment="1">
      <alignment horizontal="center" vertical="center" wrapText="1"/>
    </xf>
    <xf numFmtId="2" fontId="7" fillId="0" borderId="0" xfId="2" applyNumberFormat="1" applyFont="1" applyFill="1" applyBorder="1" applyAlignment="1">
      <alignment horizontal="center" vertical="center"/>
    </xf>
    <xf numFmtId="2" fontId="7" fillId="7" borderId="0" xfId="2" applyNumberFormat="1" applyFont="1" applyFill="1" applyBorder="1" applyAlignment="1">
      <alignment horizontal="center" vertical="center" wrapText="1"/>
    </xf>
    <xf numFmtId="2" fontId="7" fillId="6" borderId="0" xfId="2" applyNumberFormat="1" applyFont="1" applyFill="1" applyBorder="1" applyAlignment="1">
      <alignment horizontal="center" vertical="center" wrapText="1"/>
    </xf>
    <xf numFmtId="2" fontId="7" fillId="0" borderId="0" xfId="2" applyNumberFormat="1" applyFont="1" applyFill="1" applyBorder="1" applyAlignment="1">
      <alignment horizontal="center" vertical="center" wrapText="1"/>
    </xf>
    <xf numFmtId="2" fontId="7" fillId="0" borderId="0" xfId="2" applyNumberFormat="1" applyFont="1" applyFill="1" applyBorder="1" applyAlignment="1">
      <alignment vertical="center"/>
    </xf>
    <xf numFmtId="2" fontId="7" fillId="0" borderId="0" xfId="0" applyNumberFormat="1" applyFont="1" applyFill="1" applyBorder="1" applyAlignment="1" applyProtection="1">
      <alignment horizontal="center" vertical="center" wrapText="1"/>
    </xf>
    <xf numFmtId="176" fontId="7" fillId="0" borderId="0" xfId="2" applyNumberFormat="1" applyFont="1" applyFill="1" applyBorder="1" applyAlignment="1">
      <alignment horizontal="center" vertical="center" wrapText="1"/>
    </xf>
    <xf numFmtId="2" fontId="7" fillId="7" borderId="0" xfId="3" applyNumberFormat="1" applyFont="1" applyFill="1" applyBorder="1" applyAlignment="1">
      <alignment horizontal="center" vertical="center" wrapText="1"/>
    </xf>
    <xf numFmtId="2" fontId="7" fillId="2" borderId="0" xfId="2" applyNumberFormat="1" applyFont="1" applyFill="1" applyBorder="1" applyAlignment="1">
      <alignment horizontal="center" vertical="center"/>
    </xf>
    <xf numFmtId="2" fontId="24" fillId="8" borderId="0" xfId="2" applyNumberFormat="1" applyFont="1" applyFill="1" applyBorder="1" applyAlignment="1">
      <alignment horizontal="center" vertical="center" wrapText="1"/>
    </xf>
    <xf numFmtId="2" fontId="6" fillId="0" borderId="0" xfId="2" applyNumberFormat="1" applyFont="1" applyFill="1" applyBorder="1" applyAlignment="1">
      <alignment horizontal="center" vertical="center"/>
    </xf>
    <xf numFmtId="0" fontId="38" fillId="0" borderId="0" xfId="0" applyFont="1" applyAlignment="1">
      <alignment horizontal="right" vertical="center"/>
    </xf>
    <xf numFmtId="0" fontId="38" fillId="2" borderId="0" xfId="0" applyFont="1" applyFill="1" applyAlignment="1">
      <alignment horizontal="right" vertical="center"/>
    </xf>
    <xf numFmtId="0" fontId="39" fillId="0" borderId="0" xfId="0" applyFont="1" applyAlignment="1">
      <alignment horizontal="right" vertical="center"/>
    </xf>
    <xf numFmtId="0" fontId="41" fillId="0" borderId="0" xfId="0" applyFont="1" applyAlignment="1">
      <alignment horizontal="right" vertical="center"/>
    </xf>
    <xf numFmtId="2" fontId="4" fillId="0" borderId="0" xfId="2" applyNumberFormat="1" applyFont="1" applyFill="1" applyBorder="1" applyAlignment="1">
      <alignment horizontal="right" vertical="center" wrapText="1"/>
    </xf>
    <xf numFmtId="2" fontId="7" fillId="3" borderId="0" xfId="4" applyNumberFormat="1" applyFont="1" applyFill="1" applyBorder="1" applyAlignment="1">
      <alignment horizontal="right" vertical="center" wrapText="1"/>
    </xf>
    <xf numFmtId="2" fontId="10" fillId="4" borderId="0" xfId="2" applyNumberFormat="1" applyFont="1" applyFill="1" applyBorder="1" applyAlignment="1">
      <alignment horizontal="right" vertical="center" wrapText="1"/>
    </xf>
    <xf numFmtId="2" fontId="7" fillId="6" borderId="0" xfId="5" applyNumberFormat="1" applyFont="1" applyFill="1" applyBorder="1" applyAlignment="1">
      <alignment horizontal="right" vertical="center" wrapText="1"/>
    </xf>
    <xf numFmtId="2" fontId="7" fillId="0" borderId="0" xfId="2" applyNumberFormat="1" applyFont="1" applyFill="1" applyBorder="1" applyAlignment="1">
      <alignment horizontal="right" vertical="center"/>
    </xf>
    <xf numFmtId="2" fontId="7" fillId="2" borderId="0" xfId="2" applyNumberFormat="1" applyFont="1" applyFill="1" applyBorder="1" applyAlignment="1">
      <alignment horizontal="right" vertical="center"/>
    </xf>
    <xf numFmtId="2" fontId="7" fillId="7" borderId="0" xfId="2" applyNumberFormat="1" applyFont="1" applyFill="1" applyBorder="1" applyAlignment="1">
      <alignment horizontal="right" vertical="center" wrapText="1"/>
    </xf>
    <xf numFmtId="2" fontId="7" fillId="6" borderId="0" xfId="2" applyNumberFormat="1" applyFont="1" applyFill="1" applyBorder="1" applyAlignment="1">
      <alignment horizontal="right" vertical="center" wrapText="1"/>
    </xf>
    <xf numFmtId="2" fontId="7" fillId="0" borderId="0" xfId="2" applyNumberFormat="1" applyFont="1" applyFill="1" applyBorder="1" applyAlignment="1">
      <alignment horizontal="right" vertical="center" wrapText="1"/>
    </xf>
    <xf numFmtId="2" fontId="7" fillId="0" borderId="0" xfId="0" applyNumberFormat="1" applyFont="1" applyFill="1" applyBorder="1" applyAlignment="1" applyProtection="1">
      <alignment horizontal="right" vertical="center" wrapText="1"/>
    </xf>
    <xf numFmtId="176" fontId="7" fillId="0" borderId="0" xfId="2" applyNumberFormat="1" applyFont="1" applyFill="1" applyBorder="1" applyAlignment="1">
      <alignment horizontal="right" vertical="center" wrapText="1"/>
    </xf>
    <xf numFmtId="2" fontId="7" fillId="7" borderId="0" xfId="3" applyNumberFormat="1" applyFont="1" applyFill="1" applyBorder="1" applyAlignment="1">
      <alignment horizontal="right" vertical="center" wrapText="1"/>
    </xf>
    <xf numFmtId="176" fontId="7" fillId="2" borderId="0" xfId="2" applyNumberFormat="1" applyFont="1" applyFill="1" applyBorder="1" applyAlignment="1" applyProtection="1">
      <alignment horizontal="right" vertical="center" wrapText="1"/>
    </xf>
    <xf numFmtId="2" fontId="6" fillId="0" borderId="0" xfId="2" applyNumberFormat="1" applyFont="1" applyFill="1" applyBorder="1" applyAlignment="1">
      <alignment horizontal="right" vertical="center"/>
    </xf>
    <xf numFmtId="2" fontId="13" fillId="0" borderId="0" xfId="2" applyNumberFormat="1" applyFont="1" applyFill="1" applyBorder="1" applyAlignment="1">
      <alignment horizontal="right" vertical="center"/>
    </xf>
    <xf numFmtId="0" fontId="43" fillId="0" borderId="0" xfId="0" applyFont="1" applyBorder="1" applyAlignment="1">
      <alignment horizontal="center"/>
    </xf>
    <xf numFmtId="0" fontId="43" fillId="0" borderId="0" xfId="0" applyFont="1" applyAlignment="1">
      <alignment vertical="center"/>
    </xf>
    <xf numFmtId="178" fontId="39" fillId="0" borderId="0" xfId="0" applyNumberFormat="1" applyFont="1" applyAlignment="1">
      <alignment horizontal="center"/>
    </xf>
    <xf numFmtId="178" fontId="39" fillId="0" borderId="8" xfId="0" applyNumberFormat="1" applyFont="1" applyBorder="1" applyAlignment="1">
      <alignment horizontal="center"/>
    </xf>
    <xf numFmtId="0" fontId="36" fillId="0" borderId="0" xfId="0" applyFont="1" applyAlignment="1">
      <alignment horizontal="right" vertical="center"/>
    </xf>
    <xf numFmtId="0" fontId="42" fillId="0" borderId="8" xfId="0" applyFont="1" applyBorder="1" applyAlignment="1">
      <alignment horizontal="center"/>
    </xf>
    <xf numFmtId="0" fontId="42" fillId="0" borderId="9" xfId="0" applyFont="1" applyBorder="1" applyAlignment="1">
      <alignment horizontal="center"/>
    </xf>
    <xf numFmtId="0" fontId="39" fillId="0" borderId="9" xfId="0" applyFont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0" xfId="0" applyFont="1" applyBorder="1" applyAlignment="1">
      <alignment horizontal="center"/>
    </xf>
    <xf numFmtId="0" fontId="39" fillId="2" borderId="0" xfId="0" applyFont="1" applyFill="1" applyAlignment="1">
      <alignment horizontal="center"/>
    </xf>
    <xf numFmtId="0" fontId="39" fillId="2" borderId="8" xfId="0" applyFont="1" applyFill="1" applyBorder="1" applyAlignment="1">
      <alignment horizontal="center"/>
    </xf>
    <xf numFmtId="0" fontId="39" fillId="2" borderId="0" xfId="0" applyFont="1" applyFill="1" applyBorder="1" applyAlignment="1">
      <alignment horizontal="center"/>
    </xf>
    <xf numFmtId="0" fontId="6" fillId="0" borderId="15" xfId="6" applyFont="1" applyBorder="1" applyAlignment="1">
      <alignment horizontal="center" vertical="center"/>
    </xf>
    <xf numFmtId="0" fontId="6" fillId="0" borderId="16" xfId="6" applyFont="1" applyBorder="1" applyAlignment="1">
      <alignment horizontal="center" vertical="center"/>
    </xf>
    <xf numFmtId="176" fontId="6" fillId="0" borderId="6" xfId="6" applyNumberFormat="1" applyFont="1" applyBorder="1" applyAlignment="1">
      <alignment horizontal="center" vertical="center" wrapText="1"/>
    </xf>
    <xf numFmtId="180" fontId="6" fillId="0" borderId="6" xfId="6" applyNumberFormat="1" applyFont="1" applyBorder="1" applyAlignment="1">
      <alignment horizontal="center" vertical="center" wrapText="1"/>
    </xf>
    <xf numFmtId="0" fontId="6" fillId="0" borderId="1" xfId="6" applyFont="1" applyBorder="1" applyAlignment="1">
      <alignment horizontal="center" vertical="center" wrapText="1"/>
    </xf>
    <xf numFmtId="0" fontId="6" fillId="0" borderId="2" xfId="6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 wrapText="1"/>
    </xf>
    <xf numFmtId="0" fontId="13" fillId="9" borderId="4" xfId="6" applyFont="1" applyFill="1" applyBorder="1" applyAlignment="1">
      <alignment horizontal="center" vertical="center" wrapText="1"/>
    </xf>
    <xf numFmtId="0" fontId="13" fillId="9" borderId="7" xfId="6" applyFont="1" applyFill="1" applyBorder="1" applyAlignment="1">
      <alignment horizontal="center" vertical="center" wrapText="1"/>
    </xf>
    <xf numFmtId="0" fontId="27" fillId="0" borderId="0" xfId="6" applyFont="1" applyAlignment="1">
      <alignment horizontal="center" vertical="center"/>
    </xf>
    <xf numFmtId="0" fontId="27" fillId="0" borderId="11" xfId="6" applyFont="1" applyBorder="1" applyAlignment="1">
      <alignment horizontal="center" vertical="center"/>
    </xf>
    <xf numFmtId="0" fontId="28" fillId="0" borderId="6" xfId="6" applyFont="1" applyBorder="1" applyAlignment="1">
      <alignment horizontal="center" vertical="center" wrapText="1"/>
    </xf>
    <xf numFmtId="0" fontId="29" fillId="0" borderId="6" xfId="6" applyFont="1" applyBorder="1" applyAlignment="1">
      <alignment horizontal="center" vertical="center" wrapText="1"/>
    </xf>
    <xf numFmtId="0" fontId="6" fillId="2" borderId="6" xfId="6" applyFont="1" applyFill="1" applyBorder="1" applyAlignment="1">
      <alignment horizontal="center" vertical="center"/>
    </xf>
    <xf numFmtId="0" fontId="6" fillId="0" borderId="6" xfId="6" applyFont="1" applyBorder="1" applyAlignment="1">
      <alignment horizontal="center" vertical="center"/>
    </xf>
    <xf numFmtId="0" fontId="6" fillId="0" borderId="15" xfId="6" applyFont="1" applyBorder="1" applyAlignment="1">
      <alignment horizontal="left" vertical="center" wrapText="1"/>
    </xf>
    <xf numFmtId="0" fontId="6" fillId="0" borderId="16" xfId="6" applyFont="1" applyBorder="1" applyAlignment="1">
      <alignment horizontal="left" vertical="center" wrapText="1"/>
    </xf>
    <xf numFmtId="0" fontId="6" fillId="0" borderId="1" xfId="6" applyFont="1" applyBorder="1" applyAlignment="1">
      <alignment horizontal="center" vertical="center"/>
    </xf>
    <xf numFmtId="0" fontId="6" fillId="0" borderId="3" xfId="6" applyFont="1" applyBorder="1" applyAlignment="1">
      <alignment horizontal="center" vertical="center"/>
    </xf>
    <xf numFmtId="0" fontId="6" fillId="0" borderId="4" xfId="6" applyFont="1" applyBorder="1" applyAlignment="1">
      <alignment horizontal="center" vertical="center"/>
    </xf>
    <xf numFmtId="0" fontId="6" fillId="0" borderId="7" xfId="6" applyFont="1" applyBorder="1" applyAlignment="1">
      <alignment horizontal="center" vertical="center"/>
    </xf>
    <xf numFmtId="0" fontId="6" fillId="0" borderId="10" xfId="6" applyFont="1" applyBorder="1" applyAlignment="1">
      <alignment horizontal="center" vertical="center"/>
    </xf>
    <xf numFmtId="0" fontId="6" fillId="0" borderId="12" xfId="6" applyFont="1" applyBorder="1" applyAlignment="1">
      <alignment horizontal="center" vertical="center"/>
    </xf>
    <xf numFmtId="0" fontId="6" fillId="0" borderId="6" xfId="6" applyFont="1" applyBorder="1" applyAlignment="1">
      <alignment horizontal="center" vertical="center" wrapText="1"/>
    </xf>
    <xf numFmtId="0" fontId="6" fillId="2" borderId="1" xfId="6" applyFont="1" applyFill="1" applyBorder="1" applyAlignment="1">
      <alignment horizontal="center" vertical="center" wrapText="1"/>
    </xf>
    <xf numFmtId="0" fontId="6" fillId="2" borderId="2" xfId="6" applyFont="1" applyFill="1" applyBorder="1" applyAlignment="1">
      <alignment horizontal="center" vertical="center" wrapText="1"/>
    </xf>
    <xf numFmtId="0" fontId="6" fillId="2" borderId="3" xfId="6" applyFont="1" applyFill="1" applyBorder="1" applyAlignment="1">
      <alignment horizontal="center" vertical="center" wrapText="1"/>
    </xf>
    <xf numFmtId="2" fontId="6" fillId="8" borderId="21" xfId="2" applyNumberFormat="1" applyFont="1" applyFill="1" applyBorder="1" applyAlignment="1">
      <alignment horizontal="center" vertical="top" wrapText="1"/>
    </xf>
    <xf numFmtId="2" fontId="24" fillId="8" borderId="21" xfId="2" applyNumberFormat="1" applyFont="1" applyFill="1" applyBorder="1" applyAlignment="1">
      <alignment horizontal="center" vertical="center" wrapText="1"/>
    </xf>
    <xf numFmtId="177" fontId="8" fillId="0" borderId="4" xfId="2" applyNumberFormat="1" applyFont="1" applyFill="1" applyBorder="1" applyAlignment="1">
      <alignment horizontal="center" vertical="center" wrapText="1"/>
    </xf>
    <xf numFmtId="177" fontId="8" fillId="0" borderId="5" xfId="2" applyNumberFormat="1" applyFont="1" applyFill="1" applyBorder="1" applyAlignment="1">
      <alignment horizontal="center" vertical="center" wrapText="1"/>
    </xf>
    <xf numFmtId="177" fontId="8" fillId="0" borderId="7" xfId="2" applyNumberFormat="1" applyFont="1" applyFill="1" applyBorder="1" applyAlignment="1">
      <alignment horizontal="center" vertical="center" wrapText="1"/>
    </xf>
    <xf numFmtId="177" fontId="8" fillId="0" borderId="8" xfId="2" applyNumberFormat="1" applyFont="1" applyFill="1" applyBorder="1" applyAlignment="1">
      <alignment horizontal="center" vertical="center" wrapText="1"/>
    </xf>
    <xf numFmtId="177" fontId="8" fillId="0" borderId="0" xfId="2" applyNumberFormat="1" applyFont="1" applyFill="1" applyBorder="1" applyAlignment="1">
      <alignment horizontal="center" vertical="center" wrapText="1"/>
    </xf>
    <xf numFmtId="177" fontId="8" fillId="0" borderId="9" xfId="2" applyNumberFormat="1" applyFont="1" applyFill="1" applyBorder="1" applyAlignment="1">
      <alignment horizontal="center" vertical="center" wrapText="1"/>
    </xf>
    <xf numFmtId="177" fontId="8" fillId="0" borderId="10" xfId="2" applyNumberFormat="1" applyFont="1" applyFill="1" applyBorder="1" applyAlignment="1">
      <alignment horizontal="center" vertical="center" wrapText="1"/>
    </xf>
    <xf numFmtId="177" fontId="8" fillId="0" borderId="11" xfId="2" applyNumberFormat="1" applyFont="1" applyFill="1" applyBorder="1" applyAlignment="1">
      <alignment horizontal="center" vertical="center" wrapText="1"/>
    </xf>
    <xf numFmtId="177" fontId="8" fillId="0" borderId="12" xfId="2" applyNumberFormat="1" applyFont="1" applyFill="1" applyBorder="1" applyAlignment="1">
      <alignment horizontal="center" vertical="center" wrapText="1"/>
    </xf>
    <xf numFmtId="0" fontId="24" fillId="4" borderId="17" xfId="2" applyNumberFormat="1" applyFont="1" applyFill="1" applyBorder="1" applyAlignment="1">
      <alignment horizontal="center" vertical="top" wrapText="1"/>
    </xf>
    <xf numFmtId="0" fontId="24" fillId="4" borderId="16" xfId="2" applyNumberFormat="1" applyFont="1" applyFill="1" applyBorder="1" applyAlignment="1">
      <alignment horizontal="center" vertical="top" wrapText="1"/>
    </xf>
    <xf numFmtId="177" fontId="8" fillId="0" borderId="1" xfId="2" applyNumberFormat="1" applyFont="1" applyFill="1" applyBorder="1" applyAlignment="1">
      <alignment horizontal="center" vertical="center" wrapText="1"/>
    </xf>
    <xf numFmtId="177" fontId="8" fillId="0" borderId="2" xfId="2" applyNumberFormat="1" applyFont="1" applyFill="1" applyBorder="1" applyAlignment="1">
      <alignment horizontal="center" vertical="center" wrapText="1"/>
    </xf>
    <xf numFmtId="177" fontId="8" fillId="0" borderId="3" xfId="2" applyNumberFormat="1" applyFont="1" applyFill="1" applyBorder="1" applyAlignment="1">
      <alignment horizontal="center" vertical="center" wrapText="1"/>
    </xf>
    <xf numFmtId="0" fontId="7" fillId="0" borderId="1" xfId="2" applyNumberFormat="1" applyFont="1" applyFill="1" applyBorder="1" applyAlignment="1">
      <alignment horizontal="center" vertical="center" wrapText="1"/>
    </xf>
    <xf numFmtId="0" fontId="7" fillId="0" borderId="2" xfId="2" applyNumberFormat="1" applyFont="1" applyFill="1" applyBorder="1" applyAlignment="1">
      <alignment horizontal="center" vertical="center" wrapText="1"/>
    </xf>
    <xf numFmtId="0" fontId="7" fillId="0" borderId="3" xfId="2" applyNumberFormat="1" applyFont="1" applyFill="1" applyBorder="1" applyAlignment="1">
      <alignment horizontal="center" vertical="center" wrapText="1"/>
    </xf>
    <xf numFmtId="0" fontId="6" fillId="5" borderId="6" xfId="2" applyNumberFormat="1" applyFont="1" applyFill="1" applyBorder="1" applyAlignment="1">
      <alignment horizontal="left" vertical="center"/>
    </xf>
    <xf numFmtId="0" fontId="4" fillId="0" borderId="0" xfId="2" applyNumberFormat="1" applyFont="1" applyFill="1" applyBorder="1" applyAlignment="1">
      <alignment horizontal="center" vertical="center" wrapText="1"/>
    </xf>
    <xf numFmtId="0" fontId="4" fillId="2" borderId="0" xfId="2" applyNumberFormat="1" applyFont="1" applyFill="1" applyBorder="1" applyAlignment="1">
      <alignment horizontal="center" vertical="center" wrapText="1"/>
    </xf>
    <xf numFmtId="2" fontId="4" fillId="0" borderId="0" xfId="2" applyNumberFormat="1" applyFont="1" applyFill="1" applyBorder="1" applyAlignment="1">
      <alignment horizontal="center" vertical="center" wrapText="1"/>
    </xf>
    <xf numFmtId="0" fontId="7" fillId="7" borderId="1" xfId="2" applyNumberFormat="1" applyFont="1" applyFill="1" applyBorder="1" applyAlignment="1">
      <alignment horizontal="center" vertical="center" wrapText="1"/>
    </xf>
    <xf numFmtId="0" fontId="7" fillId="7" borderId="3" xfId="2" applyNumberFormat="1" applyFont="1" applyFill="1" applyBorder="1" applyAlignment="1">
      <alignment horizontal="center" vertical="center" wrapText="1"/>
    </xf>
    <xf numFmtId="0" fontId="7" fillId="7" borderId="6" xfId="2" applyNumberFormat="1" applyFont="1" applyFill="1" applyBorder="1" applyAlignment="1">
      <alignment horizontal="center" vertical="center" wrapText="1"/>
    </xf>
    <xf numFmtId="0" fontId="7" fillId="7" borderId="1" xfId="3" applyNumberFormat="1" applyFont="1" applyFill="1" applyBorder="1" applyAlignment="1">
      <alignment horizontal="center" vertical="center" wrapText="1"/>
    </xf>
    <xf numFmtId="0" fontId="7" fillId="7" borderId="3" xfId="3" applyNumberFormat="1" applyFont="1" applyFill="1" applyBorder="1" applyAlignment="1">
      <alignment horizontal="center" vertical="center" wrapText="1"/>
    </xf>
    <xf numFmtId="0" fontId="7" fillId="7" borderId="2" xfId="2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3" xfId="0" applyNumberFormat="1" applyFont="1" applyFill="1" applyBorder="1" applyAlignment="1" applyProtection="1">
      <alignment horizontal="center" vertical="center" wrapText="1"/>
    </xf>
    <xf numFmtId="0" fontId="7" fillId="6" borderId="22" xfId="2" applyNumberFormat="1" applyFont="1" applyFill="1" applyBorder="1" applyAlignment="1">
      <alignment horizontal="center" vertical="center" wrapText="1"/>
    </xf>
    <xf numFmtId="0" fontId="7" fillId="6" borderId="2" xfId="2" applyNumberFormat="1" applyFont="1" applyFill="1" applyBorder="1" applyAlignment="1">
      <alignment horizontal="center" vertical="center" wrapText="1"/>
    </xf>
    <xf numFmtId="0" fontId="7" fillId="6" borderId="23" xfId="2" applyNumberFormat="1" applyFont="1" applyFill="1" applyBorder="1" applyAlignment="1">
      <alignment horizontal="center" vertical="center" wrapText="1"/>
    </xf>
    <xf numFmtId="177" fontId="7" fillId="0" borderId="6" xfId="2" applyNumberFormat="1" applyFont="1" applyFill="1" applyBorder="1" applyAlignment="1">
      <alignment horizontal="center" vertical="center" wrapText="1"/>
    </xf>
    <xf numFmtId="177" fontId="7" fillId="0" borderId="21" xfId="2" applyNumberFormat="1" applyFont="1" applyFill="1" applyBorder="1" applyAlignment="1">
      <alignment horizontal="center" vertical="center" wrapText="1"/>
    </xf>
    <xf numFmtId="0" fontId="7" fillId="6" borderId="1" xfId="2" applyNumberFormat="1" applyFont="1" applyFill="1" applyBorder="1" applyAlignment="1">
      <alignment horizontal="center" vertical="center" wrapText="1"/>
    </xf>
    <xf numFmtId="0" fontId="7" fillId="6" borderId="3" xfId="2" applyNumberFormat="1" applyFont="1" applyFill="1" applyBorder="1" applyAlignment="1">
      <alignment horizontal="center" vertical="center" wrapText="1"/>
    </xf>
    <xf numFmtId="177" fontId="7" fillId="0" borderId="1" xfId="2" applyNumberFormat="1" applyFont="1" applyFill="1" applyBorder="1" applyAlignment="1">
      <alignment horizontal="center" vertical="center" wrapText="1"/>
    </xf>
    <xf numFmtId="177" fontId="7" fillId="0" borderId="2" xfId="2" applyNumberFormat="1" applyFont="1" applyFill="1" applyBorder="1" applyAlignment="1">
      <alignment horizontal="center" vertical="center" wrapText="1"/>
    </xf>
    <xf numFmtId="177" fontId="7" fillId="0" borderId="3" xfId="2" applyNumberFormat="1" applyFont="1" applyFill="1" applyBorder="1" applyAlignment="1">
      <alignment horizontal="center" vertical="center" wrapText="1"/>
    </xf>
    <xf numFmtId="0" fontId="6" fillId="7" borderId="6" xfId="2" applyNumberFormat="1" applyFont="1" applyFill="1" applyBorder="1" applyAlignment="1">
      <alignment horizontal="center" vertical="center" wrapText="1"/>
    </xf>
    <xf numFmtId="177" fontId="8" fillId="7" borderId="1" xfId="2" applyNumberFormat="1" applyFont="1" applyFill="1" applyBorder="1" applyAlignment="1">
      <alignment horizontal="center" vertical="center" wrapText="1"/>
    </xf>
    <xf numFmtId="177" fontId="8" fillId="7" borderId="2" xfId="2" applyNumberFormat="1" applyFont="1" applyFill="1" applyBorder="1" applyAlignment="1">
      <alignment horizontal="center" vertical="center" wrapText="1"/>
    </xf>
    <xf numFmtId="177" fontId="8" fillId="7" borderId="3" xfId="2" applyNumberFormat="1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7" fillId="0" borderId="24" xfId="2" applyNumberFormat="1" applyFont="1" applyFill="1" applyBorder="1" applyAlignment="1">
      <alignment horizontal="center" vertical="center" wrapText="1"/>
    </xf>
    <xf numFmtId="0" fontId="7" fillId="0" borderId="26" xfId="2" applyNumberFormat="1" applyFont="1" applyFill="1" applyBorder="1" applyAlignment="1">
      <alignment horizontal="center" vertical="center" wrapText="1"/>
    </xf>
    <xf numFmtId="0" fontId="7" fillId="7" borderId="21" xfId="2" applyNumberFormat="1" applyFont="1" applyFill="1" applyBorder="1" applyAlignment="1">
      <alignment horizontal="center" vertical="center" wrapText="1"/>
    </xf>
    <xf numFmtId="177" fontId="8" fillId="0" borderId="21" xfId="2" applyNumberFormat="1" applyFont="1" applyFill="1" applyBorder="1" applyAlignment="1">
      <alignment horizontal="center" vertical="center" wrapText="1"/>
    </xf>
    <xf numFmtId="0" fontId="23" fillId="8" borderId="1" xfId="0" applyFont="1" applyFill="1" applyBorder="1" applyAlignment="1">
      <alignment horizontal="center" vertical="center"/>
    </xf>
    <xf numFmtId="0" fontId="23" fillId="8" borderId="2" xfId="0" applyFont="1" applyFill="1" applyBorder="1" applyAlignment="1">
      <alignment horizontal="center" vertical="center"/>
    </xf>
    <xf numFmtId="0" fontId="23" fillId="8" borderId="3" xfId="0" applyFont="1" applyFill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0" fontId="20" fillId="8" borderId="2" xfId="0" applyFont="1" applyFill="1" applyBorder="1" applyAlignment="1">
      <alignment horizontal="center" vertical="center"/>
    </xf>
    <xf numFmtId="0" fontId="20" fillId="8" borderId="3" xfId="0" applyFont="1" applyFill="1" applyBorder="1" applyAlignment="1">
      <alignment horizontal="center" vertical="center"/>
    </xf>
    <xf numFmtId="0" fontId="34" fillId="8" borderId="1" xfId="0" applyFont="1" applyFill="1" applyBorder="1" applyAlignment="1">
      <alignment horizontal="center" vertical="center"/>
    </xf>
    <xf numFmtId="0" fontId="34" fillId="8" borderId="2" xfId="0" applyFont="1" applyFill="1" applyBorder="1" applyAlignment="1">
      <alignment horizontal="center" vertical="center"/>
    </xf>
    <xf numFmtId="0" fontId="34" fillId="8" borderId="3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</cellXfs>
  <cellStyles count="9">
    <cellStyle name="百分比" xfId="1" builtinId="5"/>
    <cellStyle name="常规" xfId="0" builtinId="0"/>
    <cellStyle name="常规 11" xfId="6"/>
    <cellStyle name="常规 12" xfId="2"/>
    <cellStyle name="常规 2_成本" xfId="8"/>
    <cellStyle name="常规 4 2 3" xfId="5"/>
    <cellStyle name="常规 4 2 4" xfId="4"/>
    <cellStyle name="常规 4 4" xfId="3"/>
    <cellStyle name="常规_参考工程量清单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1" Type="http://schemas.openxmlformats.org/officeDocument/2006/relationships/image" Target="../media/image1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1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69</xdr:row>
      <xdr:rowOff>0</xdr:rowOff>
    </xdr:from>
    <xdr:to>
      <xdr:col>5</xdr:col>
      <xdr:colOff>181506</xdr:colOff>
      <xdr:row>69</xdr:row>
      <xdr:rowOff>0</xdr:rowOff>
    </xdr:to>
    <xdr:pic>
      <xdr:nvPicPr>
        <xdr:cNvPr id="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82425"/>
          <a:ext cx="17170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69</xdr:row>
      <xdr:rowOff>0</xdr:rowOff>
    </xdr:from>
    <xdr:to>
      <xdr:col>5</xdr:col>
      <xdr:colOff>181506</xdr:colOff>
      <xdr:row>69</xdr:row>
      <xdr:rowOff>0</xdr:rowOff>
    </xdr:to>
    <xdr:pic>
      <xdr:nvPicPr>
        <xdr:cNvPr id="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82425"/>
          <a:ext cx="17170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69</xdr:row>
      <xdr:rowOff>0</xdr:rowOff>
    </xdr:from>
    <xdr:to>
      <xdr:col>5</xdr:col>
      <xdr:colOff>181506</xdr:colOff>
      <xdr:row>69</xdr:row>
      <xdr:rowOff>0</xdr:rowOff>
    </xdr:to>
    <xdr:pic>
      <xdr:nvPicPr>
        <xdr:cNvPr id="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82425"/>
          <a:ext cx="17170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69</xdr:row>
      <xdr:rowOff>0</xdr:rowOff>
    </xdr:from>
    <xdr:to>
      <xdr:col>5</xdr:col>
      <xdr:colOff>181506</xdr:colOff>
      <xdr:row>69</xdr:row>
      <xdr:rowOff>0</xdr:rowOff>
    </xdr:to>
    <xdr:pic>
      <xdr:nvPicPr>
        <xdr:cNvPr id="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82425"/>
          <a:ext cx="17170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69</xdr:row>
      <xdr:rowOff>0</xdr:rowOff>
    </xdr:from>
    <xdr:to>
      <xdr:col>5</xdr:col>
      <xdr:colOff>181506</xdr:colOff>
      <xdr:row>69</xdr:row>
      <xdr:rowOff>0</xdr:rowOff>
    </xdr:to>
    <xdr:pic>
      <xdr:nvPicPr>
        <xdr:cNvPr id="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82425"/>
          <a:ext cx="17170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69</xdr:row>
      <xdr:rowOff>0</xdr:rowOff>
    </xdr:from>
    <xdr:to>
      <xdr:col>5</xdr:col>
      <xdr:colOff>181506</xdr:colOff>
      <xdr:row>69</xdr:row>
      <xdr:rowOff>0</xdr:rowOff>
    </xdr:to>
    <xdr:pic>
      <xdr:nvPicPr>
        <xdr:cNvPr id="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82425"/>
          <a:ext cx="17170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588217</xdr:colOff>
      <xdr:row>2</xdr:row>
      <xdr:rowOff>18078</xdr:rowOff>
    </xdr:from>
    <xdr:to>
      <xdr:col>7</xdr:col>
      <xdr:colOff>568778</xdr:colOff>
      <xdr:row>14</xdr:row>
      <xdr:rowOff>140375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1074" y="436012"/>
          <a:ext cx="1282959" cy="2357756"/>
        </a:xfrm>
        <a:prstGeom prst="rect">
          <a:avLst/>
        </a:prstGeom>
      </xdr:spPr>
    </xdr:pic>
    <xdr:clientData/>
  </xdr:twoCellAnchor>
  <xdr:twoCellAnchor editAs="oneCell">
    <xdr:from>
      <xdr:col>3</xdr:col>
      <xdr:colOff>223547</xdr:colOff>
      <xdr:row>71</xdr:row>
      <xdr:rowOff>68035</xdr:rowOff>
    </xdr:from>
    <xdr:to>
      <xdr:col>7</xdr:col>
      <xdr:colOff>760358</xdr:colOff>
      <xdr:row>83</xdr:row>
      <xdr:rowOff>147253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8470" y="12226989"/>
          <a:ext cx="2257143" cy="2295238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138</xdr:row>
      <xdr:rowOff>0</xdr:rowOff>
    </xdr:from>
    <xdr:ext cx="1579413" cy="6350"/>
    <xdr:pic>
      <xdr:nvPicPr>
        <xdr:cNvPr id="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4663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138</xdr:row>
      <xdr:rowOff>0</xdr:rowOff>
    </xdr:from>
    <xdr:ext cx="1579413" cy="6350"/>
    <xdr:pic>
      <xdr:nvPicPr>
        <xdr:cNvPr id="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4663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138</xdr:row>
      <xdr:rowOff>0</xdr:rowOff>
    </xdr:from>
    <xdr:ext cx="1579413" cy="6350"/>
    <xdr:pic>
      <xdr:nvPicPr>
        <xdr:cNvPr id="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4663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138</xdr:row>
      <xdr:rowOff>0</xdr:rowOff>
    </xdr:from>
    <xdr:ext cx="1579413" cy="6350"/>
    <xdr:pic>
      <xdr:nvPicPr>
        <xdr:cNvPr id="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4663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138</xdr:row>
      <xdr:rowOff>0</xdr:rowOff>
    </xdr:from>
    <xdr:ext cx="1579413" cy="6350"/>
    <xdr:pic>
      <xdr:nvPicPr>
        <xdr:cNvPr id="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4663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138</xdr:row>
      <xdr:rowOff>0</xdr:rowOff>
    </xdr:from>
    <xdr:ext cx="1579413" cy="6350"/>
    <xdr:pic>
      <xdr:nvPicPr>
        <xdr:cNvPr id="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4663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116633</xdr:colOff>
      <xdr:row>140</xdr:row>
      <xdr:rowOff>48596</xdr:rowOff>
    </xdr:from>
    <xdr:to>
      <xdr:col>7</xdr:col>
      <xdr:colOff>757092</xdr:colOff>
      <xdr:row>152</xdr:row>
      <xdr:rowOff>156385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9490" y="24181836"/>
          <a:ext cx="1942857" cy="2323809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207</xdr:row>
      <xdr:rowOff>0</xdr:rowOff>
    </xdr:from>
    <xdr:ext cx="1579413" cy="6350"/>
    <xdr:pic>
      <xdr:nvPicPr>
        <xdr:cNvPr id="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09326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207</xdr:row>
      <xdr:rowOff>0</xdr:rowOff>
    </xdr:from>
    <xdr:ext cx="1579413" cy="6350"/>
    <xdr:pic>
      <xdr:nvPicPr>
        <xdr:cNvPr id="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09326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207</xdr:row>
      <xdr:rowOff>0</xdr:rowOff>
    </xdr:from>
    <xdr:ext cx="1579413" cy="6350"/>
    <xdr:pic>
      <xdr:nvPicPr>
        <xdr:cNvPr id="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09326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207</xdr:row>
      <xdr:rowOff>0</xdr:rowOff>
    </xdr:from>
    <xdr:ext cx="1579413" cy="6350"/>
    <xdr:pic>
      <xdr:nvPicPr>
        <xdr:cNvPr id="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09326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207</xdr:row>
      <xdr:rowOff>0</xdr:rowOff>
    </xdr:from>
    <xdr:ext cx="1579413" cy="6350"/>
    <xdr:pic>
      <xdr:nvPicPr>
        <xdr:cNvPr id="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09326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207</xdr:row>
      <xdr:rowOff>0</xdr:rowOff>
    </xdr:from>
    <xdr:ext cx="1579413" cy="6350"/>
    <xdr:pic>
      <xdr:nvPicPr>
        <xdr:cNvPr id="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09326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68035</xdr:colOff>
      <xdr:row>210</xdr:row>
      <xdr:rowOff>68036</xdr:rowOff>
    </xdr:from>
    <xdr:to>
      <xdr:col>7</xdr:col>
      <xdr:colOff>915350</xdr:colOff>
      <xdr:row>221</xdr:row>
      <xdr:rowOff>29159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851" y="35932577"/>
          <a:ext cx="2771754" cy="1992475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276</xdr:row>
      <xdr:rowOff>0</xdr:rowOff>
    </xdr:from>
    <xdr:ext cx="1579413" cy="6350"/>
    <xdr:pic>
      <xdr:nvPicPr>
        <xdr:cNvPr id="32" name="图片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63989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276</xdr:row>
      <xdr:rowOff>0</xdr:rowOff>
    </xdr:from>
    <xdr:ext cx="1579413" cy="6350"/>
    <xdr:pic>
      <xdr:nvPicPr>
        <xdr:cNvPr id="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63989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276</xdr:row>
      <xdr:rowOff>0</xdr:rowOff>
    </xdr:from>
    <xdr:ext cx="1579413" cy="6350"/>
    <xdr:pic>
      <xdr:nvPicPr>
        <xdr:cNvPr id="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63989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276</xdr:row>
      <xdr:rowOff>0</xdr:rowOff>
    </xdr:from>
    <xdr:ext cx="1579413" cy="6350"/>
    <xdr:pic>
      <xdr:nvPicPr>
        <xdr:cNvPr id="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63989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276</xdr:row>
      <xdr:rowOff>0</xdr:rowOff>
    </xdr:from>
    <xdr:ext cx="1579413" cy="6350"/>
    <xdr:pic>
      <xdr:nvPicPr>
        <xdr:cNvPr id="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63989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276</xdr:row>
      <xdr:rowOff>0</xdr:rowOff>
    </xdr:from>
    <xdr:ext cx="1579413" cy="6350"/>
    <xdr:pic>
      <xdr:nvPicPr>
        <xdr:cNvPr id="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63989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699797</xdr:colOff>
      <xdr:row>278</xdr:row>
      <xdr:rowOff>38875</xdr:rowOff>
    </xdr:from>
    <xdr:to>
      <xdr:col>7</xdr:col>
      <xdr:colOff>767833</xdr:colOff>
      <xdr:row>290</xdr:row>
      <xdr:rowOff>152592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2654" y="47566681"/>
          <a:ext cx="1370434" cy="2329738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345</xdr:row>
      <xdr:rowOff>0</xdr:rowOff>
    </xdr:from>
    <xdr:ext cx="1579413" cy="6350"/>
    <xdr:pic>
      <xdr:nvPicPr>
        <xdr:cNvPr id="41" name="图片 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18653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345</xdr:row>
      <xdr:rowOff>0</xdr:rowOff>
    </xdr:from>
    <xdr:ext cx="1579413" cy="6350"/>
    <xdr:pic>
      <xdr:nvPicPr>
        <xdr:cNvPr id="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18653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345</xdr:row>
      <xdr:rowOff>0</xdr:rowOff>
    </xdr:from>
    <xdr:ext cx="1579413" cy="6350"/>
    <xdr:pic>
      <xdr:nvPicPr>
        <xdr:cNvPr id="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18653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345</xdr:row>
      <xdr:rowOff>0</xdr:rowOff>
    </xdr:from>
    <xdr:ext cx="1579413" cy="6350"/>
    <xdr:pic>
      <xdr:nvPicPr>
        <xdr:cNvPr id="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18653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345</xdr:row>
      <xdr:rowOff>0</xdr:rowOff>
    </xdr:from>
    <xdr:ext cx="1579413" cy="6350"/>
    <xdr:pic>
      <xdr:nvPicPr>
        <xdr:cNvPr id="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18653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345</xdr:row>
      <xdr:rowOff>0</xdr:rowOff>
    </xdr:from>
    <xdr:ext cx="1579413" cy="6350"/>
    <xdr:pic>
      <xdr:nvPicPr>
        <xdr:cNvPr id="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18653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6</xdr:col>
      <xdr:colOff>60843</xdr:colOff>
      <xdr:row>347</xdr:row>
      <xdr:rowOff>77755</xdr:rowOff>
    </xdr:from>
    <xdr:to>
      <xdr:col>8</xdr:col>
      <xdr:colOff>651198</xdr:colOff>
      <xdr:row>359</xdr:row>
      <xdr:rowOff>60064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1532" y="59725638"/>
          <a:ext cx="2077421" cy="2198329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414</xdr:row>
      <xdr:rowOff>0</xdr:rowOff>
    </xdr:from>
    <xdr:ext cx="1579413" cy="6350"/>
    <xdr:pic>
      <xdr:nvPicPr>
        <xdr:cNvPr id="50" name="图片 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73316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414</xdr:row>
      <xdr:rowOff>0</xdr:rowOff>
    </xdr:from>
    <xdr:ext cx="1579413" cy="6350"/>
    <xdr:pic>
      <xdr:nvPicPr>
        <xdr:cNvPr id="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73316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414</xdr:row>
      <xdr:rowOff>0</xdr:rowOff>
    </xdr:from>
    <xdr:ext cx="1579413" cy="6350"/>
    <xdr:pic>
      <xdr:nvPicPr>
        <xdr:cNvPr id="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73316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414</xdr:row>
      <xdr:rowOff>0</xdr:rowOff>
    </xdr:from>
    <xdr:ext cx="1579413" cy="6350"/>
    <xdr:pic>
      <xdr:nvPicPr>
        <xdr:cNvPr id="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73316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414</xdr:row>
      <xdr:rowOff>0</xdr:rowOff>
    </xdr:from>
    <xdr:ext cx="1579413" cy="6350"/>
    <xdr:pic>
      <xdr:nvPicPr>
        <xdr:cNvPr id="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73316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414</xdr:row>
      <xdr:rowOff>0</xdr:rowOff>
    </xdr:from>
    <xdr:ext cx="1579413" cy="6350"/>
    <xdr:pic>
      <xdr:nvPicPr>
        <xdr:cNvPr id="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73316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447092</xdr:colOff>
      <xdr:row>416</xdr:row>
      <xdr:rowOff>97192</xdr:rowOff>
    </xdr:from>
    <xdr:to>
      <xdr:col>8</xdr:col>
      <xdr:colOff>136072</xdr:colOff>
      <xdr:row>428</xdr:row>
      <xdr:rowOff>60360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9949" y="71447218"/>
          <a:ext cx="1943878" cy="2179189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483</xdr:row>
      <xdr:rowOff>0</xdr:rowOff>
    </xdr:from>
    <xdr:ext cx="1579413" cy="6350"/>
    <xdr:pic>
      <xdr:nvPicPr>
        <xdr:cNvPr id="59" name="图片 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7979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483</xdr:row>
      <xdr:rowOff>0</xdr:rowOff>
    </xdr:from>
    <xdr:ext cx="1579413" cy="6350"/>
    <xdr:pic>
      <xdr:nvPicPr>
        <xdr:cNvPr id="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7979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483</xdr:row>
      <xdr:rowOff>0</xdr:rowOff>
    </xdr:from>
    <xdr:ext cx="1579413" cy="6350"/>
    <xdr:pic>
      <xdr:nvPicPr>
        <xdr:cNvPr id="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7979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483</xdr:row>
      <xdr:rowOff>0</xdr:rowOff>
    </xdr:from>
    <xdr:ext cx="1579413" cy="6350"/>
    <xdr:pic>
      <xdr:nvPicPr>
        <xdr:cNvPr id="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7979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483</xdr:row>
      <xdr:rowOff>0</xdr:rowOff>
    </xdr:from>
    <xdr:ext cx="1579413" cy="6350"/>
    <xdr:pic>
      <xdr:nvPicPr>
        <xdr:cNvPr id="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7979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483</xdr:row>
      <xdr:rowOff>0</xdr:rowOff>
    </xdr:from>
    <xdr:ext cx="1579413" cy="6350"/>
    <xdr:pic>
      <xdr:nvPicPr>
        <xdr:cNvPr id="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7979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215187</xdr:colOff>
      <xdr:row>485</xdr:row>
      <xdr:rowOff>155510</xdr:rowOff>
    </xdr:from>
    <xdr:to>
      <xdr:col>7</xdr:col>
      <xdr:colOff>777551</xdr:colOff>
      <xdr:row>497</xdr:row>
      <xdr:rowOff>64452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8044" y="83227117"/>
          <a:ext cx="1864762" cy="2124962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552</xdr:row>
      <xdr:rowOff>0</xdr:rowOff>
    </xdr:from>
    <xdr:ext cx="1579413" cy="6350"/>
    <xdr:pic>
      <xdr:nvPicPr>
        <xdr:cNvPr id="68" name="图片 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82642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552</xdr:row>
      <xdr:rowOff>0</xdr:rowOff>
    </xdr:from>
    <xdr:ext cx="1579413" cy="6350"/>
    <xdr:pic>
      <xdr:nvPicPr>
        <xdr:cNvPr id="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82642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552</xdr:row>
      <xdr:rowOff>0</xdr:rowOff>
    </xdr:from>
    <xdr:ext cx="1579413" cy="6350"/>
    <xdr:pic>
      <xdr:nvPicPr>
        <xdr:cNvPr id="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82642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552</xdr:row>
      <xdr:rowOff>0</xdr:rowOff>
    </xdr:from>
    <xdr:ext cx="1579413" cy="6350"/>
    <xdr:pic>
      <xdr:nvPicPr>
        <xdr:cNvPr id="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82642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552</xdr:row>
      <xdr:rowOff>0</xdr:rowOff>
    </xdr:from>
    <xdr:ext cx="1579413" cy="6350"/>
    <xdr:pic>
      <xdr:nvPicPr>
        <xdr:cNvPr id="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82642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552</xdr:row>
      <xdr:rowOff>0</xdr:rowOff>
    </xdr:from>
    <xdr:ext cx="1579413" cy="6350"/>
    <xdr:pic>
      <xdr:nvPicPr>
        <xdr:cNvPr id="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82642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379057</xdr:colOff>
      <xdr:row>554</xdr:row>
      <xdr:rowOff>19439</xdr:rowOff>
    </xdr:from>
    <xdr:to>
      <xdr:col>8</xdr:col>
      <xdr:colOff>942782</xdr:colOff>
      <xdr:row>567</xdr:row>
      <xdr:rowOff>2401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1914" y="96309413"/>
          <a:ext cx="2818623" cy="2383651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690</xdr:row>
      <xdr:rowOff>0</xdr:rowOff>
    </xdr:from>
    <xdr:ext cx="1579413" cy="6350"/>
    <xdr:pic>
      <xdr:nvPicPr>
        <xdr:cNvPr id="79" name="图片 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37306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690</xdr:row>
      <xdr:rowOff>0</xdr:rowOff>
    </xdr:from>
    <xdr:ext cx="1579413" cy="6350"/>
    <xdr:pic>
      <xdr:nvPicPr>
        <xdr:cNvPr id="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37306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690</xdr:row>
      <xdr:rowOff>0</xdr:rowOff>
    </xdr:from>
    <xdr:ext cx="1579413" cy="6350"/>
    <xdr:pic>
      <xdr:nvPicPr>
        <xdr:cNvPr id="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37306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690</xdr:row>
      <xdr:rowOff>0</xdr:rowOff>
    </xdr:from>
    <xdr:ext cx="1579413" cy="6350"/>
    <xdr:pic>
      <xdr:nvPicPr>
        <xdr:cNvPr id="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37306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690</xdr:row>
      <xdr:rowOff>0</xdr:rowOff>
    </xdr:from>
    <xdr:ext cx="1579413" cy="6350"/>
    <xdr:pic>
      <xdr:nvPicPr>
        <xdr:cNvPr id="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37306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690</xdr:row>
      <xdr:rowOff>0</xdr:rowOff>
    </xdr:from>
    <xdr:ext cx="1579413" cy="6350"/>
    <xdr:pic>
      <xdr:nvPicPr>
        <xdr:cNvPr id="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37306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136072</xdr:colOff>
      <xdr:row>692</xdr:row>
      <xdr:rowOff>58319</xdr:rowOff>
    </xdr:from>
    <xdr:to>
      <xdr:col>7</xdr:col>
      <xdr:colOff>913432</xdr:colOff>
      <xdr:row>704</xdr:row>
      <xdr:rowOff>106913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6888" y="107661661"/>
          <a:ext cx="2701799" cy="2264615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759</xdr:row>
      <xdr:rowOff>0</xdr:rowOff>
    </xdr:from>
    <xdr:ext cx="1579413" cy="6350"/>
    <xdr:pic>
      <xdr:nvPicPr>
        <xdr:cNvPr id="88" name="图片 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1969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759</xdr:row>
      <xdr:rowOff>0</xdr:rowOff>
    </xdr:from>
    <xdr:ext cx="1579413" cy="6350"/>
    <xdr:pic>
      <xdr:nvPicPr>
        <xdr:cNvPr id="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1969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759</xdr:row>
      <xdr:rowOff>0</xdr:rowOff>
    </xdr:from>
    <xdr:ext cx="1579413" cy="6350"/>
    <xdr:pic>
      <xdr:nvPicPr>
        <xdr:cNvPr id="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1969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759</xdr:row>
      <xdr:rowOff>0</xdr:rowOff>
    </xdr:from>
    <xdr:ext cx="1579413" cy="6350"/>
    <xdr:pic>
      <xdr:nvPicPr>
        <xdr:cNvPr id="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1969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759</xdr:row>
      <xdr:rowOff>0</xdr:rowOff>
    </xdr:from>
    <xdr:ext cx="1579413" cy="6350"/>
    <xdr:pic>
      <xdr:nvPicPr>
        <xdr:cNvPr id="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1969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759</xdr:row>
      <xdr:rowOff>0</xdr:rowOff>
    </xdr:from>
    <xdr:ext cx="1579413" cy="6350"/>
    <xdr:pic>
      <xdr:nvPicPr>
        <xdr:cNvPr id="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1969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38880</xdr:colOff>
      <xdr:row>762</xdr:row>
      <xdr:rowOff>87475</xdr:rowOff>
    </xdr:from>
    <xdr:to>
      <xdr:col>7</xdr:col>
      <xdr:colOff>888369</xdr:colOff>
      <xdr:row>773</xdr:row>
      <xdr:rowOff>19439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9696" y="120452373"/>
          <a:ext cx="2773928" cy="1963316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621</xdr:row>
      <xdr:rowOff>0</xdr:rowOff>
    </xdr:from>
    <xdr:ext cx="1579413" cy="6350"/>
    <xdr:pic>
      <xdr:nvPicPr>
        <xdr:cNvPr id="74" name="图片 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1622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621</xdr:row>
      <xdr:rowOff>0</xdr:rowOff>
    </xdr:from>
    <xdr:ext cx="1579413" cy="6350"/>
    <xdr:pic>
      <xdr:nvPicPr>
        <xdr:cNvPr id="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1622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621</xdr:row>
      <xdr:rowOff>0</xdr:rowOff>
    </xdr:from>
    <xdr:ext cx="1579413" cy="6350"/>
    <xdr:pic>
      <xdr:nvPicPr>
        <xdr:cNvPr id="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1622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621</xdr:row>
      <xdr:rowOff>0</xdr:rowOff>
    </xdr:from>
    <xdr:ext cx="1579413" cy="6350"/>
    <xdr:pic>
      <xdr:nvPicPr>
        <xdr:cNvPr id="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1622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621</xdr:row>
      <xdr:rowOff>0</xdr:rowOff>
    </xdr:from>
    <xdr:ext cx="1579413" cy="6350"/>
    <xdr:pic>
      <xdr:nvPicPr>
        <xdr:cNvPr id="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1622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621</xdr:row>
      <xdr:rowOff>0</xdr:rowOff>
    </xdr:from>
    <xdr:ext cx="1579413" cy="6350"/>
    <xdr:pic>
      <xdr:nvPicPr>
        <xdr:cNvPr id="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1622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370890</xdr:colOff>
      <xdr:row>623</xdr:row>
      <xdr:rowOff>19439</xdr:rowOff>
    </xdr:from>
    <xdr:to>
      <xdr:col>7</xdr:col>
      <xdr:colOff>769386</xdr:colOff>
      <xdr:row>635</xdr:row>
      <xdr:rowOff>166681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747" y="132776556"/>
          <a:ext cx="1700894" cy="2363262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94" name="图片 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102" name="图片 1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84114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84114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84114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84114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84114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828</xdr:row>
      <xdr:rowOff>0</xdr:rowOff>
    </xdr:from>
    <xdr:ext cx="1579413" cy="6350"/>
    <xdr:pic>
      <xdr:nvPicPr>
        <xdr:cNvPr id="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84114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897</xdr:row>
      <xdr:rowOff>0</xdr:rowOff>
    </xdr:from>
    <xdr:ext cx="1579413" cy="6350"/>
    <xdr:pic>
      <xdr:nvPicPr>
        <xdr:cNvPr id="109" name="图片 1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897</xdr:row>
      <xdr:rowOff>0</xdr:rowOff>
    </xdr:from>
    <xdr:ext cx="1579413" cy="6350"/>
    <xdr:pic>
      <xdr:nvPicPr>
        <xdr:cNvPr id="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897</xdr:row>
      <xdr:rowOff>0</xdr:rowOff>
    </xdr:from>
    <xdr:ext cx="1579413" cy="6350"/>
    <xdr:pic>
      <xdr:nvPicPr>
        <xdr:cNvPr id="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897</xdr:row>
      <xdr:rowOff>0</xdr:rowOff>
    </xdr:from>
    <xdr:ext cx="1579413" cy="6350"/>
    <xdr:pic>
      <xdr:nvPicPr>
        <xdr:cNvPr id="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897</xdr:row>
      <xdr:rowOff>0</xdr:rowOff>
    </xdr:from>
    <xdr:ext cx="1579413" cy="6350"/>
    <xdr:pic>
      <xdr:nvPicPr>
        <xdr:cNvPr id="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897</xdr:row>
      <xdr:rowOff>0</xdr:rowOff>
    </xdr:from>
    <xdr:ext cx="1579413" cy="6350"/>
    <xdr:pic>
      <xdr:nvPicPr>
        <xdr:cNvPr id="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367074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311020</xdr:colOff>
      <xdr:row>830</xdr:row>
      <xdr:rowOff>48596</xdr:rowOff>
    </xdr:from>
    <xdr:to>
      <xdr:col>8</xdr:col>
      <xdr:colOff>126351</xdr:colOff>
      <xdr:row>843</xdr:row>
      <xdr:rowOff>13434</xdr:rowOff>
    </xdr:to>
    <xdr:pic>
      <xdr:nvPicPr>
        <xdr:cNvPr id="117" name="图片 116" descr="C:\Users\ADMINI~1\AppData\Local\Temp\企业微信截图_15695735933718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989" y="147307040"/>
          <a:ext cx="3217117" cy="2365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87476</xdr:colOff>
      <xdr:row>899</xdr:row>
      <xdr:rowOff>38878</xdr:rowOff>
    </xdr:from>
    <xdr:to>
      <xdr:col>8</xdr:col>
      <xdr:colOff>796991</xdr:colOff>
      <xdr:row>911</xdr:row>
      <xdr:rowOff>91214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8292" y="160126914"/>
          <a:ext cx="3586454" cy="22683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63</xdr:row>
      <xdr:rowOff>0</xdr:rowOff>
    </xdr:from>
    <xdr:to>
      <xdr:col>4</xdr:col>
      <xdr:colOff>504967</xdr:colOff>
      <xdr:row>63</xdr:row>
      <xdr:rowOff>0</xdr:rowOff>
    </xdr:to>
    <xdr:pic>
      <xdr:nvPicPr>
        <xdr:cNvPr id="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63350"/>
          <a:ext cx="15836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63</xdr:row>
      <xdr:rowOff>0</xdr:rowOff>
    </xdr:from>
    <xdr:to>
      <xdr:col>4</xdr:col>
      <xdr:colOff>504967</xdr:colOff>
      <xdr:row>63</xdr:row>
      <xdr:rowOff>0</xdr:rowOff>
    </xdr:to>
    <xdr:pic>
      <xdr:nvPicPr>
        <xdr:cNvPr id="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63350"/>
          <a:ext cx="15836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63</xdr:row>
      <xdr:rowOff>0</xdr:rowOff>
    </xdr:from>
    <xdr:to>
      <xdr:col>4</xdr:col>
      <xdr:colOff>504967</xdr:colOff>
      <xdr:row>63</xdr:row>
      <xdr:rowOff>0</xdr:rowOff>
    </xdr:to>
    <xdr:pic>
      <xdr:nvPicPr>
        <xdr:cNvPr id="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63350"/>
          <a:ext cx="15836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63</xdr:row>
      <xdr:rowOff>0</xdr:rowOff>
    </xdr:from>
    <xdr:to>
      <xdr:col>4</xdr:col>
      <xdr:colOff>504967</xdr:colOff>
      <xdr:row>63</xdr:row>
      <xdr:rowOff>0</xdr:rowOff>
    </xdr:to>
    <xdr:pic>
      <xdr:nvPicPr>
        <xdr:cNvPr id="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63350"/>
          <a:ext cx="15836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63</xdr:row>
      <xdr:rowOff>0</xdr:rowOff>
    </xdr:from>
    <xdr:to>
      <xdr:col>4</xdr:col>
      <xdr:colOff>504967</xdr:colOff>
      <xdr:row>63</xdr:row>
      <xdr:rowOff>0</xdr:rowOff>
    </xdr:to>
    <xdr:pic>
      <xdr:nvPicPr>
        <xdr:cNvPr id="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63350"/>
          <a:ext cx="15836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63</xdr:row>
      <xdr:rowOff>0</xdr:rowOff>
    </xdr:from>
    <xdr:to>
      <xdr:col>4</xdr:col>
      <xdr:colOff>504967</xdr:colOff>
      <xdr:row>63</xdr:row>
      <xdr:rowOff>0</xdr:rowOff>
    </xdr:to>
    <xdr:pic>
      <xdr:nvPicPr>
        <xdr:cNvPr id="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63350"/>
          <a:ext cx="15836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1267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1267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1267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1267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1267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1267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7" name="图片 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518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518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518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518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518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4518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081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081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081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081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081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6081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31" name="图片 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645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645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645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645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645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7645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38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0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0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0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0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0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920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5" name="图片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772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772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772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772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772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80772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52" name="图片 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4115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4115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4115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4115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4115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4115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59" name="图片 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749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749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749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749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749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39749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6" name="图片 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8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8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8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8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8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588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73" name="图片 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7787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7787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7787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7787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7787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63</xdr:row>
      <xdr:rowOff>0</xdr:rowOff>
    </xdr:from>
    <xdr:ext cx="1579413" cy="6350"/>
    <xdr:pic>
      <xdr:nvPicPr>
        <xdr:cNvPr id="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7787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145791</xdr:colOff>
      <xdr:row>2</xdr:row>
      <xdr:rowOff>29158</xdr:rowOff>
    </xdr:from>
    <xdr:to>
      <xdr:col>6</xdr:col>
      <xdr:colOff>894182</xdr:colOff>
      <xdr:row>14</xdr:row>
      <xdr:rowOff>177946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9413" y="466530"/>
          <a:ext cx="2284055" cy="2481442"/>
        </a:xfrm>
        <a:prstGeom prst="rect">
          <a:avLst/>
        </a:prstGeom>
      </xdr:spPr>
    </xdr:pic>
    <xdr:clientData/>
  </xdr:twoCellAnchor>
  <xdr:twoCellAnchor editAs="oneCell">
    <xdr:from>
      <xdr:col>4</xdr:col>
      <xdr:colOff>77755</xdr:colOff>
      <xdr:row>65</xdr:row>
      <xdr:rowOff>97193</xdr:rowOff>
    </xdr:from>
    <xdr:to>
      <xdr:col>6</xdr:col>
      <xdr:colOff>842610</xdr:colOff>
      <xdr:row>77</xdr:row>
      <xdr:rowOff>155016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3801" y="12780994"/>
          <a:ext cx="2038095" cy="23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0</xdr:row>
      <xdr:rowOff>0</xdr:rowOff>
    </xdr:from>
    <xdr:to>
      <xdr:col>4</xdr:col>
      <xdr:colOff>284143</xdr:colOff>
      <xdr:row>0</xdr:row>
      <xdr:rowOff>6350</xdr:rowOff>
    </xdr:to>
    <xdr:pic>
      <xdr:nvPicPr>
        <xdr:cNvPr id="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4503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284143</xdr:colOff>
      <xdr:row>0</xdr:row>
      <xdr:rowOff>6350</xdr:rowOff>
    </xdr:to>
    <xdr:pic>
      <xdr:nvPicPr>
        <xdr:cNvPr id="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4503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284143</xdr:colOff>
      <xdr:row>0</xdr:row>
      <xdr:rowOff>6350</xdr:rowOff>
    </xdr:to>
    <xdr:pic>
      <xdr:nvPicPr>
        <xdr:cNvPr id="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4503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284143</xdr:colOff>
      <xdr:row>0</xdr:row>
      <xdr:rowOff>6350</xdr:rowOff>
    </xdr:to>
    <xdr:pic>
      <xdr:nvPicPr>
        <xdr:cNvPr id="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4503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284143</xdr:colOff>
      <xdr:row>0</xdr:row>
      <xdr:rowOff>6350</xdr:rowOff>
    </xdr:to>
    <xdr:pic>
      <xdr:nvPicPr>
        <xdr:cNvPr id="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4503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284143</xdr:colOff>
      <xdr:row>0</xdr:row>
      <xdr:rowOff>6350</xdr:rowOff>
    </xdr:to>
    <xdr:pic>
      <xdr:nvPicPr>
        <xdr:cNvPr id="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45034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" name="图片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" name="图片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" name="图片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" name="图片 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" name="图片 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" name="图片 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" name="图片 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0622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408215</xdr:colOff>
      <xdr:row>2</xdr:row>
      <xdr:rowOff>19439</xdr:rowOff>
    </xdr:from>
    <xdr:to>
      <xdr:col>6</xdr:col>
      <xdr:colOff>906885</xdr:colOff>
      <xdr:row>14</xdr:row>
      <xdr:rowOff>174949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3138" y="456811"/>
          <a:ext cx="2121808" cy="2488164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62</xdr:row>
      <xdr:rowOff>0</xdr:rowOff>
    </xdr:from>
    <xdr:ext cx="1312713" cy="6350"/>
    <xdr:pic>
      <xdr:nvPicPr>
        <xdr:cNvPr id="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312713" cy="6350"/>
    <xdr:pic>
      <xdr:nvPicPr>
        <xdr:cNvPr id="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312713" cy="6350"/>
    <xdr:pic>
      <xdr:nvPicPr>
        <xdr:cNvPr id="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312713" cy="6350"/>
    <xdr:pic>
      <xdr:nvPicPr>
        <xdr:cNvPr id="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312713" cy="6350"/>
    <xdr:pic>
      <xdr:nvPicPr>
        <xdr:cNvPr id="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312713" cy="6350"/>
    <xdr:pic>
      <xdr:nvPicPr>
        <xdr:cNvPr id="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2" name="图片 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8" name="图片 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2" name="图片 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4" name="图片 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0" name="图片 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6" name="图片 1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2" name="图片 1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8" name="图片 1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4" name="图片 1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30" name="图片 1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62</xdr:row>
      <xdr:rowOff>0</xdr:rowOff>
    </xdr:from>
    <xdr:ext cx="1579413" cy="6350"/>
    <xdr:pic>
      <xdr:nvPicPr>
        <xdr:cNvPr id="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704073</xdr:colOff>
      <xdr:row>64</xdr:row>
      <xdr:rowOff>145791</xdr:rowOff>
    </xdr:from>
    <xdr:to>
      <xdr:col>7</xdr:col>
      <xdr:colOff>393052</xdr:colOff>
      <xdr:row>76</xdr:row>
      <xdr:rowOff>77755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7593" y="13286403"/>
          <a:ext cx="2264617" cy="2264617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124</xdr:row>
      <xdr:rowOff>0</xdr:rowOff>
    </xdr:from>
    <xdr:ext cx="1312713" cy="6350"/>
    <xdr:pic>
      <xdr:nvPicPr>
        <xdr:cNvPr id="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312713" cy="6350"/>
    <xdr:pic>
      <xdr:nvPicPr>
        <xdr:cNvPr id="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312713" cy="6350"/>
    <xdr:pic>
      <xdr:nvPicPr>
        <xdr:cNvPr id="1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312713" cy="6350"/>
    <xdr:pic>
      <xdr:nvPicPr>
        <xdr:cNvPr id="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312713" cy="6350"/>
    <xdr:pic>
      <xdr:nvPicPr>
        <xdr:cNvPr id="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312713" cy="6350"/>
    <xdr:pic>
      <xdr:nvPicPr>
        <xdr:cNvPr id="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0" name="图片 1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6" name="图片 1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0" name="图片 1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2" name="图片 1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8" name="图片 1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4" name="图片 1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0" name="图片 1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6" name="图片 1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2" name="图片 2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8" name="图片 2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124</xdr:row>
      <xdr:rowOff>0</xdr:rowOff>
    </xdr:from>
    <xdr:ext cx="1579413" cy="6350"/>
    <xdr:pic>
      <xdr:nvPicPr>
        <xdr:cNvPr id="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312713" cy="6350"/>
    <xdr:pic>
      <xdr:nvPicPr>
        <xdr:cNvPr id="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312713" cy="6350"/>
    <xdr:pic>
      <xdr:nvPicPr>
        <xdr:cNvPr id="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312713" cy="6350"/>
    <xdr:pic>
      <xdr:nvPicPr>
        <xdr:cNvPr id="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312713" cy="6350"/>
    <xdr:pic>
      <xdr:nvPicPr>
        <xdr:cNvPr id="2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312713" cy="6350"/>
    <xdr:pic>
      <xdr:nvPicPr>
        <xdr:cNvPr id="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312713" cy="6350"/>
    <xdr:pic>
      <xdr:nvPicPr>
        <xdr:cNvPr id="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7" name="图片 2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3" name="图片 2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7" name="图片 2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39" name="图片 2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5" name="图片 2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1" name="图片 2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7" name="图片 2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3" name="图片 2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69" name="图片 2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5" name="图片 2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186</xdr:row>
      <xdr:rowOff>0</xdr:rowOff>
    </xdr:from>
    <xdr:ext cx="1579413" cy="6350"/>
    <xdr:pic>
      <xdr:nvPicPr>
        <xdr:cNvPr id="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204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145791</xdr:colOff>
      <xdr:row>126</xdr:row>
      <xdr:rowOff>38878</xdr:rowOff>
    </xdr:from>
    <xdr:to>
      <xdr:col>7</xdr:col>
      <xdr:colOff>641479</xdr:colOff>
      <xdr:row>138</xdr:row>
      <xdr:rowOff>168161</xdr:rowOff>
    </xdr:to>
    <xdr:pic>
      <xdr:nvPicPr>
        <xdr:cNvPr id="283" name="图片 2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9311" y="25231531"/>
          <a:ext cx="3071326" cy="2461936"/>
        </a:xfrm>
        <a:prstGeom prst="rect">
          <a:avLst/>
        </a:prstGeom>
      </xdr:spPr>
    </xdr:pic>
    <xdr:clientData/>
  </xdr:twoCellAnchor>
  <xdr:twoCellAnchor editAs="oneCell">
    <xdr:from>
      <xdr:col>4</xdr:col>
      <xdr:colOff>340178</xdr:colOff>
      <xdr:row>188</xdr:row>
      <xdr:rowOff>77756</xdr:rowOff>
    </xdr:from>
    <xdr:to>
      <xdr:col>7</xdr:col>
      <xdr:colOff>756078</xdr:colOff>
      <xdr:row>200</xdr:row>
      <xdr:rowOff>116634</xdr:rowOff>
    </xdr:to>
    <xdr:pic>
      <xdr:nvPicPr>
        <xdr:cNvPr id="285" name="图片 28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3698" y="37322450"/>
          <a:ext cx="2991538" cy="2371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0</xdr:row>
      <xdr:rowOff>0</xdr:rowOff>
    </xdr:from>
    <xdr:to>
      <xdr:col>4</xdr:col>
      <xdr:colOff>99127</xdr:colOff>
      <xdr:row>0</xdr:row>
      <xdr:rowOff>6350</xdr:rowOff>
    </xdr:to>
    <xdr:pic>
      <xdr:nvPicPr>
        <xdr:cNvPr id="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69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99127</xdr:colOff>
      <xdr:row>0</xdr:row>
      <xdr:rowOff>6350</xdr:rowOff>
    </xdr:to>
    <xdr:pic>
      <xdr:nvPicPr>
        <xdr:cNvPr id="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69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99127</xdr:colOff>
      <xdr:row>0</xdr:row>
      <xdr:rowOff>6350</xdr:rowOff>
    </xdr:to>
    <xdr:pic>
      <xdr:nvPicPr>
        <xdr:cNvPr id="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69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99127</xdr:colOff>
      <xdr:row>0</xdr:row>
      <xdr:rowOff>6350</xdr:rowOff>
    </xdr:to>
    <xdr:pic>
      <xdr:nvPicPr>
        <xdr:cNvPr id="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69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99127</xdr:colOff>
      <xdr:row>0</xdr:row>
      <xdr:rowOff>6350</xdr:rowOff>
    </xdr:to>
    <xdr:pic>
      <xdr:nvPicPr>
        <xdr:cNvPr id="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69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99127</xdr:colOff>
      <xdr:row>0</xdr:row>
      <xdr:rowOff>6350</xdr:rowOff>
    </xdr:to>
    <xdr:pic>
      <xdr:nvPicPr>
        <xdr:cNvPr id="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316990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" name="图片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" name="图片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" name="图片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" name="图片 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" name="图片 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" name="图片 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" name="图片 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1" name="图片 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7" name="图片 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1" name="图片 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3" name="图片 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99" name="图片 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5" name="图片 1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1" name="图片 1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7" name="图片 1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3" name="图片 1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29" name="图片 1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48" name="图片 1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4" name="图片 1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8" name="图片 1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0" name="图片 1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6" name="图片 1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2" name="图片 1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8" name="图片 1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4" name="图片 1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0" name="图片 1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6" name="图片 1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312713" cy="6350"/>
    <xdr:pic>
      <xdr:nvPicPr>
        <xdr:cNvPr id="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4" name="图片 2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0" name="图片 2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4" name="图片 2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6" name="图片 2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2" name="图片 2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8" name="图片 2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4" name="图片 2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0" name="图片 2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6" name="图片 2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62" name="图片 2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661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40104</xdr:colOff>
      <xdr:row>2</xdr:row>
      <xdr:rowOff>180473</xdr:rowOff>
    </xdr:from>
    <xdr:to>
      <xdr:col>6</xdr:col>
      <xdr:colOff>681288</xdr:colOff>
      <xdr:row>13</xdr:row>
      <xdr:rowOff>190499</xdr:rowOff>
    </xdr:to>
    <xdr:pic>
      <xdr:nvPicPr>
        <xdr:cNvPr id="272" name="图片 271" descr="C:\Users\ADMINI~1\AppData\Local\Temp\企业微信截图_1568871363701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736" y="611605"/>
          <a:ext cx="2255421" cy="2105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234950</xdr:colOff>
      <xdr:row>65</xdr:row>
      <xdr:rowOff>0</xdr:rowOff>
    </xdr:from>
    <xdr:ext cx="1177624" cy="6350"/>
    <xdr:pic>
      <xdr:nvPicPr>
        <xdr:cNvPr id="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177624" cy="6350"/>
    <xdr:pic>
      <xdr:nvPicPr>
        <xdr:cNvPr id="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177624" cy="6350"/>
    <xdr:pic>
      <xdr:nvPicPr>
        <xdr:cNvPr id="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177624" cy="6350"/>
    <xdr:pic>
      <xdr:nvPicPr>
        <xdr:cNvPr id="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177624" cy="6350"/>
    <xdr:pic>
      <xdr:nvPicPr>
        <xdr:cNvPr id="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177624" cy="6350"/>
    <xdr:pic>
      <xdr:nvPicPr>
        <xdr:cNvPr id="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7" name="图片 2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3" name="图片 2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7" name="图片 2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299" name="图片 2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5" name="图片 3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1" name="图片 3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7" name="图片 3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3" name="图片 3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29" name="图片 3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5" name="图片 3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65</xdr:row>
      <xdr:rowOff>0</xdr:rowOff>
    </xdr:from>
    <xdr:ext cx="1579413" cy="6350"/>
    <xdr:pic>
      <xdr:nvPicPr>
        <xdr:cNvPr id="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177624" cy="6350"/>
    <xdr:pic>
      <xdr:nvPicPr>
        <xdr:cNvPr id="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177624" cy="6350"/>
    <xdr:pic>
      <xdr:nvPicPr>
        <xdr:cNvPr id="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177624" cy="6350"/>
    <xdr:pic>
      <xdr:nvPicPr>
        <xdr:cNvPr id="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177624" cy="6350"/>
    <xdr:pic>
      <xdr:nvPicPr>
        <xdr:cNvPr id="3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177624" cy="6350"/>
    <xdr:pic>
      <xdr:nvPicPr>
        <xdr:cNvPr id="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177624" cy="6350"/>
    <xdr:pic>
      <xdr:nvPicPr>
        <xdr:cNvPr id="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4" name="图片 3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0" name="图片 3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4" name="图片 3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6" name="图片 3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2" name="图片 3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8" name="图片 3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4" name="图片 3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0" name="图片 3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6" name="图片 3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3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402" name="图片 4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130</xdr:row>
      <xdr:rowOff>0</xdr:rowOff>
    </xdr:from>
    <xdr:ext cx="1579413" cy="6350"/>
    <xdr:pic>
      <xdr:nvPicPr>
        <xdr:cNvPr id="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100264</xdr:colOff>
      <xdr:row>67</xdr:row>
      <xdr:rowOff>30081</xdr:rowOff>
    </xdr:from>
    <xdr:to>
      <xdr:col>6</xdr:col>
      <xdr:colOff>762000</xdr:colOff>
      <xdr:row>79</xdr:row>
      <xdr:rowOff>172917</xdr:rowOff>
    </xdr:to>
    <xdr:pic>
      <xdr:nvPicPr>
        <xdr:cNvPr id="410" name="图片 40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922" y="12292265"/>
          <a:ext cx="2275973" cy="2428836"/>
        </a:xfrm>
        <a:prstGeom prst="rect">
          <a:avLst/>
        </a:prstGeom>
      </xdr:spPr>
    </xdr:pic>
    <xdr:clientData/>
  </xdr:twoCellAnchor>
  <xdr:twoCellAnchor editAs="oneCell">
    <xdr:from>
      <xdr:col>3</xdr:col>
      <xdr:colOff>210551</xdr:colOff>
      <xdr:row>132</xdr:row>
      <xdr:rowOff>90237</xdr:rowOff>
    </xdr:from>
    <xdr:to>
      <xdr:col>7</xdr:col>
      <xdr:colOff>541420</xdr:colOff>
      <xdr:row>144</xdr:row>
      <xdr:rowOff>146062</xdr:rowOff>
    </xdr:to>
    <xdr:pic>
      <xdr:nvPicPr>
        <xdr:cNvPr id="412" name="图片 4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3446" y="27211421"/>
          <a:ext cx="2997869" cy="2341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0</xdr:row>
      <xdr:rowOff>0</xdr:rowOff>
    </xdr:from>
    <xdr:to>
      <xdr:col>4</xdr:col>
      <xdr:colOff>120109</xdr:colOff>
      <xdr:row>0</xdr:row>
      <xdr:rowOff>6350</xdr:rowOff>
    </xdr:to>
    <xdr:pic>
      <xdr:nvPicPr>
        <xdr:cNvPr id="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8464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120109</xdr:colOff>
      <xdr:row>0</xdr:row>
      <xdr:rowOff>6350</xdr:rowOff>
    </xdr:to>
    <xdr:pic>
      <xdr:nvPicPr>
        <xdr:cNvPr id="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8464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120109</xdr:colOff>
      <xdr:row>0</xdr:row>
      <xdr:rowOff>6350</xdr:rowOff>
    </xdr:to>
    <xdr:pic>
      <xdr:nvPicPr>
        <xdr:cNvPr id="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8464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120109</xdr:colOff>
      <xdr:row>0</xdr:row>
      <xdr:rowOff>6350</xdr:rowOff>
    </xdr:to>
    <xdr:pic>
      <xdr:nvPicPr>
        <xdr:cNvPr id="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8464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120109</xdr:colOff>
      <xdr:row>0</xdr:row>
      <xdr:rowOff>6350</xdr:rowOff>
    </xdr:to>
    <xdr:pic>
      <xdr:nvPicPr>
        <xdr:cNvPr id="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8464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120109</xdr:colOff>
      <xdr:row>0</xdr:row>
      <xdr:rowOff>6350</xdr:rowOff>
    </xdr:to>
    <xdr:pic>
      <xdr:nvPicPr>
        <xdr:cNvPr id="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18464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" name="图片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" name="图片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" name="图片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" name="图片 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" name="图片 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" name="图片 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" name="图片 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0" name="图片 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6" name="图片 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0" name="图片 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2" name="图片 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8" name="图片 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4" name="图片 1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0" name="图片 1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6" name="图片 1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2" name="图片 1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8" name="图片 1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6" name="图片 1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2" name="图片 1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6" name="图片 1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8" name="图片 1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4" name="图片 1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0" name="图片 1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6" name="图片 1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2" name="图片 1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8" name="图片 1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4" name="图片 1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312713" cy="6350"/>
    <xdr:pic>
      <xdr:nvPicPr>
        <xdr:cNvPr id="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2" name="图片 2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8" name="图片 2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2" name="图片 2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4" name="图片 2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0" name="图片 2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6" name="图片 2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2" name="图片 2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8" name="图片 2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4" name="图片 2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60" name="图片 2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79" name="图片 2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5" name="图片 2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89" name="图片 2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1" name="图片 2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7" name="图片 2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3" name="图片 3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09" name="图片 3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5" name="图片 3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1" name="图片 3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7" name="图片 3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177624" cy="6350"/>
    <xdr:pic>
      <xdr:nvPicPr>
        <xdr:cNvPr id="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5" name="图片 3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1" name="图片 3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5" name="图片 3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7" name="图片 3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3" name="图片 3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69" name="图片 3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5" name="图片 3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1" name="图片 3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7" name="图片 3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3" name="图片 3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37744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592882</xdr:colOff>
      <xdr:row>2</xdr:row>
      <xdr:rowOff>29159</xdr:rowOff>
    </xdr:from>
    <xdr:to>
      <xdr:col>7</xdr:col>
      <xdr:colOff>476249</xdr:colOff>
      <xdr:row>14</xdr:row>
      <xdr:rowOff>98179</xdr:rowOff>
    </xdr:to>
    <xdr:pic>
      <xdr:nvPicPr>
        <xdr:cNvPr id="402" name="图片 40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2754" y="466531"/>
          <a:ext cx="1506505" cy="2401674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75</xdr:row>
      <xdr:rowOff>0</xdr:rowOff>
    </xdr:from>
    <xdr:ext cx="1051486" cy="6350"/>
    <xdr:pic>
      <xdr:nvPicPr>
        <xdr:cNvPr id="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051486" cy="6350"/>
    <xdr:pic>
      <xdr:nvPicPr>
        <xdr:cNvPr id="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051486" cy="6350"/>
    <xdr:pic>
      <xdr:nvPicPr>
        <xdr:cNvPr id="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051486" cy="6350"/>
    <xdr:pic>
      <xdr:nvPicPr>
        <xdr:cNvPr id="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051486" cy="6350"/>
    <xdr:pic>
      <xdr:nvPicPr>
        <xdr:cNvPr id="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051486" cy="6350"/>
    <xdr:pic>
      <xdr:nvPicPr>
        <xdr:cNvPr id="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5" name="图片 4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1" name="图片 4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5" name="图片 4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7" name="图片 4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3" name="图片 4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39" name="图片 4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5" name="图片 4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1" name="图片 4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7" name="图片 4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3" name="图片 4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</xdr:row>
      <xdr:rowOff>0</xdr:rowOff>
    </xdr:from>
    <xdr:ext cx="1579413" cy="6350"/>
    <xdr:pic>
      <xdr:nvPicPr>
        <xdr:cNvPr id="4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721568</xdr:colOff>
      <xdr:row>77</xdr:row>
      <xdr:rowOff>19440</xdr:rowOff>
    </xdr:from>
    <xdr:to>
      <xdr:col>7</xdr:col>
      <xdr:colOff>634093</xdr:colOff>
      <xdr:row>89</xdr:row>
      <xdr:rowOff>163377</xdr:rowOff>
    </xdr:to>
    <xdr:pic>
      <xdr:nvPicPr>
        <xdr:cNvPr id="471" name="图片 4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4527" y="14258343"/>
          <a:ext cx="1535663" cy="2476590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4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2" name="图片 4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8" name="图片 4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2" name="图片 4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4" name="图片 4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0" name="图片 4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6" name="图片 5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2" name="图片 5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8" name="图片 5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4" name="图片 5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30" name="图片 5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5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48" name="图片 5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4" name="图片 5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8" name="图片 5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0" name="图片 5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6" name="图片 5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2" name="图片 5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8" name="图片 5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4" name="图片 5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0" name="图片 5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6" name="图片 5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312713" cy="6350"/>
    <xdr:pic>
      <xdr:nvPicPr>
        <xdr:cNvPr id="6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4" name="图片 6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0" name="图片 6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4" name="图片 6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6" name="图片 6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2" name="图片 6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8" name="图片 6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4" name="图片 6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0" name="图片 6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6" name="图片 6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62" name="图片 6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6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6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0" name="图片 6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6" name="图片 6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0" name="图片 6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2" name="图片 6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8" name="图片 6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6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4" name="图片 7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0" name="图片 7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6" name="图片 7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2" name="图片 7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8" name="图片 7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7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177624" cy="6350"/>
    <xdr:pic>
      <xdr:nvPicPr>
        <xdr:cNvPr id="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6" name="图片 7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2" name="图片 7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6" name="图片 7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8" name="图片 7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4" name="图片 7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0" name="图片 7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6" name="图片 7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2" name="图片 7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8" name="图片 7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4" name="图片 7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7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051486" cy="6350"/>
    <xdr:pic>
      <xdr:nvPicPr>
        <xdr:cNvPr id="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051486" cy="6350"/>
    <xdr:pic>
      <xdr:nvPicPr>
        <xdr:cNvPr id="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051486" cy="6350"/>
    <xdr:pic>
      <xdr:nvPicPr>
        <xdr:cNvPr id="8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051486" cy="6350"/>
    <xdr:pic>
      <xdr:nvPicPr>
        <xdr:cNvPr id="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051486" cy="6350"/>
    <xdr:pic>
      <xdr:nvPicPr>
        <xdr:cNvPr id="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051486" cy="6350"/>
    <xdr:pic>
      <xdr:nvPicPr>
        <xdr:cNvPr id="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2" name="图片 8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8" name="图片 8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2" name="图片 8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4" name="图片 8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0" name="图片 8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6" name="图片 8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2" name="图片 8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8" name="图片 8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4" name="图片 8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60" name="图片 8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150</xdr:row>
      <xdr:rowOff>0</xdr:rowOff>
    </xdr:from>
    <xdr:ext cx="1579413" cy="6350"/>
    <xdr:pic>
      <xdr:nvPicPr>
        <xdr:cNvPr id="8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4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526790</xdr:colOff>
      <xdr:row>152</xdr:row>
      <xdr:rowOff>87475</xdr:rowOff>
    </xdr:from>
    <xdr:to>
      <xdr:col>7</xdr:col>
      <xdr:colOff>439316</xdr:colOff>
      <xdr:row>164</xdr:row>
      <xdr:rowOff>175751</xdr:rowOff>
    </xdr:to>
    <xdr:pic>
      <xdr:nvPicPr>
        <xdr:cNvPr id="399" name="图片 39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49" y="28127909"/>
          <a:ext cx="1535664" cy="2420929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8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8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8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79" name="图片 8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5" name="图片 8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89" name="图片 8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1" name="图片 8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7" name="图片 8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3" name="图片 9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09" name="图片 9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5" name="图片 9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1" name="图片 9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7" name="图片 9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9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9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9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5" name="图片 9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1" name="图片 9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5" name="图片 9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7" name="图片 9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3" name="图片 9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69" name="图片 9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5" name="图片 9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1" name="图片 9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7" name="图片 9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3" name="图片 9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10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1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1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10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312713" cy="6350"/>
    <xdr:pic>
      <xdr:nvPicPr>
        <xdr:cNvPr id="10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1" name="图片 10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7" name="图片 10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1" name="图片 10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3" name="图片 10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29" name="图片 10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5" name="图片 10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1" name="图片 10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7" name="图片 10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3" name="图片 10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59" name="图片 10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0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0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0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0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7" name="图片 10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3" name="图片 10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7" name="图片 10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89" name="图片 10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5" name="图片 10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0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1" name="图片 11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7" name="图片 11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3" name="图片 11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19" name="图片 11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5" name="图片 11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177624" cy="6350"/>
    <xdr:pic>
      <xdr:nvPicPr>
        <xdr:cNvPr id="1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3" name="图片 11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49" name="图片 11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3" name="图片 11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5" name="图片 11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1" name="图片 11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7" name="图片 11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3" name="图片 11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79" name="图片 11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5" name="图片 11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91" name="图片 11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051486" cy="6350"/>
    <xdr:pic>
      <xdr:nvPicPr>
        <xdr:cNvPr id="1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051486" cy="6350"/>
    <xdr:pic>
      <xdr:nvPicPr>
        <xdr:cNvPr id="1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051486" cy="6350"/>
    <xdr:pic>
      <xdr:nvPicPr>
        <xdr:cNvPr id="1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051486" cy="6350"/>
    <xdr:pic>
      <xdr:nvPicPr>
        <xdr:cNvPr id="1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051486" cy="6350"/>
    <xdr:pic>
      <xdr:nvPicPr>
        <xdr:cNvPr id="1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051486" cy="6350"/>
    <xdr:pic>
      <xdr:nvPicPr>
        <xdr:cNvPr id="1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09" name="图片 12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5" name="图片 12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19" name="图片 12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1" name="图片 12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7" name="图片 12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3" name="图片 12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39" name="图片 12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5" name="图片 12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1" name="图片 12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7" name="图片 12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225</xdr:row>
      <xdr:rowOff>0</xdr:rowOff>
    </xdr:from>
    <xdr:ext cx="1579413" cy="6350"/>
    <xdr:pic>
      <xdr:nvPicPr>
        <xdr:cNvPr id="1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655336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558089</xdr:colOff>
      <xdr:row>227</xdr:row>
      <xdr:rowOff>77756</xdr:rowOff>
    </xdr:from>
    <xdr:to>
      <xdr:col>7</xdr:col>
      <xdr:colOff>422017</xdr:colOff>
      <xdr:row>239</xdr:row>
      <xdr:rowOff>171369</xdr:rowOff>
    </xdr:to>
    <xdr:pic>
      <xdr:nvPicPr>
        <xdr:cNvPr id="401" name="图片 40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1048" y="41919720"/>
          <a:ext cx="1487066" cy="2426266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6" name="图片 12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2" name="图片 12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6" name="图片 12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8" name="图片 12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4" name="图片 12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0" name="图片 12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6" name="图片 13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2" name="图片 13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8" name="图片 13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4" name="图片 13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2" name="图片 13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8" name="图片 13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2" name="图片 13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4" name="图片 13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0" name="图片 13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6" name="图片 13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2" name="图片 13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8" name="图片 13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4" name="图片 13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90" name="图片 13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3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312713" cy="6350"/>
    <xdr:pic>
      <xdr:nvPicPr>
        <xdr:cNvPr id="1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08" name="图片 14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4" name="图片 14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8" name="图片 14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0" name="图片 14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6" name="图片 14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2" name="图片 14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8" name="图片 14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4" name="图片 14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0" name="图片 14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6" name="图片 14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4" name="图片 14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0" name="图片 14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4" name="图片 14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6" name="图片 14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2" name="图片 14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8" name="图片 14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4" name="图片 15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0" name="图片 15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6" name="图片 15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22" name="图片 15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177624" cy="6350"/>
    <xdr:pic>
      <xdr:nvPicPr>
        <xdr:cNvPr id="1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0" name="图片 15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6" name="图片 15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0" name="图片 15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2" name="图片 15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8" name="图片 15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4" name="图片 15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0" name="图片 15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6" name="图片 15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2" name="图片 15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8" name="图片 15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051486" cy="6350"/>
    <xdr:pic>
      <xdr:nvPicPr>
        <xdr:cNvPr id="1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051486" cy="6350"/>
    <xdr:pic>
      <xdr:nvPicPr>
        <xdr:cNvPr id="1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051486" cy="6350"/>
    <xdr:pic>
      <xdr:nvPicPr>
        <xdr:cNvPr id="1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051486" cy="6350"/>
    <xdr:pic>
      <xdr:nvPicPr>
        <xdr:cNvPr id="1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051486" cy="6350"/>
    <xdr:pic>
      <xdr:nvPicPr>
        <xdr:cNvPr id="1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051486" cy="6350"/>
    <xdr:pic>
      <xdr:nvPicPr>
        <xdr:cNvPr id="1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6" name="图片 16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2" name="图片 16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6" name="图片 16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8" name="图片 16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4" name="图片 16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0" name="图片 16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6" name="图片 16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2" name="图片 16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8" name="图片 16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4" name="图片 16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300</xdr:row>
      <xdr:rowOff>0</xdr:rowOff>
    </xdr:from>
    <xdr:ext cx="1579413" cy="6350"/>
    <xdr:pic>
      <xdr:nvPicPr>
        <xdr:cNvPr id="1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9830051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94472</xdr:colOff>
      <xdr:row>303</xdr:row>
      <xdr:rowOff>29158</xdr:rowOff>
    </xdr:from>
    <xdr:to>
      <xdr:col>7</xdr:col>
      <xdr:colOff>494040</xdr:colOff>
      <xdr:row>314</xdr:row>
      <xdr:rowOff>19439</xdr:rowOff>
    </xdr:to>
    <xdr:pic>
      <xdr:nvPicPr>
        <xdr:cNvPr id="1662" name="图片 16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7431" y="55867041"/>
          <a:ext cx="2022706" cy="2128546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6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6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5" name="图片 16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1" name="图片 16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5" name="图片 16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7" name="图片 16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3" name="图片 16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699" name="图片 16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5" name="图片 17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1" name="图片 17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7" name="图片 17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3" name="图片 17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1" name="图片 17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7" name="图片 17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1" name="图片 17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3" name="图片 17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59" name="图片 17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5" name="图片 17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1" name="图片 17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7" name="图片 17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3" name="图片 17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89" name="图片 17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7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312713" cy="6350"/>
    <xdr:pic>
      <xdr:nvPicPr>
        <xdr:cNvPr id="1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7" name="图片 18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3" name="图片 18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7" name="图片 18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19" name="图片 18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5" name="图片 18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1" name="图片 18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7" name="图片 18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3" name="图片 18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49" name="图片 18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5" name="图片 18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8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3" name="图片 18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79" name="图片 18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3" name="图片 18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5" name="图片 18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1" name="图片 18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7" name="图片 18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3" name="图片 19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09" name="图片 19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5" name="图片 19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21" name="图片 19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9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9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177624" cy="6350"/>
    <xdr:pic>
      <xdr:nvPicPr>
        <xdr:cNvPr id="1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39" name="图片 19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5" name="图片 19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49" name="图片 19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1" name="图片 19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7" name="图片 19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3" name="图片 19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69" name="图片 19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5" name="图片 19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1" name="图片 19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7" name="图片 19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051486" cy="6350"/>
    <xdr:pic>
      <xdr:nvPicPr>
        <xdr:cNvPr id="19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051486" cy="6350"/>
    <xdr:pic>
      <xdr:nvPicPr>
        <xdr:cNvPr id="1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051486" cy="6350"/>
    <xdr:pic>
      <xdr:nvPicPr>
        <xdr:cNvPr id="1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051486" cy="6350"/>
    <xdr:pic>
      <xdr:nvPicPr>
        <xdr:cNvPr id="1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051486" cy="6350"/>
    <xdr:pic>
      <xdr:nvPicPr>
        <xdr:cNvPr id="19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051486" cy="6350"/>
    <xdr:pic>
      <xdr:nvPicPr>
        <xdr:cNvPr id="1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1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5" name="图片 20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1" name="图片 20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5" name="图片 20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7" name="图片 20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3" name="图片 20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29" name="图片 20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5" name="图片 20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1" name="图片 20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7" name="图片 20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3" name="图片 20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375</xdr:row>
      <xdr:rowOff>0</xdr:rowOff>
    </xdr:from>
    <xdr:ext cx="1579413" cy="6350"/>
    <xdr:pic>
      <xdr:nvPicPr>
        <xdr:cNvPr id="2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53106735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40433</xdr:colOff>
      <xdr:row>377</xdr:row>
      <xdr:rowOff>38879</xdr:rowOff>
    </xdr:from>
    <xdr:to>
      <xdr:col>7</xdr:col>
      <xdr:colOff>565280</xdr:colOff>
      <xdr:row>389</xdr:row>
      <xdr:rowOff>157132</xdr:rowOff>
    </xdr:to>
    <xdr:pic>
      <xdr:nvPicPr>
        <xdr:cNvPr id="2061" name="图片 206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3392" y="69483905"/>
          <a:ext cx="2147985" cy="2450906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0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0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0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4" name="图片 20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0" name="图片 20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4" name="图片 20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6" name="图片 20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2" name="图片 20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8" name="图片 20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0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4" name="图片 21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0" name="图片 21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6" name="图片 21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22" name="图片 21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0" name="图片 21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6" name="图片 21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0" name="图片 21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2" name="图片 21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8" name="图片 21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4" name="图片 21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0" name="图片 21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6" name="图片 21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2" name="图片 21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8" name="图片 21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312713" cy="6350"/>
    <xdr:pic>
      <xdr:nvPicPr>
        <xdr:cNvPr id="2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6" name="图片 22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2" name="图片 22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6" name="图片 22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8" name="图片 22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4" name="图片 22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0" name="图片 22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6" name="图片 22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2" name="图片 22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8" name="图片 22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4" name="图片 22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2" name="图片 22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8" name="图片 22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2" name="图片 22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4" name="图片 22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0" name="图片 22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6" name="图片 22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2" name="图片 23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8" name="图片 23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4" name="图片 23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20" name="图片 23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177624" cy="6350"/>
    <xdr:pic>
      <xdr:nvPicPr>
        <xdr:cNvPr id="2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38" name="图片 23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4" name="图片 23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8" name="图片 23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0" name="图片 23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6" name="图片 23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2" name="图片 23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8" name="图片 23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4" name="图片 23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0" name="图片 23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6" name="图片 23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051486" cy="6350"/>
    <xdr:pic>
      <xdr:nvPicPr>
        <xdr:cNvPr id="2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051486" cy="6350"/>
    <xdr:pic>
      <xdr:nvPicPr>
        <xdr:cNvPr id="2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051486" cy="6350"/>
    <xdr:pic>
      <xdr:nvPicPr>
        <xdr:cNvPr id="2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051486" cy="6350"/>
    <xdr:pic>
      <xdr:nvPicPr>
        <xdr:cNvPr id="2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051486" cy="6350"/>
    <xdr:pic>
      <xdr:nvPicPr>
        <xdr:cNvPr id="2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051486" cy="6350"/>
    <xdr:pic>
      <xdr:nvPicPr>
        <xdr:cNvPr id="2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3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4" name="图片 24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0" name="图片 24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4" name="图片 24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6" name="图片 24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2" name="图片 24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8" name="图片 24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4" name="图片 24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0" name="图片 24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6" name="图片 24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52" name="图片 24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450</xdr:row>
      <xdr:rowOff>0</xdr:rowOff>
    </xdr:from>
    <xdr:ext cx="1579413" cy="6350"/>
    <xdr:pic>
      <xdr:nvPicPr>
        <xdr:cNvPr id="2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6383418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106912</xdr:colOff>
      <xdr:row>452</xdr:row>
      <xdr:rowOff>155510</xdr:rowOff>
    </xdr:from>
    <xdr:to>
      <xdr:col>8</xdr:col>
      <xdr:colOff>602041</xdr:colOff>
      <xdr:row>464</xdr:row>
      <xdr:rowOff>106912</xdr:rowOff>
    </xdr:to>
    <xdr:pic>
      <xdr:nvPicPr>
        <xdr:cNvPr id="2460" name="图片 245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1376" y="84451760"/>
          <a:ext cx="3255435" cy="2284055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3" name="图片 24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79" name="图片 24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3" name="图片 24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5" name="图片 24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1" name="图片 24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7" name="图片 24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3" name="图片 25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09" name="图片 25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5" name="图片 25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21" name="图片 25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39" name="图片 25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5" name="图片 25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49" name="图片 25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1" name="图片 25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7" name="图片 25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3" name="图片 25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69" name="图片 25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5" name="图片 25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1" name="图片 25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7" name="图片 25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312713" cy="6350"/>
    <xdr:pic>
      <xdr:nvPicPr>
        <xdr:cNvPr id="2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5" name="图片 26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1" name="图片 26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5" name="图片 26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7" name="图片 26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3" name="图片 26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29" name="图片 26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5" name="图片 26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1" name="图片 26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7" name="图片 26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3" name="图片 26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6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6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6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1" name="图片 26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7" name="图片 26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1" name="图片 26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3" name="图片 26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89" name="图片 26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5" name="图片 26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6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1" name="图片 27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7" name="图片 27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3" name="图片 27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19" name="图片 27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177624" cy="6350"/>
    <xdr:pic>
      <xdr:nvPicPr>
        <xdr:cNvPr id="2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7" name="图片 27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3" name="图片 27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7" name="图片 27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49" name="图片 27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5" name="图片 27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1" name="图片 27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7" name="图片 27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3" name="图片 27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79" name="图片 27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5" name="图片 27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051486" cy="6350"/>
    <xdr:pic>
      <xdr:nvPicPr>
        <xdr:cNvPr id="2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051486" cy="6350"/>
    <xdr:pic>
      <xdr:nvPicPr>
        <xdr:cNvPr id="2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051486" cy="6350"/>
    <xdr:pic>
      <xdr:nvPicPr>
        <xdr:cNvPr id="2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051486" cy="6350"/>
    <xdr:pic>
      <xdr:nvPicPr>
        <xdr:cNvPr id="2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051486" cy="6350"/>
    <xdr:pic>
      <xdr:nvPicPr>
        <xdr:cNvPr id="2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051486" cy="6350"/>
    <xdr:pic>
      <xdr:nvPicPr>
        <xdr:cNvPr id="27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7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3" name="图片 28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09" name="图片 28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3" name="图片 28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5" name="图片 28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1" name="图片 28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7" name="图片 28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3" name="图片 28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39" name="图片 28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5" name="图片 28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51" name="图片 28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525</xdr:row>
      <xdr:rowOff>0</xdr:rowOff>
    </xdr:from>
    <xdr:ext cx="1579413" cy="6350"/>
    <xdr:pic>
      <xdr:nvPicPr>
        <xdr:cNvPr id="2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79660102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3305</xdr:colOff>
      <xdr:row>527</xdr:row>
      <xdr:rowOff>58317</xdr:rowOff>
    </xdr:from>
    <xdr:to>
      <xdr:col>7</xdr:col>
      <xdr:colOff>537871</xdr:colOff>
      <xdr:row>539</xdr:row>
      <xdr:rowOff>177962</xdr:rowOff>
    </xdr:to>
    <xdr:pic>
      <xdr:nvPicPr>
        <xdr:cNvPr id="2859" name="图片 285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6264" y="97106404"/>
          <a:ext cx="2157704" cy="2452298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8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2" name="图片 28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8" name="图片 28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2" name="图片 28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4" name="图片 28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0" name="图片 28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6" name="图片 28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2" name="图片 29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8" name="图片 29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4" name="图片 29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20" name="图片 29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38" name="图片 29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4" name="图片 29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8" name="图片 29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0" name="图片 29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6" name="图片 29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2" name="图片 29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8" name="图片 29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4" name="图片 29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0" name="图片 29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6" name="图片 29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312713" cy="6350"/>
    <xdr:pic>
      <xdr:nvPicPr>
        <xdr:cNvPr id="29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2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4" name="图片 30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0" name="图片 30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4" name="图片 30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6" name="图片 30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2" name="图片 30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8" name="图片 30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4" name="图片 30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0" name="图片 30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6" name="图片 30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52" name="图片 30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0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0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0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0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0" name="图片 30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6" name="图片 30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0" name="图片 30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2" name="图片 30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8" name="图片 30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4" name="图片 30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0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0" name="图片 30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6" name="图片 31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2" name="图片 31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8" name="图片 31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177624" cy="6350"/>
    <xdr:pic>
      <xdr:nvPicPr>
        <xdr:cNvPr id="3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6" name="图片 31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2" name="图片 31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6" name="图片 31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8" name="图片 31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4" name="图片 31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0" name="图片 31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6" name="图片 31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2" name="图片 31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8" name="图片 31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4" name="图片 31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051486" cy="6350"/>
    <xdr:pic>
      <xdr:nvPicPr>
        <xdr:cNvPr id="3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051486" cy="6350"/>
    <xdr:pic>
      <xdr:nvPicPr>
        <xdr:cNvPr id="3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051486" cy="6350"/>
    <xdr:pic>
      <xdr:nvPicPr>
        <xdr:cNvPr id="3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051486" cy="6350"/>
    <xdr:pic>
      <xdr:nvPicPr>
        <xdr:cNvPr id="3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051486" cy="6350"/>
    <xdr:pic>
      <xdr:nvPicPr>
        <xdr:cNvPr id="3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051486" cy="6350"/>
    <xdr:pic>
      <xdr:nvPicPr>
        <xdr:cNvPr id="3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2" name="图片 32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8" name="图片 32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2" name="图片 32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4" name="图片 32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0" name="图片 32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6" name="图片 32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2" name="图片 32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8" name="图片 32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4" name="图片 32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50" name="图片 32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600</xdr:row>
      <xdr:rowOff>0</xdr:rowOff>
    </xdr:from>
    <xdr:ext cx="1579413" cy="6350"/>
    <xdr:pic>
      <xdr:nvPicPr>
        <xdr:cNvPr id="3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92936786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281136</xdr:colOff>
      <xdr:row>602</xdr:row>
      <xdr:rowOff>106913</xdr:rowOff>
    </xdr:from>
    <xdr:to>
      <xdr:col>7</xdr:col>
      <xdr:colOff>690075</xdr:colOff>
      <xdr:row>614</xdr:row>
      <xdr:rowOff>138857</xdr:rowOff>
    </xdr:to>
    <xdr:pic>
      <xdr:nvPicPr>
        <xdr:cNvPr id="3258" name="图片 325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4095" y="113055918"/>
          <a:ext cx="2032077" cy="2364597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1" name="图片 32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7" name="图片 32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1" name="图片 32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3" name="图片 32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89" name="图片 32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5" name="图片 32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1" name="图片 33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7" name="图片 33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3" name="图片 33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19" name="图片 33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7" name="图片 33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3" name="图片 33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7" name="图片 33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49" name="图片 33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5" name="图片 33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1" name="图片 33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7" name="图片 33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3" name="图片 33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79" name="图片 33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5" name="图片 33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312713" cy="6350"/>
    <xdr:pic>
      <xdr:nvPicPr>
        <xdr:cNvPr id="3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3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3" name="图片 34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09" name="图片 34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3" name="图片 34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5" name="图片 34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1" name="图片 34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7" name="图片 34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3" name="图片 34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39" name="图片 34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5" name="图片 34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51" name="图片 34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4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69" name="图片 34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5" name="图片 34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79" name="图片 34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1" name="图片 34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7" name="图片 34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3" name="图片 34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499" name="图片 34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5" name="图片 35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1" name="图片 35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7" name="图片 35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5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177624" cy="6350"/>
    <xdr:pic>
      <xdr:nvPicPr>
        <xdr:cNvPr id="3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5" name="图片 35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1" name="图片 35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5" name="图片 35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7" name="图片 35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3" name="图片 35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59" name="图片 35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5" name="图片 35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1" name="图片 35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7" name="图片 35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3" name="图片 35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051486" cy="6350"/>
    <xdr:pic>
      <xdr:nvPicPr>
        <xdr:cNvPr id="3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051486" cy="6350"/>
    <xdr:pic>
      <xdr:nvPicPr>
        <xdr:cNvPr id="3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051486" cy="6350"/>
    <xdr:pic>
      <xdr:nvPicPr>
        <xdr:cNvPr id="3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051486" cy="6350"/>
    <xdr:pic>
      <xdr:nvPicPr>
        <xdr:cNvPr id="3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051486" cy="6350"/>
    <xdr:pic>
      <xdr:nvPicPr>
        <xdr:cNvPr id="3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051486" cy="6350"/>
    <xdr:pic>
      <xdr:nvPicPr>
        <xdr:cNvPr id="3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1" name="图片 36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7" name="图片 36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1" name="图片 36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3" name="图片 36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19" name="图片 36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5" name="图片 36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1" name="图片 36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7" name="图片 36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3" name="图片 36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49" name="图片 36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675</xdr:row>
      <xdr:rowOff>0</xdr:rowOff>
    </xdr:from>
    <xdr:ext cx="1579413" cy="6350"/>
    <xdr:pic>
      <xdr:nvPicPr>
        <xdr:cNvPr id="3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06213469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155510</xdr:colOff>
      <xdr:row>678</xdr:row>
      <xdr:rowOff>9719</xdr:rowOff>
    </xdr:from>
    <xdr:to>
      <xdr:col>8</xdr:col>
      <xdr:colOff>76988</xdr:colOff>
      <xdr:row>689</xdr:row>
      <xdr:rowOff>136072</xdr:rowOff>
    </xdr:to>
    <xdr:pic>
      <xdr:nvPicPr>
        <xdr:cNvPr id="3657" name="图片 365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9974" y="124933010"/>
          <a:ext cx="2681784" cy="2264618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6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6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6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0" name="图片 36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6" name="图片 36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0" name="图片 36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2" name="图片 36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8" name="图片 36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4" name="图片 36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6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0" name="图片 36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6" name="图片 37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2" name="图片 37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8" name="图片 37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6" name="图片 37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2" name="图片 37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6" name="图片 37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8" name="图片 37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4" name="图片 37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0" name="图片 37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6" name="图片 37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2" name="图片 37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8" name="图片 37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4" name="图片 37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312713" cy="6350"/>
    <xdr:pic>
      <xdr:nvPicPr>
        <xdr:cNvPr id="3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7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2" name="图片 38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8" name="图片 38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2" name="图片 38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4" name="图片 38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0" name="图片 38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6" name="图片 38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2" name="图片 38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8" name="图片 38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4" name="图片 38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50" name="图片 38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8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8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68" name="图片 38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4" name="图片 38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8" name="图片 38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0" name="图片 38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6" name="图片 38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2" name="图片 38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8" name="图片 38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4" name="图片 39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0" name="图片 39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6" name="图片 39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177624" cy="6350"/>
    <xdr:pic>
      <xdr:nvPicPr>
        <xdr:cNvPr id="39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4" name="图片 39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0" name="图片 39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4" name="图片 39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6" name="图片 39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2" name="图片 39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8" name="图片 39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4" name="图片 39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0" name="图片 39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6" name="图片 39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82" name="图片 39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051486" cy="6350"/>
    <xdr:pic>
      <xdr:nvPicPr>
        <xdr:cNvPr id="3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051486" cy="6350"/>
    <xdr:pic>
      <xdr:nvPicPr>
        <xdr:cNvPr id="3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051486" cy="6350"/>
    <xdr:pic>
      <xdr:nvPicPr>
        <xdr:cNvPr id="3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051486" cy="6350"/>
    <xdr:pic>
      <xdr:nvPicPr>
        <xdr:cNvPr id="3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051486" cy="6350"/>
    <xdr:pic>
      <xdr:nvPicPr>
        <xdr:cNvPr id="3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051486" cy="6350"/>
    <xdr:pic>
      <xdr:nvPicPr>
        <xdr:cNvPr id="39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3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0" name="图片 39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6" name="图片 40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0" name="图片 40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2" name="图片 40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8" name="图片 40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4" name="图片 40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0" name="图片 40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6" name="图片 40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2" name="图片 40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8" name="图片 40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825</xdr:row>
      <xdr:rowOff>0</xdr:rowOff>
    </xdr:from>
    <xdr:ext cx="1579413" cy="6350"/>
    <xdr:pic>
      <xdr:nvPicPr>
        <xdr:cNvPr id="40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9490153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174949</xdr:colOff>
      <xdr:row>828</xdr:row>
      <xdr:rowOff>48598</xdr:rowOff>
    </xdr:from>
    <xdr:to>
      <xdr:col>8</xdr:col>
      <xdr:colOff>58706</xdr:colOff>
      <xdr:row>839</xdr:row>
      <xdr:rowOff>155072</xdr:rowOff>
    </xdr:to>
    <xdr:pic>
      <xdr:nvPicPr>
        <xdr:cNvPr id="4056" name="图片 405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9413" y="138773419"/>
          <a:ext cx="2663113" cy="2244739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0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0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0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69" name="图片 40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5" name="图片 40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79" name="图片 40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1" name="图片 40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7" name="图片 40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3" name="图片 40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099" name="图片 40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5" name="图片 41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1" name="图片 41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7" name="图片 41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5" name="图片 41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1" name="图片 41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5" name="图片 41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7" name="图片 41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3" name="图片 41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59" name="图片 41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5" name="图片 41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1" name="图片 41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7" name="图片 41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3" name="图片 41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312713" cy="6350"/>
    <xdr:pic>
      <xdr:nvPicPr>
        <xdr:cNvPr id="4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1" name="图片 4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7" name="图片 42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1" name="图片 42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3" name="图片 42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19" name="图片 42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5" name="图片 42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1" name="图片 42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7" name="图片 42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3" name="图片 42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49" name="图片 42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7" name="图片 42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3" name="图片 42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7" name="图片 42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79" name="图片 42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5" name="图片 42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1" name="图片 42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7" name="图片 42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3" name="图片 43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09" name="图片 43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5" name="图片 43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177624" cy="6350"/>
    <xdr:pic>
      <xdr:nvPicPr>
        <xdr:cNvPr id="4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3" name="图片 43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39" name="图片 43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3" name="图片 43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5" name="图片 43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1" name="图片 43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7" name="图片 43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3" name="图片 43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69" name="图片 43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5" name="图片 43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81" name="图片 43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051486" cy="6350"/>
    <xdr:pic>
      <xdr:nvPicPr>
        <xdr:cNvPr id="4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051486" cy="6350"/>
    <xdr:pic>
      <xdr:nvPicPr>
        <xdr:cNvPr id="4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051486" cy="6350"/>
    <xdr:pic>
      <xdr:nvPicPr>
        <xdr:cNvPr id="4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051486" cy="6350"/>
    <xdr:pic>
      <xdr:nvPicPr>
        <xdr:cNvPr id="4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051486" cy="6350"/>
    <xdr:pic>
      <xdr:nvPicPr>
        <xdr:cNvPr id="4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051486" cy="6350"/>
    <xdr:pic>
      <xdr:nvPicPr>
        <xdr:cNvPr id="4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399" name="图片 43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5" name="图片 44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09" name="图片 44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1" name="图片 44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7" name="图片 44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3" name="图片 44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29" name="图片 44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5" name="图片 44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1" name="图片 44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7" name="图片 44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900</xdr:row>
      <xdr:rowOff>0</xdr:rowOff>
    </xdr:from>
    <xdr:ext cx="1579413" cy="6350"/>
    <xdr:pic>
      <xdr:nvPicPr>
        <xdr:cNvPr id="4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3276683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165230</xdr:colOff>
      <xdr:row>902</xdr:row>
      <xdr:rowOff>106912</xdr:rowOff>
    </xdr:from>
    <xdr:to>
      <xdr:col>8</xdr:col>
      <xdr:colOff>340179</xdr:colOff>
      <xdr:row>914</xdr:row>
      <xdr:rowOff>140417</xdr:rowOff>
    </xdr:to>
    <xdr:pic>
      <xdr:nvPicPr>
        <xdr:cNvPr id="4455" name="图片 445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1199" y="157162499"/>
          <a:ext cx="3460102" cy="2366158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4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68" name="图片 44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4" name="图片 44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8" name="图片 44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0" name="图片 44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6" name="图片 44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2" name="图片 44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8" name="图片 44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4" name="图片 45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0" name="图片 45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6" name="图片 45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4" name="图片 45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0" name="图片 45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4" name="图片 45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6" name="图片 45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2" name="图片 45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8" name="图片 45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4" name="图片 45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0" name="图片 45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6" name="图片 45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82" name="图片 45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312713" cy="6350"/>
    <xdr:pic>
      <xdr:nvPicPr>
        <xdr:cNvPr id="4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0" name="图片 45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6" name="图片 46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0" name="图片 46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2" name="图片 46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8" name="图片 46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4" name="图片 46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0" name="图片 46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6" name="图片 46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2" name="图片 46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8" name="图片 46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6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6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6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6" name="图片 46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2" name="图片 46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6" name="图片 46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8" name="图片 46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4" name="图片 46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0" name="图片 46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6" name="图片 46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6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2" name="图片 47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8" name="图片 47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4" name="图片 47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7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177624" cy="6350"/>
    <xdr:pic>
      <xdr:nvPicPr>
        <xdr:cNvPr id="4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2" name="图片 47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8" name="图片 47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2" name="图片 47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4" name="图片 47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0" name="图片 47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6" name="图片 47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2" name="图片 47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8" name="图片 47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4" name="图片 47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80" name="图片 47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051486" cy="6350"/>
    <xdr:pic>
      <xdr:nvPicPr>
        <xdr:cNvPr id="4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051486" cy="6350"/>
    <xdr:pic>
      <xdr:nvPicPr>
        <xdr:cNvPr id="4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051486" cy="6350"/>
    <xdr:pic>
      <xdr:nvPicPr>
        <xdr:cNvPr id="4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051486" cy="6350"/>
    <xdr:pic>
      <xdr:nvPicPr>
        <xdr:cNvPr id="47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051486" cy="6350"/>
    <xdr:pic>
      <xdr:nvPicPr>
        <xdr:cNvPr id="4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051486" cy="6350"/>
    <xdr:pic>
      <xdr:nvPicPr>
        <xdr:cNvPr id="4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98" name="图片 47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7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4" name="图片 48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8" name="图片 48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0" name="图片 48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6" name="图片 48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2" name="图片 48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8" name="图片 48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4" name="图片 48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0" name="图片 48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6" name="图片 48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750</xdr:row>
      <xdr:rowOff>0</xdr:rowOff>
    </xdr:from>
    <xdr:ext cx="1579413" cy="6350"/>
    <xdr:pic>
      <xdr:nvPicPr>
        <xdr:cNvPr id="48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4604352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602602</xdr:colOff>
      <xdr:row>752</xdr:row>
      <xdr:rowOff>19438</xdr:rowOff>
    </xdr:from>
    <xdr:to>
      <xdr:col>7</xdr:col>
      <xdr:colOff>699796</xdr:colOff>
      <xdr:row>764</xdr:row>
      <xdr:rowOff>175937</xdr:rowOff>
    </xdr:to>
    <xdr:pic>
      <xdr:nvPicPr>
        <xdr:cNvPr id="4854" name="图片 485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92474" y="159777015"/>
          <a:ext cx="1720332" cy="2489153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8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8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5" name="图片 48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1" name="图片 48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5" name="图片 48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7" name="图片 48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3" name="图片 48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89" name="图片 48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5" name="图片 48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1" name="图片 49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7" name="图片 49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3" name="图片 49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1" name="图片 49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7" name="图片 49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1" name="图片 49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3" name="图片 49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49" name="图片 49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5" name="图片 49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1" name="图片 49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7" name="图片 49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3" name="图片 49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79" name="图片 49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312713" cy="6350"/>
    <xdr:pic>
      <xdr:nvPicPr>
        <xdr:cNvPr id="4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7" name="图片 49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4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3" name="图片 5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7" name="图片 50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09" name="图片 50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5" name="图片 50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1" name="图片 50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7" name="图片 50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3" name="图片 50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39" name="图片 50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5" name="图片 50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0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0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0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0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0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3" name="图片 50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69" name="图片 50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3" name="图片 50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5" name="图片 50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1" name="图片 50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7" name="图片 50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3" name="图片 50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099" name="图片 50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5" name="图片 51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11" name="图片 51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177624" cy="6350"/>
    <xdr:pic>
      <xdr:nvPicPr>
        <xdr:cNvPr id="5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29" name="图片 51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5" name="图片 51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39" name="图片 51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1" name="图片 51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7" name="图片 51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3" name="图片 51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59" name="图片 51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5" name="图片 51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1" name="图片 51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7" name="图片 51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051486" cy="6350"/>
    <xdr:pic>
      <xdr:nvPicPr>
        <xdr:cNvPr id="5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051486" cy="6350"/>
    <xdr:pic>
      <xdr:nvPicPr>
        <xdr:cNvPr id="5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051486" cy="6350"/>
    <xdr:pic>
      <xdr:nvPicPr>
        <xdr:cNvPr id="5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051486" cy="6350"/>
    <xdr:pic>
      <xdr:nvPicPr>
        <xdr:cNvPr id="5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051486" cy="6350"/>
    <xdr:pic>
      <xdr:nvPicPr>
        <xdr:cNvPr id="5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051486" cy="6350"/>
    <xdr:pic>
      <xdr:nvPicPr>
        <xdr:cNvPr id="5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5" name="图片 51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1" name="图片 5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5" name="图片 52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7" name="图片 52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3" name="图片 52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19" name="图片 52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5" name="图片 52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1" name="图片 52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7" name="图片 52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3" name="图片 52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975</xdr:row>
      <xdr:rowOff>0</xdr:rowOff>
    </xdr:from>
    <xdr:ext cx="1579413" cy="6350"/>
    <xdr:pic>
      <xdr:nvPicPr>
        <xdr:cNvPr id="5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55947577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2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2" name="图片 52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8" name="图片 52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2" name="图片 52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4" name="图片 52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0" name="图片 52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6" name="图片 52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2" name="图片 52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8" name="图片 52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4" name="图片 53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10" name="图片 53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28" name="图片 53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4" name="图片 53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8" name="图片 53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0" name="图片 53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6" name="图片 53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2" name="图片 53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8" name="图片 53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4" name="图片 53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0" name="图片 53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6" name="图片 53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312713" cy="6350"/>
    <xdr:pic>
      <xdr:nvPicPr>
        <xdr:cNvPr id="5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4" name="图片 53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3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0" name="图片 53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4" name="图片 54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6" name="图片 54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2" name="图片 54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8" name="图片 54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4" name="图片 54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0" name="图片 54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6" name="图片 54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42" name="图片 54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0" name="图片 54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6" name="图片 54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0" name="图片 54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2" name="图片 54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8" name="图片 54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4" name="图片 54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0" name="图片 54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6" name="图片 54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2" name="图片 55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8" name="图片 55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5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177624" cy="6350"/>
    <xdr:pic>
      <xdr:nvPicPr>
        <xdr:cNvPr id="5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6" name="图片 55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2" name="图片 55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6" name="图片 55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8" name="图片 55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4" name="图片 55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0" name="图片 55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6" name="图片 55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2" name="图片 55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8" name="图片 55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4" name="图片 55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051486" cy="6350"/>
    <xdr:pic>
      <xdr:nvPicPr>
        <xdr:cNvPr id="5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051486" cy="6350"/>
    <xdr:pic>
      <xdr:nvPicPr>
        <xdr:cNvPr id="5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051486" cy="6350"/>
    <xdr:pic>
      <xdr:nvPicPr>
        <xdr:cNvPr id="5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051486" cy="6350"/>
    <xdr:pic>
      <xdr:nvPicPr>
        <xdr:cNvPr id="5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051486" cy="6350"/>
    <xdr:pic>
      <xdr:nvPicPr>
        <xdr:cNvPr id="5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051486" cy="6350"/>
    <xdr:pic>
      <xdr:nvPicPr>
        <xdr:cNvPr id="5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2" name="图片 55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8" name="图片 55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2" name="图片 56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4" name="图片 56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0" name="图片 56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6" name="图片 56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2" name="图片 56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8" name="图片 56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4" name="图片 56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40" name="图片 56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1050</xdr:row>
      <xdr:rowOff>0</xdr:rowOff>
    </xdr:from>
    <xdr:ext cx="1579413" cy="6350"/>
    <xdr:pic>
      <xdr:nvPicPr>
        <xdr:cNvPr id="5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709737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978</xdr:row>
      <xdr:rowOff>0</xdr:rowOff>
    </xdr:from>
    <xdr:to>
      <xdr:col>8</xdr:col>
      <xdr:colOff>211123</xdr:colOff>
      <xdr:row>988</xdr:row>
      <xdr:rowOff>189456</xdr:rowOff>
    </xdr:to>
    <xdr:pic>
      <xdr:nvPicPr>
        <xdr:cNvPr id="866" name="图片 86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0816" y="186981582"/>
          <a:ext cx="2971429" cy="2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1053</xdr:row>
      <xdr:rowOff>9720</xdr:rowOff>
    </xdr:from>
    <xdr:to>
      <xdr:col>8</xdr:col>
      <xdr:colOff>558027</xdr:colOff>
      <xdr:row>1064</xdr:row>
      <xdr:rowOff>147645</xdr:rowOff>
    </xdr:to>
    <xdr:pic>
      <xdr:nvPicPr>
        <xdr:cNvPr id="5648" name="图片 56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8673" y="202017475"/>
          <a:ext cx="3590476" cy="22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0</xdr:row>
      <xdr:rowOff>0</xdr:rowOff>
    </xdr:from>
    <xdr:to>
      <xdr:col>4</xdr:col>
      <xdr:colOff>95617</xdr:colOff>
      <xdr:row>0</xdr:row>
      <xdr:rowOff>6350</xdr:rowOff>
    </xdr:to>
    <xdr:pic>
      <xdr:nvPicPr>
        <xdr:cNvPr id="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95617</xdr:colOff>
      <xdr:row>0</xdr:row>
      <xdr:rowOff>6350</xdr:rowOff>
    </xdr:to>
    <xdr:pic>
      <xdr:nvPicPr>
        <xdr:cNvPr id="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95617</xdr:colOff>
      <xdr:row>0</xdr:row>
      <xdr:rowOff>6350</xdr:rowOff>
    </xdr:to>
    <xdr:pic>
      <xdr:nvPicPr>
        <xdr:cNvPr id="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95617</xdr:colOff>
      <xdr:row>0</xdr:row>
      <xdr:rowOff>6350</xdr:rowOff>
    </xdr:to>
    <xdr:pic>
      <xdr:nvPicPr>
        <xdr:cNvPr id="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95617</xdr:colOff>
      <xdr:row>0</xdr:row>
      <xdr:rowOff>6350</xdr:rowOff>
    </xdr:to>
    <xdr:pic>
      <xdr:nvPicPr>
        <xdr:cNvPr id="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95617</xdr:colOff>
      <xdr:row>0</xdr:row>
      <xdr:rowOff>6350</xdr:rowOff>
    </xdr:to>
    <xdr:pic>
      <xdr:nvPicPr>
        <xdr:cNvPr id="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" name="图片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" name="图片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" name="图片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" name="图片 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" name="图片 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" name="图片 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" name="图片 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0" name="图片 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6" name="图片 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" name="图片 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" name="图片 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8" name="图片 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4" name="图片 1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0" name="图片 1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6" name="图片 1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2" name="图片 1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" name="图片 1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6" name="图片 1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2" name="图片 1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6" name="图片 1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8" name="图片 1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4" name="图片 1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0" name="图片 1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6" name="图片 1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2" name="图片 1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8" name="图片 1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4" name="图片 1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2" name="图片 2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8" name="图片 2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2" name="图片 2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4" name="图片 2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0" name="图片 2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6" name="图片 2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2" name="图片 2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8" name="图片 2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4" name="图片 2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0" name="图片 2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8" name="图片 2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4" name="图片 2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8" name="图片 2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0" name="图片 2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6" name="图片 2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2" name="图片 3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8" name="图片 3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4" name="图片 3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0" name="图片 3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6" name="图片 3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4" name="图片 3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0" name="图片 3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4" name="图片 3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6" name="图片 3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2" name="图片 3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8" name="图片 3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4" name="图片 3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0" name="图片 3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6" name="图片 3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2" name="图片 3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8872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733424</xdr:colOff>
      <xdr:row>2</xdr:row>
      <xdr:rowOff>123825</xdr:rowOff>
    </xdr:from>
    <xdr:to>
      <xdr:col>7</xdr:col>
      <xdr:colOff>590549</xdr:colOff>
      <xdr:row>13</xdr:row>
      <xdr:rowOff>183800</xdr:rowOff>
    </xdr:to>
    <xdr:pic>
      <xdr:nvPicPr>
        <xdr:cNvPr id="399" name="图片 3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7849" y="552450"/>
          <a:ext cx="1228725" cy="215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162292</xdr:colOff>
      <xdr:row>0</xdr:row>
      <xdr:rowOff>6350</xdr:rowOff>
    </xdr:to>
    <xdr:pic>
      <xdr:nvPicPr>
        <xdr:cNvPr id="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162292</xdr:colOff>
      <xdr:row>0</xdr:row>
      <xdr:rowOff>6350</xdr:rowOff>
    </xdr:to>
    <xdr:pic>
      <xdr:nvPicPr>
        <xdr:cNvPr id="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162292</xdr:colOff>
      <xdr:row>0</xdr:row>
      <xdr:rowOff>6350</xdr:rowOff>
    </xdr:to>
    <xdr:pic>
      <xdr:nvPicPr>
        <xdr:cNvPr id="4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162292</xdr:colOff>
      <xdr:row>0</xdr:row>
      <xdr:rowOff>6350</xdr:rowOff>
    </xdr:to>
    <xdr:pic>
      <xdr:nvPicPr>
        <xdr:cNvPr id="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162292</xdr:colOff>
      <xdr:row>0</xdr:row>
      <xdr:rowOff>6350</xdr:rowOff>
    </xdr:to>
    <xdr:pic>
      <xdr:nvPicPr>
        <xdr:cNvPr id="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234950</xdr:colOff>
      <xdr:row>0</xdr:row>
      <xdr:rowOff>0</xdr:rowOff>
    </xdr:from>
    <xdr:to>
      <xdr:col>4</xdr:col>
      <xdr:colOff>162292</xdr:colOff>
      <xdr:row>0</xdr:row>
      <xdr:rowOff>6350</xdr:rowOff>
    </xdr:to>
    <xdr:pic>
      <xdr:nvPicPr>
        <xdr:cNvPr id="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2" name="图片 4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8" name="图片 4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2" name="图片 4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4" name="图片 4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0" name="图片 4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6" name="图片 4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2" name="图片 4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8" name="图片 4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4" name="图片 4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0" name="图片 4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4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4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8" name="图片 4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4" name="图片 4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8" name="图片 4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0" name="图片 4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6" name="图片 4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2" name="图片 5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8" name="图片 5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4" name="图片 5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0" name="图片 5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6" name="图片 5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5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4" name="图片 5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0" name="图片 5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4" name="图片 5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6" name="图片 5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2" name="图片 5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8" name="图片 5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4" name="图片 5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0" name="图片 5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6" name="图片 5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2" name="图片 5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312713" cy="6350"/>
    <xdr:pic>
      <xdr:nvPicPr>
        <xdr:cNvPr id="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0" name="图片 6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6" name="图片 6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0" name="图片 6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2" name="图片 6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8" name="图片 6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4" name="图片 6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0" name="图片 6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6" name="图片 6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2" name="图片 6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8" name="图片 6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6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6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6" name="图片 6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2" name="图片 6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6" name="图片 6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8" name="图片 6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4" name="图片 6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6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0" name="图片 6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6" name="图片 7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2" name="图片 7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8" name="图片 7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4" name="图片 7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7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177624" cy="6350"/>
    <xdr:pic>
      <xdr:nvPicPr>
        <xdr:cNvPr id="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2" name="图片 7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8" name="图片 7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2" name="图片 7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4" name="图片 7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0" name="图片 7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6" name="图片 7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2" name="图片 7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8" name="图片 7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4" name="图片 7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90" name="图片 7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486" cy="6350"/>
    <xdr:pic>
      <xdr:nvPicPr>
        <xdr:cNvPr id="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486" cy="6350"/>
    <xdr:pic>
      <xdr:nvPicPr>
        <xdr:cNvPr id="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486" cy="6350"/>
    <xdr:pic>
      <xdr:nvPicPr>
        <xdr:cNvPr id="7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486" cy="6350"/>
    <xdr:pic>
      <xdr:nvPicPr>
        <xdr:cNvPr id="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486" cy="6350"/>
    <xdr:pic>
      <xdr:nvPicPr>
        <xdr:cNvPr id="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486" cy="6350"/>
    <xdr:pic>
      <xdr:nvPicPr>
        <xdr:cNvPr id="8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051486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09" name="图片 8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5" name="图片 8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19" name="图片 8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1" name="图片 8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7" name="图片 8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3" name="图片 8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39" name="图片 8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5" name="图片 8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1" name="图片 8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7" name="图片 8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20586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984617" cy="6350"/>
    <xdr:pic>
      <xdr:nvPicPr>
        <xdr:cNvPr id="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984617" cy="6350"/>
    <xdr:pic>
      <xdr:nvPicPr>
        <xdr:cNvPr id="8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984617" cy="6350"/>
    <xdr:pic>
      <xdr:nvPicPr>
        <xdr:cNvPr id="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984617" cy="6350"/>
    <xdr:pic>
      <xdr:nvPicPr>
        <xdr:cNvPr id="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984617" cy="6350"/>
    <xdr:pic>
      <xdr:nvPicPr>
        <xdr:cNvPr id="8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984617" cy="6350"/>
    <xdr:pic>
      <xdr:nvPicPr>
        <xdr:cNvPr id="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6" name="图片 8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2" name="图片 8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6" name="图片 8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8" name="图片 8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4" name="图片 8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0" name="图片 8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6" name="图片 9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2" name="图片 9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8" name="图片 9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4" name="图片 9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2" name="图片 9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8" name="图片 9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2" name="图片 9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4" name="图片 9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0" name="图片 9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6" name="图片 9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2" name="图片 9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8" name="图片 9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4" name="图片 9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90" name="图片 9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10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1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08" name="图片 10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4" name="图片 10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8" name="图片 10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0" name="图片 10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6" name="图片 10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2" name="图片 10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8" name="图片 10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4" name="图片 10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0" name="图片 10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6" name="图片 10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1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10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1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10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10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312713" cy="6350"/>
    <xdr:pic>
      <xdr:nvPicPr>
        <xdr:cNvPr id="1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4" name="图片 10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0" name="图片 10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4" name="图片 10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6" name="图片 10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2" name="图片 10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8" name="图片 10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0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4" name="图片 11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0" name="图片 11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6" name="图片 11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22" name="图片 11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0" name="图片 11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6" name="图片 11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0" name="图片 11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2" name="图片 11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8" name="图片 11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4" name="图片 11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0" name="图片 11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6" name="图片 11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2" name="图片 11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8" name="图片 11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177624" cy="6350"/>
    <xdr:pic>
      <xdr:nvPicPr>
        <xdr:cNvPr id="1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6" name="图片 12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2" name="图片 12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6" name="图片 12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8" name="图片 12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4" name="图片 12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0" name="图片 12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6" name="图片 12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2" name="图片 12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8" name="图片 12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4" name="图片 12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73</xdr:row>
      <xdr:rowOff>0</xdr:rowOff>
    </xdr:from>
    <xdr:ext cx="1579413" cy="6350"/>
    <xdr:pic>
      <xdr:nvPicPr>
        <xdr:cNvPr id="1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292" cy="6350"/>
    <xdr:pic>
      <xdr:nvPicPr>
        <xdr:cNvPr id="1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292" cy="6350"/>
    <xdr:pic>
      <xdr:nvPicPr>
        <xdr:cNvPr id="1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292" cy="6350"/>
    <xdr:pic>
      <xdr:nvPicPr>
        <xdr:cNvPr id="1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292" cy="6350"/>
    <xdr:pic>
      <xdr:nvPicPr>
        <xdr:cNvPr id="1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292" cy="6350"/>
    <xdr:pic>
      <xdr:nvPicPr>
        <xdr:cNvPr id="1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051292" cy="6350"/>
    <xdr:pic>
      <xdr:nvPicPr>
        <xdr:cNvPr id="1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3" name="图片 12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79" name="图片 12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3" name="图片 12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5" name="图片 12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1" name="图片 12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7" name="图片 12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3" name="图片 13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09" name="图片 13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5" name="图片 13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21" name="图片 13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0</xdr:row>
      <xdr:rowOff>0</xdr:rowOff>
    </xdr:from>
    <xdr:ext cx="1579413" cy="6350"/>
    <xdr:pic>
      <xdr:nvPicPr>
        <xdr:cNvPr id="1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39" name="图片 13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5" name="图片 13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49" name="图片 13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1" name="图片 13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7" name="图片 13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3" name="图片 13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69" name="图片 13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5" name="图片 13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1" name="图片 13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7" name="图片 13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3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5" name="图片 14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1" name="图片 14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5" name="图片 14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7" name="图片 14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3" name="图片 14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29" name="图片 14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5" name="图片 14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1" name="图片 14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7" name="图片 14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3" name="图片 14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4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1" name="图片 14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7" name="图片 14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1" name="图片 14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3" name="图片 14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89" name="图片 14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5" name="图片 14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1" name="图片 15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7" name="图片 15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3" name="图片 15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19" name="图片 15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5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312713" cy="6350"/>
    <xdr:pic>
      <xdr:nvPicPr>
        <xdr:cNvPr id="1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7" name="图片 15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3" name="图片 15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7" name="图片 15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49" name="图片 15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5" name="图片 15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1" name="图片 15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7" name="图片 15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3" name="图片 15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79" name="图片 15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5" name="图片 15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3" name="图片 16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09" name="图片 16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3" name="图片 16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5" name="图片 16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1" name="图片 16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7" name="图片 16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3" name="图片 16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39" name="图片 16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5" name="图片 16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51" name="图片 16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6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6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177624" cy="6350"/>
    <xdr:pic>
      <xdr:nvPicPr>
        <xdr:cNvPr id="16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69" name="图片 16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5" name="图片 16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79" name="图片 16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1" name="图片 16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7" name="图片 16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3" name="图片 16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699" name="图片 16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5" name="图片 17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1" name="图片 17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7" name="图片 17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117538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1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1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1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1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1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1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6" name="图片 17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2" name="图片 17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6" name="图片 17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8" name="图片 17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4" name="图片 17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0" name="图片 17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6" name="图片 17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2" name="图片 17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8" name="图片 17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4" name="图片 17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133350</xdr:colOff>
      <xdr:row>76</xdr:row>
      <xdr:rowOff>47625</xdr:rowOff>
    </xdr:from>
    <xdr:to>
      <xdr:col>7</xdr:col>
      <xdr:colOff>323850</xdr:colOff>
      <xdr:row>88</xdr:row>
      <xdr:rowOff>170834</xdr:rowOff>
    </xdr:to>
    <xdr:pic>
      <xdr:nvPicPr>
        <xdr:cNvPr id="796" name="图片 79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7775" y="12534900"/>
          <a:ext cx="1562100" cy="2409209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984617" cy="6350"/>
    <xdr:pic>
      <xdr:nvPicPr>
        <xdr:cNvPr id="1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7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2" name="图片 18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8" name="图片 18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2" name="图片 18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4" name="图片 18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0" name="图片 18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6" name="图片 18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2" name="图片 18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8" name="图片 18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4" name="图片 18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50" name="图片 18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18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8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8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68" name="图片 18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4" name="图片 18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8" name="图片 18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0" name="图片 18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6" name="图片 18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2" name="图片 18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8" name="图片 18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4" name="图片 19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0" name="图片 19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6" name="图片 19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4" name="图片 19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0" name="图片 19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4" name="图片 19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6" name="图片 19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2" name="图片 19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8" name="图片 19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4" name="图片 19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0" name="图片 19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6" name="图片 19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82" name="图片 19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312713" cy="6350"/>
    <xdr:pic>
      <xdr:nvPicPr>
        <xdr:cNvPr id="19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1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0" name="图片 19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6" name="图片 20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0" name="图片 20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2" name="图片 20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8" name="图片 20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4" name="图片 20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0" name="图片 20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6" name="图片 20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2" name="图片 20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8" name="图片 20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0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0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0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0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6" name="图片 20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2" name="图片 20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6" name="图片 20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8" name="图片 20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4" name="图片 20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0" name="图片 20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6" name="图片 20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0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2" name="图片 21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8" name="图片 21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4" name="图片 21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177624" cy="6350"/>
    <xdr:pic>
      <xdr:nvPicPr>
        <xdr:cNvPr id="2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2" name="图片 21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8" name="图片 21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2" name="图片 21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4" name="图片 21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0" name="图片 21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6" name="图片 21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2" name="图片 21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8" name="图片 21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4" name="图片 21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80" name="图片 21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147</xdr:row>
      <xdr:rowOff>0</xdr:rowOff>
    </xdr:from>
    <xdr:ext cx="1579413" cy="6350"/>
    <xdr:pic>
      <xdr:nvPicPr>
        <xdr:cNvPr id="2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2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2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2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2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2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051292" cy="6350"/>
    <xdr:pic>
      <xdr:nvPicPr>
        <xdr:cNvPr id="2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198" name="图片 21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4" name="图片 22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8" name="图片 22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0" name="图片 22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6" name="图片 22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2" name="图片 22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8" name="图片 22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4" name="图片 22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0" name="图片 22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6" name="图片 22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74</xdr:row>
      <xdr:rowOff>0</xdr:rowOff>
    </xdr:from>
    <xdr:ext cx="1579413" cy="6350"/>
    <xdr:pic>
      <xdr:nvPicPr>
        <xdr:cNvPr id="2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142875</xdr:colOff>
      <xdr:row>150</xdr:row>
      <xdr:rowOff>38100</xdr:rowOff>
    </xdr:from>
    <xdr:to>
      <xdr:col>7</xdr:col>
      <xdr:colOff>286246</xdr:colOff>
      <xdr:row>162</xdr:row>
      <xdr:rowOff>142874</xdr:rowOff>
    </xdr:to>
    <xdr:pic>
      <xdr:nvPicPr>
        <xdr:cNvPr id="2254" name="图片 225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825" y="27422475"/>
          <a:ext cx="1705471" cy="2390774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7" name="图片 22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3" name="图片 22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7" name="图片 22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79" name="图片 22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5" name="图片 22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1" name="图片 22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7" name="图片 22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3" name="图片 23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09" name="图片 23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5" name="图片 23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3" name="图片 23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39" name="图片 23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3" name="图片 23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5" name="图片 23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1" name="图片 23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7" name="图片 23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3" name="图片 23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69" name="图片 23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5" name="图片 23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81" name="图片 23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399" name="图片 23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5" name="图片 24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09" name="图片 24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1" name="图片 24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7" name="图片 24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3" name="图片 24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29" name="图片 24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5" name="图片 24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1" name="图片 24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7" name="图片 24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312713" cy="6350"/>
    <xdr:pic>
      <xdr:nvPicPr>
        <xdr:cNvPr id="2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5" name="图片 24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1" name="图片 24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5" name="图片 24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7" name="图片 24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3" name="图片 24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89" name="图片 24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5" name="图片 24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1" name="图片 25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7" name="图片 25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3" name="图片 25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1" name="图片 25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7" name="图片 25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1" name="图片 25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3" name="图片 25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49" name="图片 25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5" name="图片 25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1" name="图片 25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7" name="图片 25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3" name="图片 25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79" name="图片 25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177624" cy="6350"/>
    <xdr:pic>
      <xdr:nvPicPr>
        <xdr:cNvPr id="2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7" name="图片 25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3" name="图片 26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7" name="图片 26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09" name="图片 26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5" name="图片 26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1" name="图片 26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7" name="图片 26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3" name="图片 26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39" name="图片 26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5" name="图片 26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2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2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2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2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26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26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3" name="图片 26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69" name="图片 26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3" name="图片 26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5" name="图片 26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1" name="图片 26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7" name="图片 26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3" name="图片 26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699" name="图片 26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5" name="图片 27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11" name="图片 27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7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984617" cy="6350"/>
    <xdr:pic>
      <xdr:nvPicPr>
        <xdr:cNvPr id="27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0" name="图片 27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6" name="图片 27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0" name="图片 27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2" name="图片 27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8" name="图片 27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4" name="图片 27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0" name="图片 27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6" name="图片 27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2" name="图片 27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8" name="图片 27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2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7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7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6" name="图片 27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7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2" name="图片 28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6" name="图片 28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8" name="图片 28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4" name="图片 28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0" name="图片 28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6" name="图片 28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2" name="图片 28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8" name="图片 28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4" name="图片 28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8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8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8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8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2" name="图片 28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8" name="图片 28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2" name="图片 28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4" name="图片 28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0" name="图片 28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6" name="图片 28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2" name="图片 28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8" name="图片 28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4" name="图片 29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10" name="图片 29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9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312713" cy="6350"/>
    <xdr:pic>
      <xdr:nvPicPr>
        <xdr:cNvPr id="29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28" name="图片 29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4" name="图片 29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8" name="图片 29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0" name="图片 29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6" name="图片 29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2" name="图片 29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8" name="图片 29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4" name="图片 29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0" name="图片 29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6" name="图片 29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29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2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2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2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2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29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4" name="图片 29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2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0" name="图片 29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4" name="图片 30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6" name="图片 30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2" name="图片 30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8" name="图片 30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4" name="图片 30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0" name="图片 30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6" name="图片 30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42" name="图片 30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30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3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30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3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30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177624" cy="6350"/>
    <xdr:pic>
      <xdr:nvPicPr>
        <xdr:cNvPr id="30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0" name="图片 30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6" name="图片 30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0" name="图片 30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2" name="图片 30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8" name="图片 30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4" name="图片 30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0" name="图片 30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6" name="图片 30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0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2" name="图片 31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8" name="图片 31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221</xdr:row>
      <xdr:rowOff>0</xdr:rowOff>
    </xdr:from>
    <xdr:ext cx="1579413" cy="6350"/>
    <xdr:pic>
      <xdr:nvPicPr>
        <xdr:cNvPr id="3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3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3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3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3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3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051292" cy="6350"/>
    <xdr:pic>
      <xdr:nvPicPr>
        <xdr:cNvPr id="3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6" name="图片 31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2" name="图片 31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6" name="图片 31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8" name="图片 31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4" name="图片 31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0" name="图片 31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6" name="图片 31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2" name="图片 31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8" name="图片 31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4" name="图片 31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148</xdr:row>
      <xdr:rowOff>0</xdr:rowOff>
    </xdr:from>
    <xdr:ext cx="1579413" cy="6350"/>
    <xdr:pic>
      <xdr:nvPicPr>
        <xdr:cNvPr id="3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984617" cy="6350"/>
    <xdr:pic>
      <xdr:nvPicPr>
        <xdr:cNvPr id="3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984617" cy="6350"/>
    <xdr:pic>
      <xdr:nvPicPr>
        <xdr:cNvPr id="3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984617" cy="6350"/>
    <xdr:pic>
      <xdr:nvPicPr>
        <xdr:cNvPr id="3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984617" cy="6350"/>
    <xdr:pic>
      <xdr:nvPicPr>
        <xdr:cNvPr id="3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984617" cy="6350"/>
    <xdr:pic>
      <xdr:nvPicPr>
        <xdr:cNvPr id="31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984617" cy="6350"/>
    <xdr:pic>
      <xdr:nvPicPr>
        <xdr:cNvPr id="3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4" name="图片 31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0" name="图片 31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4" name="图片 32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6" name="图片 32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2" name="图片 32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8" name="图片 32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4" name="图片 32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0" name="图片 32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6" name="图片 32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42" name="图片 32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2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0" name="图片 32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6" name="图片 32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0" name="图片 32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2" name="图片 32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8" name="图片 32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4" name="图片 32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0" name="图片 32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6" name="图片 32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2" name="图片 33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8" name="图片 33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6" name="图片 33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2" name="图片 33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6" name="图片 33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8" name="图片 33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4" name="图片 33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0" name="图片 33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6" name="图片 33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2" name="图片 33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8" name="图片 33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4" name="图片 33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312713" cy="6350"/>
    <xdr:pic>
      <xdr:nvPicPr>
        <xdr:cNvPr id="3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2" name="图片 33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8" name="图片 33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3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2" name="图片 34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4" name="图片 34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0" name="图片 34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6" name="图片 34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2" name="图片 34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8" name="图片 34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4" name="图片 34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40" name="图片 34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4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4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58" name="图片 34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4" name="图片 34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8" name="图片 34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0" name="图片 34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6" name="图片 34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2" name="图片 34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8" name="图片 34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4" name="图片 34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0" name="图片 34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6" name="图片 35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5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177624" cy="6350"/>
    <xdr:pic>
      <xdr:nvPicPr>
        <xdr:cNvPr id="3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4" name="图片 35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0" name="图片 35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4" name="图片 35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6" name="图片 35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2" name="图片 35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8" name="图片 35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4" name="图片 35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0" name="图片 35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6" name="图片 35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72" name="图片 35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295</xdr:row>
      <xdr:rowOff>0</xdr:rowOff>
    </xdr:from>
    <xdr:ext cx="1579413" cy="6350"/>
    <xdr:pic>
      <xdr:nvPicPr>
        <xdr:cNvPr id="3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58711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051292" cy="6350"/>
    <xdr:pic>
      <xdr:nvPicPr>
        <xdr:cNvPr id="3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051292" cy="6350"/>
    <xdr:pic>
      <xdr:nvPicPr>
        <xdr:cNvPr id="3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051292" cy="6350"/>
    <xdr:pic>
      <xdr:nvPicPr>
        <xdr:cNvPr id="3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051292" cy="6350"/>
    <xdr:pic>
      <xdr:nvPicPr>
        <xdr:cNvPr id="3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051292" cy="6350"/>
    <xdr:pic>
      <xdr:nvPicPr>
        <xdr:cNvPr id="3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051292" cy="6350"/>
    <xdr:pic>
      <xdr:nvPicPr>
        <xdr:cNvPr id="35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0" name="图片 35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6" name="图片 35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0" name="图片 35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2" name="图片 36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8" name="图片 36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4" name="图片 36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0" name="图片 36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6" name="图片 36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2" name="图片 36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8" name="图片 36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222</xdr:row>
      <xdr:rowOff>0</xdr:rowOff>
    </xdr:from>
    <xdr:ext cx="1579413" cy="6350"/>
    <xdr:pic>
      <xdr:nvPicPr>
        <xdr:cNvPr id="3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241173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104775</xdr:colOff>
      <xdr:row>224</xdr:row>
      <xdr:rowOff>38100</xdr:rowOff>
    </xdr:from>
    <xdr:to>
      <xdr:col>7</xdr:col>
      <xdr:colOff>438150</xdr:colOff>
      <xdr:row>236</xdr:row>
      <xdr:rowOff>120122</xdr:rowOff>
    </xdr:to>
    <xdr:pic>
      <xdr:nvPicPr>
        <xdr:cNvPr id="3646" name="图片 364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72818625"/>
          <a:ext cx="1704975" cy="2368022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296</xdr:row>
      <xdr:rowOff>0</xdr:rowOff>
    </xdr:from>
    <xdr:ext cx="984617" cy="6350"/>
    <xdr:pic>
      <xdr:nvPicPr>
        <xdr:cNvPr id="3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984617" cy="6350"/>
    <xdr:pic>
      <xdr:nvPicPr>
        <xdr:cNvPr id="3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984617" cy="6350"/>
    <xdr:pic>
      <xdr:nvPicPr>
        <xdr:cNvPr id="3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984617" cy="6350"/>
    <xdr:pic>
      <xdr:nvPicPr>
        <xdr:cNvPr id="36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984617" cy="6350"/>
    <xdr:pic>
      <xdr:nvPicPr>
        <xdr:cNvPr id="36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984617" cy="6350"/>
    <xdr:pic>
      <xdr:nvPicPr>
        <xdr:cNvPr id="3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7" name="图片 36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3" name="图片 36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7" name="图片 36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69" name="图片 36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5" name="图片 36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1" name="图片 36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7" name="图片 36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3" name="图片 36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699" name="图片 36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5" name="图片 37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3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3" name="图片 37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29" name="图片 37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3" name="图片 37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5" name="图片 37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1" name="图片 37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7" name="图片 37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3" name="图片 37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59" name="图片 37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5" name="图片 37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71" name="图片 37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89" name="图片 37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5" name="图片 37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799" name="图片 37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1" name="图片 38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7" name="图片 38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3" name="图片 38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19" name="图片 38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5" name="图片 38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1" name="图片 38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7" name="图片 38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8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8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8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312713" cy="6350"/>
    <xdr:pic>
      <xdr:nvPicPr>
        <xdr:cNvPr id="3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5" name="图片 38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1" name="图片 38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5" name="图片 38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7" name="图片 38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3" name="图片 38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79" name="图片 38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5" name="图片 38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1" name="图片 38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7" name="图片 38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3" name="图片 39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1" name="图片 39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7" name="图片 39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1" name="图片 39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3" name="图片 39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39" name="图片 39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5" name="图片 39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1" name="图片 39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7" name="图片 39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3" name="图片 39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69" name="图片 39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177624" cy="6350"/>
    <xdr:pic>
      <xdr:nvPicPr>
        <xdr:cNvPr id="3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7" name="图片 39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3" name="图片 39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7" name="图片 39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3999" name="图片 39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5" name="图片 40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1" name="图片 40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7" name="图片 40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3" name="图片 40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29" name="图片 40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5" name="图片 40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369</xdr:row>
      <xdr:rowOff>0</xdr:rowOff>
    </xdr:from>
    <xdr:ext cx="1579413" cy="6350"/>
    <xdr:pic>
      <xdr:nvPicPr>
        <xdr:cNvPr id="40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79298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051292" cy="6350"/>
    <xdr:pic>
      <xdr:nvPicPr>
        <xdr:cNvPr id="40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051292" cy="6350"/>
    <xdr:pic>
      <xdr:nvPicPr>
        <xdr:cNvPr id="40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051292" cy="6350"/>
    <xdr:pic>
      <xdr:nvPicPr>
        <xdr:cNvPr id="40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051292" cy="6350"/>
    <xdr:pic>
      <xdr:nvPicPr>
        <xdr:cNvPr id="40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051292" cy="6350"/>
    <xdr:pic>
      <xdr:nvPicPr>
        <xdr:cNvPr id="40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051292" cy="6350"/>
    <xdr:pic>
      <xdr:nvPicPr>
        <xdr:cNvPr id="40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3" name="图片 40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59" name="图片 40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3" name="图片 40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5" name="图片 40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1" name="图片 40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7" name="图片 40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3" name="图片 40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89" name="图片 40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5" name="图片 40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0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1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101" name="图片 41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1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1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1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1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296</xdr:row>
      <xdr:rowOff>0</xdr:rowOff>
    </xdr:from>
    <xdr:ext cx="1579413" cy="6350"/>
    <xdr:pic>
      <xdr:nvPicPr>
        <xdr:cNvPr id="41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3617595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133350</xdr:colOff>
      <xdr:row>299</xdr:row>
      <xdr:rowOff>19050</xdr:rowOff>
    </xdr:from>
    <xdr:to>
      <xdr:col>7</xdr:col>
      <xdr:colOff>704850</xdr:colOff>
      <xdr:row>310</xdr:row>
      <xdr:rowOff>110951</xdr:rowOff>
    </xdr:to>
    <xdr:pic>
      <xdr:nvPicPr>
        <xdr:cNvPr id="863" name="图片 86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6325" y="54416325"/>
          <a:ext cx="2314575" cy="2187401"/>
        </a:xfrm>
        <a:prstGeom prst="rect">
          <a:avLst/>
        </a:prstGeom>
      </xdr:spPr>
    </xdr:pic>
    <xdr:clientData/>
  </xdr:twoCellAnchor>
  <xdr:oneCellAnchor>
    <xdr:from>
      <xdr:col>0</xdr:col>
      <xdr:colOff>234950</xdr:colOff>
      <xdr:row>370</xdr:row>
      <xdr:rowOff>0</xdr:rowOff>
    </xdr:from>
    <xdr:ext cx="984617" cy="6350"/>
    <xdr:pic>
      <xdr:nvPicPr>
        <xdr:cNvPr id="41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984617" cy="6350"/>
    <xdr:pic>
      <xdr:nvPicPr>
        <xdr:cNvPr id="41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984617" cy="6350"/>
    <xdr:pic>
      <xdr:nvPicPr>
        <xdr:cNvPr id="41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984617" cy="6350"/>
    <xdr:pic>
      <xdr:nvPicPr>
        <xdr:cNvPr id="41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984617" cy="6350"/>
    <xdr:pic>
      <xdr:nvPicPr>
        <xdr:cNvPr id="41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984617" cy="6350"/>
    <xdr:pic>
      <xdr:nvPicPr>
        <xdr:cNvPr id="41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0" name="图片 41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6" name="图片 41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0" name="图片 41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2" name="图片 41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8" name="图片 41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4" name="图片 41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0" name="图片 41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6" name="图片 41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2" name="图片 41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8" name="图片 41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1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1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1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1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1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1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1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6" name="图片 41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2" name="图片 41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6" name="图片 41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8" name="图片 41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1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4" name="图片 42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0" name="图片 42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6" name="图片 42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2" name="图片 42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8" name="图片 42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4" name="图片 42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2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2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2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2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2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2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2" name="图片 42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8" name="图片 42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2" name="图片 42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4" name="图片 42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0" name="图片 42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6" name="图片 42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2" name="图片 42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8" name="图片 42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4" name="图片 42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2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00" name="图片 42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3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3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3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3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3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312713" cy="6350"/>
    <xdr:pic>
      <xdr:nvPicPr>
        <xdr:cNvPr id="43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18" name="图片 43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4" name="图片 43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8" name="图片 43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0" name="图片 43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6" name="图片 43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2" name="图片 43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8" name="图片 43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4" name="图片 43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0" name="图片 43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6" name="图片 43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3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3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3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3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3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3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4" name="图片 43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0" name="图片 43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4" name="图片 43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6" name="图片 43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3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2" name="图片 44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8" name="图片 44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4" name="图片 44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0" name="图片 44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6" name="图片 44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32" name="图片 44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4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4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4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4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4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177624" cy="6350"/>
    <xdr:pic>
      <xdr:nvPicPr>
        <xdr:cNvPr id="44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0" name="图片 44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6" name="图片 44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0" name="图片 44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2" name="图片 44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8" name="图片 44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4" name="图片 44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0" name="图片 44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6" name="图片 44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2" name="图片 44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8" name="图片 44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4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5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5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5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443</xdr:row>
      <xdr:rowOff>0</xdr:rowOff>
    </xdr:from>
    <xdr:ext cx="1579413" cy="6350"/>
    <xdr:pic>
      <xdr:nvPicPr>
        <xdr:cNvPr id="45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051292" cy="6350"/>
    <xdr:pic>
      <xdr:nvPicPr>
        <xdr:cNvPr id="45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051292" cy="6350"/>
    <xdr:pic>
      <xdr:nvPicPr>
        <xdr:cNvPr id="45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051292" cy="6350"/>
    <xdr:pic>
      <xdr:nvPicPr>
        <xdr:cNvPr id="45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051292" cy="6350"/>
    <xdr:pic>
      <xdr:nvPicPr>
        <xdr:cNvPr id="45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051292" cy="6350"/>
    <xdr:pic>
      <xdr:nvPicPr>
        <xdr:cNvPr id="45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051292" cy="6350"/>
    <xdr:pic>
      <xdr:nvPicPr>
        <xdr:cNvPr id="45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6" name="图片 45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2" name="图片 45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6" name="图片 45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8" name="图片 45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4" name="图片 45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0" name="图片 45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6" name="图片 45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2" name="图片 45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8" name="图片 45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4" name="图片 45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370</xdr:row>
      <xdr:rowOff>0</xdr:rowOff>
    </xdr:from>
    <xdr:ext cx="1579413" cy="6350"/>
    <xdr:pic>
      <xdr:nvPicPr>
        <xdr:cNvPr id="45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984617" cy="6350"/>
    <xdr:pic>
      <xdr:nvPicPr>
        <xdr:cNvPr id="45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984617" cy="6350"/>
    <xdr:pic>
      <xdr:nvPicPr>
        <xdr:cNvPr id="45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984617" cy="6350"/>
    <xdr:pic>
      <xdr:nvPicPr>
        <xdr:cNvPr id="45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984617" cy="6350"/>
    <xdr:pic>
      <xdr:nvPicPr>
        <xdr:cNvPr id="45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984617" cy="6350"/>
    <xdr:pic>
      <xdr:nvPicPr>
        <xdr:cNvPr id="45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984617" cy="6350"/>
    <xdr:pic>
      <xdr:nvPicPr>
        <xdr:cNvPr id="45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984617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3" name="图片 45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89" name="图片 45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3" name="图片 45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5" name="图片 45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5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1" name="图片 46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7" name="图片 46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3" name="图片 46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19" name="图片 46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5" name="图片 46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31" name="图片 46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6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6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6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6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6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6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6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49" name="图片 46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5" name="图片 46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59" name="图片 46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1" name="图片 46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7" name="图片 46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3" name="图片 46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79" name="图片 46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5" name="图片 46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1" name="图片 46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7" name="图片 46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6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5" name="图片 47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1" name="图片 47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5" name="图片 47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7" name="图片 47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3" name="图片 47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39" name="图片 47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5" name="图片 47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1" name="图片 47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7" name="图片 47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3" name="图片 47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312713" cy="6350"/>
    <xdr:pic>
      <xdr:nvPicPr>
        <xdr:cNvPr id="47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3127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1" name="图片 47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7" name="图片 47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8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1" name="图片 47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3" name="图片 47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799" name="图片 47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5" name="图片 48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1" name="图片 48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7" name="图片 48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3" name="图片 48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29" name="图片 48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8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8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83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8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8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8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7" name="图片 48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4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3" name="图片 48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7" name="图片 48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59" name="图片 48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5" name="图片 48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1" name="图片 48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7" name="图片 48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7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3" name="图片 488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89" name="图片 48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5" name="图片 48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8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9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9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90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9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9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177624" cy="6350"/>
    <xdr:pic>
      <xdr:nvPicPr>
        <xdr:cNvPr id="49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177624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0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3" name="图片 49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19" name="图片 49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3" name="图片 49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5" name="图片 49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1" name="图片 49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7" name="图片 49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3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3" name="图片 49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49" name="图片 49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5" name="图片 49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5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6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61" name="图片 49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6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6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6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6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517</xdr:row>
      <xdr:rowOff>0</xdr:rowOff>
    </xdr:from>
    <xdr:ext cx="1579413" cy="6350"/>
    <xdr:pic>
      <xdr:nvPicPr>
        <xdr:cNvPr id="496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619506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051292" cy="6350"/>
    <xdr:pic>
      <xdr:nvPicPr>
        <xdr:cNvPr id="496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051292" cy="6350"/>
    <xdr:pic>
      <xdr:nvPicPr>
        <xdr:cNvPr id="496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051292" cy="6350"/>
    <xdr:pic>
      <xdr:nvPicPr>
        <xdr:cNvPr id="496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051292" cy="6350"/>
    <xdr:pic>
      <xdr:nvPicPr>
        <xdr:cNvPr id="497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051292" cy="6350"/>
    <xdr:pic>
      <xdr:nvPicPr>
        <xdr:cNvPr id="497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051292" cy="6350"/>
    <xdr:pic>
      <xdr:nvPicPr>
        <xdr:cNvPr id="497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051292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7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7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7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7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7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7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79" name="图片 49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5" name="图片 49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89" name="图片 49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1" name="图片 49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7" name="图片 49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499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3" name="图片 5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09" name="图片 50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5" name="图片 50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7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1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1" name="图片 50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3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6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7" name="图片 50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8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29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30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31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234950</xdr:colOff>
      <xdr:row>444</xdr:row>
      <xdr:rowOff>0</xdr:rowOff>
    </xdr:from>
    <xdr:ext cx="1579413" cy="6350"/>
    <xdr:pic>
      <xdr:nvPicPr>
        <xdr:cNvPr id="5032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950" y="49530000"/>
          <a:ext cx="1579413" cy="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142875</xdr:colOff>
      <xdr:row>372</xdr:row>
      <xdr:rowOff>76200</xdr:rowOff>
    </xdr:from>
    <xdr:to>
      <xdr:col>7</xdr:col>
      <xdr:colOff>504825</xdr:colOff>
      <xdr:row>385</xdr:row>
      <xdr:rowOff>19254</xdr:rowOff>
    </xdr:to>
    <xdr:pic>
      <xdr:nvPicPr>
        <xdr:cNvPr id="5035" name="图片 50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67694175"/>
          <a:ext cx="1733550" cy="2419554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446</xdr:row>
      <xdr:rowOff>76200</xdr:rowOff>
    </xdr:from>
    <xdr:to>
      <xdr:col>7</xdr:col>
      <xdr:colOff>609600</xdr:colOff>
      <xdr:row>459</xdr:row>
      <xdr:rowOff>12048</xdr:rowOff>
    </xdr:to>
    <xdr:pic>
      <xdr:nvPicPr>
        <xdr:cNvPr id="5037" name="图片 50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9725" y="81105375"/>
          <a:ext cx="1628775" cy="24123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58"/>
  <sheetViews>
    <sheetView tabSelected="1" view="pageBreakPreview" topLeftCell="D1" zoomScale="98" zoomScaleNormal="100" zoomScaleSheetLayoutView="98" workbookViewId="0">
      <pane ySplit="5" topLeftCell="A6" activePane="bottomLeft" state="frozen"/>
      <selection activeCell="D1" sqref="D1"/>
      <selection pane="bottomLeft" activeCell="H23" sqref="H23"/>
    </sheetView>
  </sheetViews>
  <sheetFormatPr defaultRowHeight="13.5" outlineLevelCol="1" x14ac:dyDescent="0.15"/>
  <cols>
    <col min="1" max="1" width="9" style="1" hidden="1" customWidth="1" outlineLevel="1"/>
    <col min="2" max="2" width="11.375" style="1" hidden="1" customWidth="1" outlineLevel="1"/>
    <col min="3" max="3" width="16.875" style="1" hidden="1" customWidth="1" outlineLevel="1"/>
    <col min="4" max="4" width="11.25" style="1" customWidth="1" collapsed="1"/>
    <col min="5" max="5" width="9.625" style="1" customWidth="1"/>
    <col min="6" max="6" width="11.375" style="334" customWidth="1"/>
    <col min="7" max="7" width="7.875" style="1" customWidth="1"/>
    <col min="8" max="8" width="8.875" style="1" customWidth="1"/>
    <col min="9" max="9" width="5.875" style="1" customWidth="1"/>
    <col min="10" max="10" width="10.625" style="1" customWidth="1"/>
    <col min="11" max="13" width="9" style="1"/>
    <col min="14" max="17" width="9" style="1" customWidth="1" outlineLevel="1"/>
    <col min="18" max="18" width="9" style="1"/>
    <col min="19" max="21" width="9" style="171" hidden="1" customWidth="1" outlineLevel="1"/>
    <col min="22" max="22" width="9" style="1" collapsed="1"/>
    <col min="23" max="31" width="9" style="1"/>
    <col min="32" max="32" width="9.125" style="1" bestFit="1" customWidth="1"/>
    <col min="33" max="36" width="9" style="1"/>
    <col min="37" max="38" width="9.125" style="1" bestFit="1" customWidth="1"/>
    <col min="39" max="40" width="9" style="1"/>
    <col min="41" max="41" width="9.625" style="1" customWidth="1"/>
    <col min="42" max="16384" width="9" style="1"/>
  </cols>
  <sheetData>
    <row r="1" spans="1:47" s="119" customFormat="1" ht="20.25" x14ac:dyDescent="0.2">
      <c r="B1" s="511" t="s">
        <v>908</v>
      </c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  <c r="U1" s="511"/>
      <c r="V1" s="511"/>
      <c r="W1" s="511"/>
      <c r="X1" s="511"/>
      <c r="Y1" s="511"/>
      <c r="Z1" s="511"/>
      <c r="AA1" s="511"/>
      <c r="AB1" s="511"/>
      <c r="AC1" s="511"/>
      <c r="AD1" s="511"/>
      <c r="AE1" s="511"/>
      <c r="AF1" s="511"/>
      <c r="AG1" s="511"/>
      <c r="AH1" s="511"/>
      <c r="AI1" s="511"/>
      <c r="AJ1" s="511"/>
      <c r="AK1" s="511"/>
      <c r="AL1" s="511"/>
      <c r="AM1" s="511"/>
      <c r="AN1" s="511"/>
      <c r="AO1" s="511"/>
      <c r="AP1" s="120"/>
      <c r="AQ1" s="120"/>
      <c r="AR1" s="120"/>
    </row>
    <row r="2" spans="1:47" s="119" customFormat="1" ht="20.25" x14ac:dyDescent="0.2"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120"/>
      <c r="AQ2" s="120"/>
      <c r="AR2" s="120"/>
    </row>
    <row r="3" spans="1:47" s="122" customFormat="1" ht="24" x14ac:dyDescent="0.15">
      <c r="A3" s="513" t="s">
        <v>152</v>
      </c>
      <c r="B3" s="515" t="s">
        <v>153</v>
      </c>
      <c r="C3" s="502" t="s">
        <v>154</v>
      </c>
      <c r="D3" s="502" t="s">
        <v>903</v>
      </c>
      <c r="E3" s="502" t="s">
        <v>904</v>
      </c>
      <c r="F3" s="516" t="s">
        <v>155</v>
      </c>
      <c r="G3" s="516" t="s">
        <v>156</v>
      </c>
      <c r="H3" s="517" t="s">
        <v>157</v>
      </c>
      <c r="I3" s="521" t="s">
        <v>158</v>
      </c>
      <c r="J3" s="522"/>
      <c r="K3" s="516" t="s">
        <v>159</v>
      </c>
      <c r="L3" s="519" t="s">
        <v>7</v>
      </c>
      <c r="M3" s="520"/>
      <c r="N3" s="519" t="s">
        <v>160</v>
      </c>
      <c r="O3" s="520"/>
      <c r="P3" s="519" t="s">
        <v>161</v>
      </c>
      <c r="Q3" s="520"/>
      <c r="R3" s="525" t="s">
        <v>162</v>
      </c>
      <c r="S3" s="526" t="s">
        <v>163</v>
      </c>
      <c r="T3" s="527"/>
      <c r="U3" s="528"/>
      <c r="V3" s="504" t="s">
        <v>164</v>
      </c>
      <c r="W3" s="504" t="s">
        <v>165</v>
      </c>
      <c r="X3" s="504" t="s">
        <v>166</v>
      </c>
      <c r="Y3" s="504" t="s">
        <v>167</v>
      </c>
      <c r="Z3" s="506" t="s">
        <v>168</v>
      </c>
      <c r="AA3" s="507"/>
      <c r="AB3" s="507"/>
      <c r="AC3" s="507"/>
      <c r="AD3" s="507"/>
      <c r="AE3" s="508"/>
      <c r="AF3" s="162" t="s">
        <v>188</v>
      </c>
      <c r="AG3" s="162" t="s">
        <v>189</v>
      </c>
      <c r="AH3" s="162" t="s">
        <v>190</v>
      </c>
      <c r="AI3" s="163" t="s">
        <v>191</v>
      </c>
      <c r="AJ3" s="163" t="s">
        <v>192</v>
      </c>
      <c r="AK3" s="163" t="s">
        <v>193</v>
      </c>
      <c r="AL3" s="505" t="s">
        <v>169</v>
      </c>
      <c r="AM3" s="505" t="s">
        <v>170</v>
      </c>
      <c r="AN3" s="505" t="s">
        <v>171</v>
      </c>
      <c r="AO3" s="505" t="s">
        <v>172</v>
      </c>
      <c r="AP3" s="506" t="s">
        <v>173</v>
      </c>
      <c r="AQ3" s="507"/>
      <c r="AR3" s="508"/>
      <c r="AS3" s="506" t="s">
        <v>174</v>
      </c>
      <c r="AT3" s="507"/>
      <c r="AU3" s="508"/>
    </row>
    <row r="4" spans="1:47" s="122" customFormat="1" ht="24" x14ac:dyDescent="0.15">
      <c r="A4" s="514"/>
      <c r="B4" s="515"/>
      <c r="C4" s="503"/>
      <c r="D4" s="503"/>
      <c r="E4" s="503"/>
      <c r="F4" s="516"/>
      <c r="G4" s="516"/>
      <c r="H4" s="518"/>
      <c r="I4" s="523"/>
      <c r="J4" s="524"/>
      <c r="K4" s="516"/>
      <c r="L4" s="123" t="s">
        <v>175</v>
      </c>
      <c r="M4" s="123" t="s">
        <v>176</v>
      </c>
      <c r="N4" s="124" t="s">
        <v>177</v>
      </c>
      <c r="O4" s="124" t="s">
        <v>178</v>
      </c>
      <c r="P4" s="123" t="s">
        <v>175</v>
      </c>
      <c r="Q4" s="123" t="s">
        <v>176</v>
      </c>
      <c r="R4" s="525"/>
      <c r="S4" s="162" t="s">
        <v>179</v>
      </c>
      <c r="T4" s="162" t="s">
        <v>180</v>
      </c>
      <c r="U4" s="162" t="s">
        <v>181</v>
      </c>
      <c r="V4" s="504"/>
      <c r="W4" s="504"/>
      <c r="X4" s="504"/>
      <c r="Y4" s="504"/>
      <c r="Z4" s="124" t="s">
        <v>182</v>
      </c>
      <c r="AA4" s="125" t="s">
        <v>183</v>
      </c>
      <c r="AB4" s="125" t="s">
        <v>184</v>
      </c>
      <c r="AC4" s="125" t="s">
        <v>185</v>
      </c>
      <c r="AD4" s="125" t="s">
        <v>186</v>
      </c>
      <c r="AE4" s="125" t="s">
        <v>187</v>
      </c>
      <c r="AF4" s="162" t="s">
        <v>452</v>
      </c>
      <c r="AG4" s="162" t="s">
        <v>452</v>
      </c>
      <c r="AH4" s="164">
        <v>0.08</v>
      </c>
      <c r="AI4" s="165">
        <v>0.09</v>
      </c>
      <c r="AJ4" s="162" t="s">
        <v>452</v>
      </c>
      <c r="AK4" s="162" t="s">
        <v>452</v>
      </c>
      <c r="AL4" s="505"/>
      <c r="AM4" s="505"/>
      <c r="AN4" s="505"/>
      <c r="AO4" s="505"/>
      <c r="AP4" s="124" t="s">
        <v>453</v>
      </c>
      <c r="AQ4" s="124" t="s">
        <v>454</v>
      </c>
      <c r="AR4" s="124" t="s">
        <v>455</v>
      </c>
      <c r="AS4" s="124" t="s">
        <v>453</v>
      </c>
      <c r="AT4" s="124" t="s">
        <v>454</v>
      </c>
      <c r="AU4" s="124" t="s">
        <v>455</v>
      </c>
    </row>
    <row r="5" spans="1:47" s="122" customFormat="1" ht="48" x14ac:dyDescent="0.15">
      <c r="A5" s="126" t="s">
        <v>194</v>
      </c>
      <c r="B5" s="127"/>
      <c r="C5" s="128" t="s">
        <v>195</v>
      </c>
      <c r="D5" s="128" t="s">
        <v>907</v>
      </c>
      <c r="E5" s="128" t="s">
        <v>1510</v>
      </c>
      <c r="F5" s="128" t="s">
        <v>196</v>
      </c>
      <c r="G5" s="128" t="s">
        <v>196</v>
      </c>
      <c r="H5" s="128" t="s">
        <v>197</v>
      </c>
      <c r="I5" s="509" t="s">
        <v>197</v>
      </c>
      <c r="J5" s="510"/>
      <c r="K5" s="128" t="s">
        <v>198</v>
      </c>
      <c r="L5" s="128" t="s">
        <v>199</v>
      </c>
      <c r="M5" s="128" t="s">
        <v>199</v>
      </c>
      <c r="N5" s="128" t="s">
        <v>199</v>
      </c>
      <c r="O5" s="128" t="s">
        <v>199</v>
      </c>
      <c r="P5" s="128" t="s">
        <v>200</v>
      </c>
      <c r="Q5" s="128" t="s">
        <v>200</v>
      </c>
      <c r="R5" s="128" t="s">
        <v>201</v>
      </c>
      <c r="S5" s="128" t="s">
        <v>456</v>
      </c>
      <c r="T5" s="128" t="s">
        <v>456</v>
      </c>
      <c r="U5" s="128" t="s">
        <v>456</v>
      </c>
      <c r="V5" s="128" t="s">
        <v>202</v>
      </c>
      <c r="W5" s="128" t="s">
        <v>203</v>
      </c>
      <c r="X5" s="128" t="s">
        <v>204</v>
      </c>
      <c r="Y5" s="128" t="s">
        <v>205</v>
      </c>
      <c r="Z5" s="129" t="s">
        <v>206</v>
      </c>
      <c r="AA5" s="129" t="s">
        <v>207</v>
      </c>
      <c r="AB5" s="129" t="s">
        <v>207</v>
      </c>
      <c r="AC5" s="129" t="s">
        <v>207</v>
      </c>
      <c r="AD5" s="129" t="s">
        <v>207</v>
      </c>
      <c r="AE5" s="129" t="s">
        <v>207</v>
      </c>
      <c r="AF5" s="129" t="s">
        <v>207</v>
      </c>
      <c r="AG5" s="129" t="s">
        <v>207</v>
      </c>
      <c r="AH5" s="129" t="s">
        <v>207</v>
      </c>
      <c r="AI5" s="129" t="s">
        <v>207</v>
      </c>
      <c r="AJ5" s="129" t="s">
        <v>208</v>
      </c>
      <c r="AK5" s="129" t="s">
        <v>209</v>
      </c>
      <c r="AL5" s="129" t="s">
        <v>210</v>
      </c>
      <c r="AM5" s="129" t="s">
        <v>211</v>
      </c>
      <c r="AN5" s="129" t="s">
        <v>212</v>
      </c>
      <c r="AO5" s="129" t="s">
        <v>213</v>
      </c>
      <c r="AP5" s="129" t="s">
        <v>214</v>
      </c>
      <c r="AQ5" s="129" t="s">
        <v>214</v>
      </c>
      <c r="AR5" s="129" t="s">
        <v>214</v>
      </c>
      <c r="AS5" s="129" t="s">
        <v>215</v>
      </c>
      <c r="AT5" s="129" t="s">
        <v>215</v>
      </c>
      <c r="AU5" s="129" t="s">
        <v>215</v>
      </c>
    </row>
    <row r="6" spans="1:47" s="172" customFormat="1" ht="12" x14ac:dyDescent="0.15">
      <c r="B6" s="121"/>
      <c r="C6" s="121"/>
      <c r="D6" s="322" t="s">
        <v>905</v>
      </c>
      <c r="E6" s="175" t="s">
        <v>1511</v>
      </c>
      <c r="F6" s="173" t="s">
        <v>1512</v>
      </c>
      <c r="G6" s="174"/>
      <c r="H6" s="175"/>
      <c r="I6" s="176">
        <f>INDEX(内开窗!G:G,(ROW(B1)-1)*69+COLUMN(A1)*2)</f>
        <v>65</v>
      </c>
      <c r="J6" s="177" t="s">
        <v>451</v>
      </c>
      <c r="K6" s="177"/>
      <c r="L6" s="178">
        <f>INDEX(内开窗!K:K,(ROW(B1)-1)*69+COLUMN(A1)*2)</f>
        <v>600</v>
      </c>
      <c r="M6" s="178">
        <f>INDEX(内开窗!M:M,(ROW(B1)-1)*69+COLUMN(A1)*2)</f>
        <v>1400</v>
      </c>
      <c r="N6" s="178">
        <f>INDEX(内开窗!M:M,(ROW(B1)-1)*69+COLUMN(A1)*13)</f>
        <v>50</v>
      </c>
      <c r="O6" s="178">
        <f>N6</f>
        <v>50</v>
      </c>
      <c r="P6" s="179">
        <f>L6-N6*2</f>
        <v>500</v>
      </c>
      <c r="Q6" s="121">
        <f>M6-O6*2</f>
        <v>1300</v>
      </c>
      <c r="R6" s="121">
        <f>SUM(S6:U6)</f>
        <v>3</v>
      </c>
      <c r="S6" s="167">
        <v>1</v>
      </c>
      <c r="T6" s="167">
        <v>1</v>
      </c>
      <c r="U6" s="167">
        <v>1</v>
      </c>
      <c r="V6" s="180">
        <f>INDEX(内开窗!M:M,(ROW(B1)-1)*69+COLUMN(A1)*14)</f>
        <v>0.84</v>
      </c>
      <c r="W6" s="180">
        <f>R6*V6</f>
        <v>2.52</v>
      </c>
      <c r="X6" s="180">
        <f>P6*Q6/1000000</f>
        <v>0.65</v>
      </c>
      <c r="Y6" s="180">
        <f>X6*R6</f>
        <v>1.9500000000000002</v>
      </c>
      <c r="Z6" s="181">
        <f>INDEX(内开窗!M:M,(ROW(B1)-1)*69+COLUMN(A1)*41)/V6</f>
        <v>11.009535714285713</v>
      </c>
      <c r="AA6" s="181">
        <f>INDEX(内开窗!M:M,(ROW(B1)-1)*69+COLUMN(A1)*49)/V6</f>
        <v>0.49714285714285722</v>
      </c>
      <c r="AB6" s="181"/>
      <c r="AC6" s="181">
        <f>INDEX(内开窗!M:M,(ROW(B1)-1)*69+COLUMN(A1)*52)/V6</f>
        <v>1.1904761904761905</v>
      </c>
      <c r="AD6" s="181"/>
      <c r="AE6" s="181"/>
      <c r="AF6" s="181">
        <f>INDEX(内开窗!O:O,(ROW(B1)-1)*69+COLUMN(A1)*64)/V6</f>
        <v>0</v>
      </c>
      <c r="AG6" s="181">
        <f>(INDEX(内开窗!O:O,(ROW(B1)-1)*69+COLUMN(A1)*66)+INDEX(内开窗!O:O,(ROW(B1)-1)*69+COLUMN(A1)*67))/V6</f>
        <v>0</v>
      </c>
      <c r="AH6" s="181">
        <f>SUM(AF6:AG6)*$AH$4</f>
        <v>0</v>
      </c>
      <c r="AI6" s="163">
        <f>SUM(AF6:AH6)*$AI$4</f>
        <v>0</v>
      </c>
      <c r="AJ6" s="163">
        <f>SUM(AF6:AG6)</f>
        <v>0</v>
      </c>
      <c r="AK6" s="163">
        <f>SUM(AF6:AI6)</f>
        <v>0</v>
      </c>
      <c r="AL6" s="163">
        <f>V6*AK6</f>
        <v>0</v>
      </c>
      <c r="AM6" s="163">
        <f>AJ6*V6</f>
        <v>0</v>
      </c>
      <c r="AN6" s="163">
        <f>AL6*R6</f>
        <v>0</v>
      </c>
      <c r="AO6" s="163">
        <f t="shared" ref="AO6:AO9" si="0">AL6*R6</f>
        <v>0</v>
      </c>
      <c r="AP6" s="163">
        <f>AL6*S6</f>
        <v>0</v>
      </c>
      <c r="AQ6" s="163">
        <f>AL6*T6</f>
        <v>0</v>
      </c>
      <c r="AR6" s="163">
        <f>U6*AL6</f>
        <v>0</v>
      </c>
      <c r="AS6" s="163">
        <f>AM6*S6</f>
        <v>0</v>
      </c>
      <c r="AT6" s="163">
        <f>AM6*T6</f>
        <v>0</v>
      </c>
      <c r="AU6" s="163">
        <f>AM6*U6</f>
        <v>0</v>
      </c>
    </row>
    <row r="7" spans="1:47" s="172" customFormat="1" ht="12" x14ac:dyDescent="0.15">
      <c r="B7" s="121"/>
      <c r="C7" s="121"/>
      <c r="D7" s="385" t="s">
        <v>905</v>
      </c>
      <c r="E7" s="175" t="s">
        <v>1511</v>
      </c>
      <c r="F7" s="173" t="s">
        <v>1513</v>
      </c>
      <c r="G7" s="174"/>
      <c r="H7" s="182"/>
      <c r="I7" s="176">
        <f>INDEX(内开窗!G:G,(ROW(B2)-1)*69+COLUMN(A2)*2)</f>
        <v>65</v>
      </c>
      <c r="J7" s="177" t="s">
        <v>451</v>
      </c>
      <c r="K7" s="180"/>
      <c r="L7" s="178">
        <f>INDEX(内开窗!K:K,(ROW(B2)-1)*69+COLUMN(A2)*2)</f>
        <v>1700</v>
      </c>
      <c r="M7" s="178">
        <f>INDEX(内开窗!M:M,(ROW(B2)-1)*69+COLUMN(A2)*2)</f>
        <v>1400</v>
      </c>
      <c r="N7" s="178">
        <f>INDEX(内开窗!M:M,(ROW(B2)-1)*69+COLUMN(A2)*13)</f>
        <v>50</v>
      </c>
      <c r="O7" s="178">
        <f t="shared" ref="O7:O19" si="1">N7</f>
        <v>50</v>
      </c>
      <c r="P7" s="179">
        <f t="shared" ref="P7:P19" si="2">L7-N7*2</f>
        <v>1600</v>
      </c>
      <c r="Q7" s="385">
        <f t="shared" ref="Q7:Q19" si="3">M7-O7*2</f>
        <v>1300</v>
      </c>
      <c r="R7" s="121">
        <f t="shared" ref="R7:R19" si="4">SUM(S7:U7)</f>
        <v>0</v>
      </c>
      <c r="S7" s="168"/>
      <c r="T7" s="168"/>
      <c r="U7" s="168"/>
      <c r="V7" s="180">
        <f>INDEX(内开窗!M:M,(ROW(B2)-1)*69+COLUMN(A2)*14)</f>
        <v>2.38</v>
      </c>
      <c r="W7" s="180">
        <f t="shared" ref="W7:W19" si="5">R7*V7</f>
        <v>0</v>
      </c>
      <c r="X7" s="180">
        <f t="shared" ref="X7:X19" si="6">P7*Q7/1000000</f>
        <v>2.08</v>
      </c>
      <c r="Y7" s="180">
        <f t="shared" ref="Y7:Y19" si="7">X7*R7</f>
        <v>0</v>
      </c>
      <c r="Z7" s="181">
        <f>INDEX(内开窗!M:M,(ROW(B2)-1)*69+COLUMN(A2)*41)/V7</f>
        <v>6.1898903361344546</v>
      </c>
      <c r="AA7" s="181">
        <f>INDEX(内开窗!M:M,(ROW(B2)-1)*69+COLUMN(A2)*49)/V7</f>
        <v>0.71889327731092445</v>
      </c>
      <c r="AB7" s="181"/>
      <c r="AC7" s="181">
        <f>INDEX(内开窗!M:M,(ROW(B2)-1)*69+COLUMN(A2)*52)/V7</f>
        <v>0.42016806722689076</v>
      </c>
      <c r="AD7" s="181"/>
      <c r="AE7" s="181"/>
      <c r="AF7" s="181">
        <f>INDEX(内开窗!O:O,(ROW(B2)-1)*69+COLUMN(A2)*64)/V7</f>
        <v>0</v>
      </c>
      <c r="AG7" s="181">
        <f>(INDEX(内开窗!O:O,(ROW(B2)-1)*69+COLUMN(A2)*66)+INDEX(内开窗!O:O,(ROW(B2)-1)*69+COLUMN(A2)*67))/V7</f>
        <v>0</v>
      </c>
      <c r="AH7" s="181">
        <f t="shared" ref="AH7:AH10" si="8">SUM(AF7:AG7)*$AH$4</f>
        <v>0</v>
      </c>
      <c r="AI7" s="163">
        <f t="shared" ref="AI7:AI10" si="9">SUM(AF7:AH7)*$AI$4</f>
        <v>0</v>
      </c>
      <c r="AJ7" s="163">
        <f t="shared" ref="AJ7:AJ10" si="10">SUM(AF7:AG7)</f>
        <v>0</v>
      </c>
      <c r="AK7" s="163">
        <f t="shared" ref="AK7:AK10" si="11">SUM(AF7:AI7)</f>
        <v>0</v>
      </c>
      <c r="AL7" s="163">
        <f t="shared" ref="AL7:AL10" si="12">V7*AK7</f>
        <v>0</v>
      </c>
      <c r="AM7" s="163">
        <f t="shared" ref="AM7:AM10" si="13">AJ7*V7</f>
        <v>0</v>
      </c>
      <c r="AN7" s="163">
        <f t="shared" ref="AN7:AN10" si="14">AL7*R7</f>
        <v>0</v>
      </c>
      <c r="AO7" s="163">
        <f t="shared" si="0"/>
        <v>0</v>
      </c>
      <c r="AP7" s="163">
        <f t="shared" ref="AP7:AP10" si="15">AL7*S7</f>
        <v>0</v>
      </c>
      <c r="AQ7" s="163">
        <f t="shared" ref="AQ7:AQ10" si="16">AL7*T7</f>
        <v>0</v>
      </c>
      <c r="AR7" s="163">
        <f t="shared" ref="AR7:AR10" si="17">U7*AL7</f>
        <v>0</v>
      </c>
      <c r="AS7" s="163">
        <f t="shared" ref="AS7:AS10" si="18">AM7*S7</f>
        <v>0</v>
      </c>
      <c r="AT7" s="163">
        <f t="shared" ref="AT7:AT10" si="19">AM7*T7</f>
        <v>0</v>
      </c>
      <c r="AU7" s="163">
        <f t="shared" ref="AU7:AU10" si="20">AM7*U7</f>
        <v>0</v>
      </c>
    </row>
    <row r="8" spans="1:47" s="172" customFormat="1" ht="12" x14ac:dyDescent="0.15">
      <c r="B8" s="121"/>
      <c r="C8" s="121"/>
      <c r="D8" s="385" t="s">
        <v>905</v>
      </c>
      <c r="E8" s="175" t="s">
        <v>1511</v>
      </c>
      <c r="F8" s="173" t="s">
        <v>1514</v>
      </c>
      <c r="G8" s="174"/>
      <c r="H8" s="182"/>
      <c r="I8" s="176">
        <f>INDEX(内开窗!G:G,(ROW(B3)-1)*69+COLUMN(A3)*2)</f>
        <v>65</v>
      </c>
      <c r="J8" s="177" t="s">
        <v>451</v>
      </c>
      <c r="K8" s="180"/>
      <c r="L8" s="178">
        <f>INDEX(内开窗!K:K,(ROW(B3)-1)*69+COLUMN(A3)*2)</f>
        <v>1300</v>
      </c>
      <c r="M8" s="178">
        <f>INDEX(内开窗!M:M,(ROW(B3)-1)*69+COLUMN(A3)*2)</f>
        <v>1400</v>
      </c>
      <c r="N8" s="178">
        <f>INDEX(内开窗!M:M,(ROW(B3)-1)*69+COLUMN(A3)*13)</f>
        <v>50</v>
      </c>
      <c r="O8" s="178">
        <f t="shared" si="1"/>
        <v>50</v>
      </c>
      <c r="P8" s="179">
        <f t="shared" si="2"/>
        <v>1200</v>
      </c>
      <c r="Q8" s="385">
        <f t="shared" si="3"/>
        <v>1300</v>
      </c>
      <c r="R8" s="385">
        <f t="shared" si="4"/>
        <v>0</v>
      </c>
      <c r="S8" s="168"/>
      <c r="T8" s="168"/>
      <c r="U8" s="168"/>
      <c r="V8" s="180">
        <f>INDEX(内开窗!M:M,(ROW(B3)-1)*69+COLUMN(A3)*14)</f>
        <v>1.82</v>
      </c>
      <c r="W8" s="180">
        <f t="shared" si="5"/>
        <v>0</v>
      </c>
      <c r="X8" s="180">
        <f t="shared" si="6"/>
        <v>1.56</v>
      </c>
      <c r="Y8" s="180">
        <f t="shared" si="7"/>
        <v>0</v>
      </c>
      <c r="Z8" s="181">
        <f>INDEX(内开窗!M:M,(ROW(B3)-1)*69+COLUMN(A3)*41)/V8</f>
        <v>9.9754898901098912</v>
      </c>
      <c r="AA8" s="181">
        <f>INDEX(内开窗!M:M,(ROW(B3)-1)*69+COLUMN(A3)*49)/V8</f>
        <v>0.61123076923076924</v>
      </c>
      <c r="AB8" s="181"/>
      <c r="AC8" s="181">
        <f>INDEX(内开窗!M:M,(ROW(B3)-1)*69+COLUMN(A3)*52)/V8</f>
        <v>1.0989010989010988</v>
      </c>
      <c r="AD8" s="181"/>
      <c r="AE8" s="181"/>
      <c r="AF8" s="181">
        <f>INDEX(内开窗!O:O,(ROW(B3)-1)*69+COLUMN(A3)*64)/V8</f>
        <v>0</v>
      </c>
      <c r="AG8" s="181">
        <f>(INDEX(内开窗!O:O,(ROW(B3)-1)*69+COLUMN(A3)*66)+INDEX(内开窗!O:O,(ROW(B3)-1)*69+COLUMN(A3)*67))/V8</f>
        <v>0</v>
      </c>
      <c r="AH8" s="181">
        <f t="shared" si="8"/>
        <v>0</v>
      </c>
      <c r="AI8" s="163">
        <f t="shared" si="9"/>
        <v>0</v>
      </c>
      <c r="AJ8" s="163">
        <f t="shared" si="10"/>
        <v>0</v>
      </c>
      <c r="AK8" s="163">
        <f t="shared" si="11"/>
        <v>0</v>
      </c>
      <c r="AL8" s="163">
        <f t="shared" si="12"/>
        <v>0</v>
      </c>
      <c r="AM8" s="163">
        <f t="shared" si="13"/>
        <v>0</v>
      </c>
      <c r="AN8" s="163">
        <f t="shared" si="14"/>
        <v>0</v>
      </c>
      <c r="AO8" s="163">
        <f t="shared" si="0"/>
        <v>0</v>
      </c>
      <c r="AP8" s="163">
        <f t="shared" si="15"/>
        <v>0</v>
      </c>
      <c r="AQ8" s="163">
        <f t="shared" si="16"/>
        <v>0</v>
      </c>
      <c r="AR8" s="163">
        <f t="shared" si="17"/>
        <v>0</v>
      </c>
      <c r="AS8" s="163">
        <f t="shared" si="18"/>
        <v>0</v>
      </c>
      <c r="AT8" s="163">
        <f t="shared" si="19"/>
        <v>0</v>
      </c>
      <c r="AU8" s="163">
        <f t="shared" si="20"/>
        <v>0</v>
      </c>
    </row>
    <row r="9" spans="1:47" s="172" customFormat="1" ht="12" x14ac:dyDescent="0.15">
      <c r="B9" s="121"/>
      <c r="C9" s="121"/>
      <c r="D9" s="385" t="s">
        <v>905</v>
      </c>
      <c r="E9" s="175" t="s">
        <v>1511</v>
      </c>
      <c r="F9" s="173" t="s">
        <v>1515</v>
      </c>
      <c r="G9" s="174"/>
      <c r="H9" s="182"/>
      <c r="I9" s="176">
        <f>INDEX(内开窗!G:G,(ROW(B4)-1)*69+COLUMN(A4)*2)</f>
        <v>65</v>
      </c>
      <c r="J9" s="177" t="s">
        <v>451</v>
      </c>
      <c r="K9" s="180"/>
      <c r="L9" s="178">
        <f>INDEX(内开窗!K:K,(ROW(B4)-1)*69+COLUMN(A4)*2)</f>
        <v>2100</v>
      </c>
      <c r="M9" s="178">
        <f>INDEX(内开窗!M:M,(ROW(B4)-1)*69+COLUMN(A4)*2)</f>
        <v>1400</v>
      </c>
      <c r="N9" s="178">
        <f>INDEX(内开窗!M:M,(ROW(B4)-1)*69+COLUMN(A4)*13)</f>
        <v>50</v>
      </c>
      <c r="O9" s="178">
        <f t="shared" si="1"/>
        <v>50</v>
      </c>
      <c r="P9" s="179">
        <f t="shared" si="2"/>
        <v>2000</v>
      </c>
      <c r="Q9" s="385">
        <f t="shared" si="3"/>
        <v>1300</v>
      </c>
      <c r="R9" s="385">
        <f t="shared" si="4"/>
        <v>0</v>
      </c>
      <c r="S9" s="168"/>
      <c r="T9" s="168"/>
      <c r="U9" s="168"/>
      <c r="V9" s="180">
        <f>INDEX(内开窗!M:M,(ROW(B4)-1)*69+COLUMN(A4)*14)</f>
        <v>2.94</v>
      </c>
      <c r="W9" s="180">
        <f t="shared" si="5"/>
        <v>0</v>
      </c>
      <c r="X9" s="180">
        <f t="shared" si="6"/>
        <v>2.6</v>
      </c>
      <c r="Y9" s="180">
        <f t="shared" si="7"/>
        <v>0</v>
      </c>
      <c r="Z9" s="181">
        <f>INDEX(内开窗!M:M,(ROW(B4)-1)*69+COLUMN(A4)*41)/V9</f>
        <v>7.0193122448979608</v>
      </c>
      <c r="AA9" s="181">
        <f>INDEX(内开窗!M:M,(ROW(B4)-1)*69+COLUMN(A4)*49)/V9</f>
        <v>0.68920612244897961</v>
      </c>
      <c r="AB9" s="181"/>
      <c r="AC9" s="181">
        <f>INDEX(内开窗!M:M,(ROW(B4)-1)*69+COLUMN(A4)*52)/V9</f>
        <v>0.68027210884353739</v>
      </c>
      <c r="AD9" s="181"/>
      <c r="AE9" s="181"/>
      <c r="AF9" s="181">
        <f>INDEX(内开窗!O:O,(ROW(B4)-1)*69+COLUMN(A4)*64)/V9</f>
        <v>0</v>
      </c>
      <c r="AG9" s="181">
        <f>(INDEX(内开窗!O:O,(ROW(B4)-1)*69+COLUMN(A4)*66)+INDEX(内开窗!O:O,(ROW(B4)-1)*69+COLUMN(A4)*67))/V9</f>
        <v>0</v>
      </c>
      <c r="AH9" s="181">
        <f t="shared" si="8"/>
        <v>0</v>
      </c>
      <c r="AI9" s="163">
        <f t="shared" si="9"/>
        <v>0</v>
      </c>
      <c r="AJ9" s="163">
        <f t="shared" si="10"/>
        <v>0</v>
      </c>
      <c r="AK9" s="163">
        <f t="shared" si="11"/>
        <v>0</v>
      </c>
      <c r="AL9" s="163">
        <f t="shared" si="12"/>
        <v>0</v>
      </c>
      <c r="AM9" s="163">
        <f t="shared" si="13"/>
        <v>0</v>
      </c>
      <c r="AN9" s="163">
        <f t="shared" si="14"/>
        <v>0</v>
      </c>
      <c r="AO9" s="163">
        <f t="shared" si="0"/>
        <v>0</v>
      </c>
      <c r="AP9" s="163">
        <f t="shared" si="15"/>
        <v>0</v>
      </c>
      <c r="AQ9" s="163">
        <f t="shared" si="16"/>
        <v>0</v>
      </c>
      <c r="AR9" s="163">
        <f t="shared" si="17"/>
        <v>0</v>
      </c>
      <c r="AS9" s="163">
        <f t="shared" si="18"/>
        <v>0</v>
      </c>
      <c r="AT9" s="163">
        <f t="shared" si="19"/>
        <v>0</v>
      </c>
      <c r="AU9" s="163">
        <f t="shared" si="20"/>
        <v>0</v>
      </c>
    </row>
    <row r="10" spans="1:47" s="172" customFormat="1" ht="12" x14ac:dyDescent="0.15">
      <c r="B10" s="121" t="s">
        <v>216</v>
      </c>
      <c r="C10" s="121" t="s">
        <v>217</v>
      </c>
      <c r="D10" s="385" t="s">
        <v>905</v>
      </c>
      <c r="E10" s="175" t="s">
        <v>1511</v>
      </c>
      <c r="F10" s="173" t="s">
        <v>1516</v>
      </c>
      <c r="G10" s="174"/>
      <c r="H10" s="182"/>
      <c r="I10" s="176">
        <f>INDEX(内开窗!G:G,(ROW(B5)-1)*69+COLUMN(A5)*2)</f>
        <v>65</v>
      </c>
      <c r="J10" s="177" t="s">
        <v>451</v>
      </c>
      <c r="K10" s="180"/>
      <c r="L10" s="178">
        <f>INDEX(内开窗!K:K,(ROW(B5)-1)*69+COLUMN(A5)*2)</f>
        <v>600</v>
      </c>
      <c r="M10" s="178">
        <f>INDEX(内开窗!M:M,(ROW(B5)-1)*69+COLUMN(A5)*2)</f>
        <v>1400</v>
      </c>
      <c r="N10" s="178">
        <f>INDEX(内开窗!M:M,(ROW(B5)-1)*69+COLUMN(A5)*13)</f>
        <v>50</v>
      </c>
      <c r="O10" s="178">
        <f t="shared" si="1"/>
        <v>50</v>
      </c>
      <c r="P10" s="179">
        <f t="shared" si="2"/>
        <v>500</v>
      </c>
      <c r="Q10" s="385">
        <f t="shared" si="3"/>
        <v>1300</v>
      </c>
      <c r="R10" s="385">
        <f t="shared" si="4"/>
        <v>0</v>
      </c>
      <c r="S10" s="168"/>
      <c r="T10" s="168"/>
      <c r="U10" s="168"/>
      <c r="V10" s="180">
        <f>INDEX(内开窗!M:M,(ROW(B5)-1)*69+COLUMN(A5)*14)</f>
        <v>0.84</v>
      </c>
      <c r="W10" s="180">
        <f t="shared" si="5"/>
        <v>0</v>
      </c>
      <c r="X10" s="180">
        <f t="shared" si="6"/>
        <v>0.65</v>
      </c>
      <c r="Y10" s="180">
        <f t="shared" si="7"/>
        <v>0</v>
      </c>
      <c r="Z10" s="181">
        <f>INDEX(内开窗!M:M,(ROW(B5)-1)*69+COLUMN(A5)*41)/V10</f>
        <v>10.788022619047618</v>
      </c>
      <c r="AA10" s="181">
        <f>INDEX(内开窗!M:M,(ROW(B5)-1)*69+COLUMN(A5)*49)/V10</f>
        <v>0.51245952380952386</v>
      </c>
      <c r="AB10" s="181"/>
      <c r="AC10" s="181">
        <f>INDEX(内开窗!M:M,(ROW(B5)-1)*69+COLUMN(A5)*52)/V10</f>
        <v>1.1904761904761905</v>
      </c>
      <c r="AD10" s="181"/>
      <c r="AE10" s="181"/>
      <c r="AF10" s="181">
        <f>INDEX(内开窗!O:O,(ROW(B5)-1)*69+COLUMN(A5)*64)/V10</f>
        <v>0</v>
      </c>
      <c r="AG10" s="181">
        <f>(INDEX(内开窗!O:O,(ROW(B5)-1)*69+COLUMN(A5)*66)+INDEX(内开窗!O:O,(ROW(B5)-1)*69+COLUMN(A5)*67))/V10</f>
        <v>0</v>
      </c>
      <c r="AH10" s="181">
        <f t="shared" si="8"/>
        <v>0</v>
      </c>
      <c r="AI10" s="163">
        <f t="shared" si="9"/>
        <v>0</v>
      </c>
      <c r="AJ10" s="163">
        <f t="shared" si="10"/>
        <v>0</v>
      </c>
      <c r="AK10" s="163">
        <f t="shared" si="11"/>
        <v>0</v>
      </c>
      <c r="AL10" s="163">
        <f t="shared" si="12"/>
        <v>0</v>
      </c>
      <c r="AM10" s="163">
        <f t="shared" si="13"/>
        <v>0</v>
      </c>
      <c r="AN10" s="163">
        <f t="shared" si="14"/>
        <v>0</v>
      </c>
      <c r="AO10" s="163">
        <f t="shared" ref="AO10:AO19" si="21">AL10*R10</f>
        <v>0</v>
      </c>
      <c r="AP10" s="163">
        <f t="shared" si="15"/>
        <v>0</v>
      </c>
      <c r="AQ10" s="163">
        <f t="shared" si="16"/>
        <v>0</v>
      </c>
      <c r="AR10" s="163">
        <f t="shared" si="17"/>
        <v>0</v>
      </c>
      <c r="AS10" s="163">
        <f t="shared" si="18"/>
        <v>0</v>
      </c>
      <c r="AT10" s="163">
        <f t="shared" si="19"/>
        <v>0</v>
      </c>
      <c r="AU10" s="163">
        <f t="shared" si="20"/>
        <v>0</v>
      </c>
    </row>
    <row r="11" spans="1:47" s="172" customFormat="1" ht="12" x14ac:dyDescent="0.15">
      <c r="B11" s="121" t="s">
        <v>218</v>
      </c>
      <c r="C11" s="121" t="s">
        <v>219</v>
      </c>
      <c r="D11" s="385" t="s">
        <v>905</v>
      </c>
      <c r="E11" s="175" t="s">
        <v>1511</v>
      </c>
      <c r="F11" s="173" t="s">
        <v>1517</v>
      </c>
      <c r="G11" s="174"/>
      <c r="H11" s="182"/>
      <c r="I11" s="176">
        <f>INDEX(内开窗!G:G,(ROW(B6)-1)*69+COLUMN(A6)*2)</f>
        <v>65</v>
      </c>
      <c r="J11" s="177" t="s">
        <v>451</v>
      </c>
      <c r="K11" s="180"/>
      <c r="L11" s="178">
        <f>INDEX(内开窗!K:K,(ROW(B6)-1)*69+COLUMN(A6)*2)</f>
        <v>1300</v>
      </c>
      <c r="M11" s="178">
        <f>INDEX(内开窗!M:M,(ROW(B6)-1)*69+COLUMN(A6)*2)</f>
        <v>1400</v>
      </c>
      <c r="N11" s="178">
        <f>INDEX(内开窗!M:M,(ROW(B6)-1)*69+COLUMN(A6)*13)</f>
        <v>50</v>
      </c>
      <c r="O11" s="178">
        <f t="shared" si="1"/>
        <v>50</v>
      </c>
      <c r="P11" s="179">
        <f t="shared" si="2"/>
        <v>1200</v>
      </c>
      <c r="Q11" s="385">
        <f t="shared" si="3"/>
        <v>1300</v>
      </c>
      <c r="R11" s="385">
        <f t="shared" si="4"/>
        <v>0</v>
      </c>
      <c r="S11" s="168"/>
      <c r="T11" s="168"/>
      <c r="U11" s="168"/>
      <c r="V11" s="180">
        <f>INDEX(内开窗!M:M,(ROW(B6)-1)*69+COLUMN(A6)*14)</f>
        <v>1.82</v>
      </c>
      <c r="W11" s="180">
        <f t="shared" si="5"/>
        <v>0</v>
      </c>
      <c r="X11" s="180">
        <f t="shared" si="6"/>
        <v>1.56</v>
      </c>
      <c r="Y11" s="180">
        <f t="shared" si="7"/>
        <v>0</v>
      </c>
      <c r="Z11" s="181">
        <f>INDEX(内开窗!M:M,(ROW(B6)-1)*69+COLUMN(A6)*41)/V11</f>
        <v>9.6712241758241753</v>
      </c>
      <c r="AA11" s="181">
        <f>INDEX(内开窗!M:M,(ROW(B6)-1)*69+COLUMN(A6)*49)/V11</f>
        <v>0.62198681318681315</v>
      </c>
      <c r="AB11" s="181"/>
      <c r="AC11" s="181">
        <f>INDEX(内开窗!M:M,(ROW(B6)-1)*69+COLUMN(A6)*52)/V11</f>
        <v>1.0989010989010988</v>
      </c>
      <c r="AD11" s="181"/>
      <c r="AE11" s="181"/>
      <c r="AF11" s="181">
        <f>INDEX(内开窗!O:O,(ROW(B6)-1)*69+COLUMN(A6)*64)/V11</f>
        <v>0</v>
      </c>
      <c r="AG11" s="181">
        <f>(INDEX(内开窗!O:O,(ROW(B6)-1)*69+COLUMN(A6)*66)+INDEX(内开窗!O:O,(ROW(B6)-1)*69+COLUMN(A6)*67))/V11</f>
        <v>0</v>
      </c>
      <c r="AH11" s="181">
        <f t="shared" ref="AH11:AH19" si="22">SUM(AF11:AG11)*$AH$4</f>
        <v>0</v>
      </c>
      <c r="AI11" s="163">
        <f t="shared" ref="AI11:AI19" si="23">SUM(AF11:AH11)*$AI$4</f>
        <v>0</v>
      </c>
      <c r="AJ11" s="163">
        <f t="shared" ref="AJ11:AJ19" si="24">SUM(AF11:AG11)</f>
        <v>0</v>
      </c>
      <c r="AK11" s="163">
        <f t="shared" ref="AK11:AK19" si="25">SUM(AF11:AI11)</f>
        <v>0</v>
      </c>
      <c r="AL11" s="163">
        <f t="shared" ref="AL11:AL19" si="26">V11*AK11</f>
        <v>0</v>
      </c>
      <c r="AM11" s="163">
        <f t="shared" ref="AM11:AM19" si="27">AJ11*V11</f>
        <v>0</v>
      </c>
      <c r="AN11" s="163">
        <f t="shared" ref="AN11:AN19" si="28">AL11*R11</f>
        <v>0</v>
      </c>
      <c r="AO11" s="163">
        <f t="shared" si="21"/>
        <v>0</v>
      </c>
      <c r="AP11" s="163">
        <f t="shared" ref="AP11:AP19" si="29">AL11*S11</f>
        <v>0</v>
      </c>
      <c r="AQ11" s="163">
        <f t="shared" ref="AQ11:AQ19" si="30">AL11*T11</f>
        <v>0</v>
      </c>
      <c r="AR11" s="163">
        <f t="shared" ref="AR11:AR19" si="31">U11*AL11</f>
        <v>0</v>
      </c>
      <c r="AS11" s="163">
        <f t="shared" ref="AS11:AS19" si="32">AM11*S11</f>
        <v>0</v>
      </c>
      <c r="AT11" s="163">
        <f t="shared" ref="AT11:AT19" si="33">AM11*T11</f>
        <v>0</v>
      </c>
      <c r="AU11" s="163">
        <f t="shared" ref="AU11:AU19" si="34">AM11*U11</f>
        <v>0</v>
      </c>
    </row>
    <row r="12" spans="1:47" s="172" customFormat="1" ht="12" x14ac:dyDescent="0.15">
      <c r="B12" s="121" t="s">
        <v>220</v>
      </c>
      <c r="C12" s="121" t="s">
        <v>221</v>
      </c>
      <c r="D12" s="385" t="s">
        <v>905</v>
      </c>
      <c r="E12" s="175" t="s">
        <v>1511</v>
      </c>
      <c r="F12" s="173" t="s">
        <v>1518</v>
      </c>
      <c r="G12" s="174"/>
      <c r="H12" s="182"/>
      <c r="I12" s="176">
        <f>INDEX(内开窗!G:G,(ROW(B7)-1)*69+COLUMN(A7)*2)</f>
        <v>55</v>
      </c>
      <c r="J12" s="177" t="s">
        <v>451</v>
      </c>
      <c r="K12" s="180"/>
      <c r="L12" s="178">
        <f>INDEX(内开窗!K:K,(ROW(B7)-1)*69+COLUMN(A7)*2)</f>
        <v>1700</v>
      </c>
      <c r="M12" s="178">
        <f>INDEX(内开窗!M:M,(ROW(B7)-1)*69+COLUMN(A7)*2)</f>
        <v>1400</v>
      </c>
      <c r="N12" s="178">
        <f>INDEX(内开窗!M:M,(ROW(B7)-1)*69+COLUMN(A7)*13)</f>
        <v>50</v>
      </c>
      <c r="O12" s="178">
        <f t="shared" si="1"/>
        <v>50</v>
      </c>
      <c r="P12" s="179">
        <f t="shared" si="2"/>
        <v>1600</v>
      </c>
      <c r="Q12" s="385">
        <f t="shared" si="3"/>
        <v>1300</v>
      </c>
      <c r="R12" s="385">
        <f t="shared" si="4"/>
        <v>0</v>
      </c>
      <c r="S12" s="168"/>
      <c r="T12" s="168"/>
      <c r="U12" s="168"/>
      <c r="V12" s="180">
        <f>INDEX(内开窗!M:M,(ROW(B7)-1)*69+COLUMN(A7)*14)</f>
        <v>2.38</v>
      </c>
      <c r="W12" s="180">
        <f t="shared" si="5"/>
        <v>0</v>
      </c>
      <c r="X12" s="180">
        <f t="shared" si="6"/>
        <v>2.08</v>
      </c>
      <c r="Y12" s="180">
        <f t="shared" si="7"/>
        <v>0</v>
      </c>
      <c r="Z12" s="181">
        <f>INDEX(内开窗!M:M,(ROW(B7)-1)*69+COLUMN(A7)*41)/V12</f>
        <v>6.2266514285714294</v>
      </c>
      <c r="AA12" s="181">
        <f>INDEX(内开窗!M:M,(ROW(B7)-1)*69+COLUMN(A7)*49)/V12</f>
        <v>0.71277983193277317</v>
      </c>
      <c r="AB12" s="181"/>
      <c r="AC12" s="181">
        <f>INDEX(内开窗!M:M,(ROW(B7)-1)*69+COLUMN(A7)*52)/V12</f>
        <v>0.42016806722689076</v>
      </c>
      <c r="AD12" s="181"/>
      <c r="AE12" s="181"/>
      <c r="AF12" s="181">
        <f>INDEX(内开窗!O:O,(ROW(B7)-1)*69+COLUMN(A7)*64)/V12</f>
        <v>0</v>
      </c>
      <c r="AG12" s="181">
        <f>(INDEX(内开窗!O:O,(ROW(B7)-1)*69+COLUMN(A7)*66)+INDEX(内开窗!O:O,(ROW(B7)-1)*69+COLUMN(A7)*67))/V12</f>
        <v>0</v>
      </c>
      <c r="AH12" s="181">
        <f t="shared" si="22"/>
        <v>0</v>
      </c>
      <c r="AI12" s="163">
        <f t="shared" si="23"/>
        <v>0</v>
      </c>
      <c r="AJ12" s="163">
        <f t="shared" si="24"/>
        <v>0</v>
      </c>
      <c r="AK12" s="163">
        <f t="shared" si="25"/>
        <v>0</v>
      </c>
      <c r="AL12" s="163">
        <f t="shared" si="26"/>
        <v>0</v>
      </c>
      <c r="AM12" s="163">
        <f t="shared" si="27"/>
        <v>0</v>
      </c>
      <c r="AN12" s="163">
        <f t="shared" si="28"/>
        <v>0</v>
      </c>
      <c r="AO12" s="163">
        <f t="shared" si="21"/>
        <v>0</v>
      </c>
      <c r="AP12" s="163">
        <f t="shared" si="29"/>
        <v>0</v>
      </c>
      <c r="AQ12" s="163">
        <f t="shared" si="30"/>
        <v>0</v>
      </c>
      <c r="AR12" s="163">
        <f t="shared" si="31"/>
        <v>0</v>
      </c>
      <c r="AS12" s="163">
        <f t="shared" si="32"/>
        <v>0</v>
      </c>
      <c r="AT12" s="163">
        <f t="shared" si="33"/>
        <v>0</v>
      </c>
      <c r="AU12" s="163">
        <f t="shared" si="34"/>
        <v>0</v>
      </c>
    </row>
    <row r="13" spans="1:47" s="172" customFormat="1" ht="12" x14ac:dyDescent="0.15">
      <c r="B13" s="121" t="s">
        <v>222</v>
      </c>
      <c r="C13" s="121" t="s">
        <v>223</v>
      </c>
      <c r="D13" s="385" t="s">
        <v>905</v>
      </c>
      <c r="E13" s="175" t="s">
        <v>1511</v>
      </c>
      <c r="F13" s="173" t="s">
        <v>1519</v>
      </c>
      <c r="G13" s="174"/>
      <c r="H13" s="182"/>
      <c r="I13" s="176">
        <f>INDEX(内开窗!G:G,(ROW(B8)-1)*69+COLUMN(A8)*2)</f>
        <v>65</v>
      </c>
      <c r="J13" s="177" t="s">
        <v>451</v>
      </c>
      <c r="K13" s="180"/>
      <c r="L13" s="178">
        <f>INDEX(内开窗!K:K,(ROW(B8)-1)*69+COLUMN(A8)*2)</f>
        <v>1300</v>
      </c>
      <c r="M13" s="178">
        <f>INDEX(内开窗!M:M,(ROW(B8)-1)*69+COLUMN(A8)*2)</f>
        <v>1800</v>
      </c>
      <c r="N13" s="178">
        <f>INDEX(内开窗!M:M,(ROW(B8)-1)*69+COLUMN(A8)*13)</f>
        <v>50</v>
      </c>
      <c r="O13" s="178">
        <f t="shared" si="1"/>
        <v>50</v>
      </c>
      <c r="P13" s="179">
        <f t="shared" si="2"/>
        <v>1200</v>
      </c>
      <c r="Q13" s="385">
        <f t="shared" si="3"/>
        <v>1700</v>
      </c>
      <c r="R13" s="385">
        <f t="shared" si="4"/>
        <v>0</v>
      </c>
      <c r="S13" s="168"/>
      <c r="T13" s="168"/>
      <c r="U13" s="168"/>
      <c r="V13" s="180">
        <f>INDEX(内开窗!M:M,(ROW(B8)-1)*69+COLUMN(A8)*14)</f>
        <v>2.34</v>
      </c>
      <c r="W13" s="180">
        <f t="shared" si="5"/>
        <v>0</v>
      </c>
      <c r="X13" s="180">
        <f t="shared" si="6"/>
        <v>2.04</v>
      </c>
      <c r="Y13" s="180">
        <f t="shared" si="7"/>
        <v>0</v>
      </c>
      <c r="Z13" s="181">
        <f>INDEX(内开窗!M:M,(ROW(B8)-1)*69+COLUMN(A8)*41)/V13</f>
        <v>8.1732166666666668</v>
      </c>
      <c r="AA13" s="181">
        <f>INDEX(内开窗!M:M,(ROW(B8)-1)*69+COLUMN(A8)*49)/V13</f>
        <v>0.67557777777777783</v>
      </c>
      <c r="AB13" s="181"/>
      <c r="AC13" s="181">
        <f>INDEX(内开窗!M:M,(ROW(B8)-1)*69+COLUMN(A8)*52)/V13</f>
        <v>0.85470085470085477</v>
      </c>
      <c r="AD13" s="181"/>
      <c r="AE13" s="181"/>
      <c r="AF13" s="181">
        <f>INDEX(内开窗!O:O,(ROW(B8)-1)*69+COLUMN(A8)*64)/V13</f>
        <v>0</v>
      </c>
      <c r="AG13" s="181">
        <f>(INDEX(内开窗!O:O,(ROW(B8)-1)*69+COLUMN(A8)*66)+INDEX(内开窗!O:O,(ROW(B8)-1)*69+COLUMN(A8)*67))/V13</f>
        <v>0</v>
      </c>
      <c r="AH13" s="181">
        <f t="shared" si="22"/>
        <v>0</v>
      </c>
      <c r="AI13" s="163">
        <f t="shared" si="23"/>
        <v>0</v>
      </c>
      <c r="AJ13" s="163">
        <f t="shared" si="24"/>
        <v>0</v>
      </c>
      <c r="AK13" s="163">
        <f t="shared" si="25"/>
        <v>0</v>
      </c>
      <c r="AL13" s="163">
        <f t="shared" si="26"/>
        <v>0</v>
      </c>
      <c r="AM13" s="163">
        <f t="shared" si="27"/>
        <v>0</v>
      </c>
      <c r="AN13" s="163">
        <f t="shared" si="28"/>
        <v>0</v>
      </c>
      <c r="AO13" s="163">
        <f t="shared" si="21"/>
        <v>0</v>
      </c>
      <c r="AP13" s="163">
        <f t="shared" si="29"/>
        <v>0</v>
      </c>
      <c r="AQ13" s="163">
        <f t="shared" si="30"/>
        <v>0</v>
      </c>
      <c r="AR13" s="163">
        <f t="shared" si="31"/>
        <v>0</v>
      </c>
      <c r="AS13" s="163">
        <f t="shared" si="32"/>
        <v>0</v>
      </c>
      <c r="AT13" s="163">
        <f t="shared" si="33"/>
        <v>0</v>
      </c>
      <c r="AU13" s="163">
        <f t="shared" si="34"/>
        <v>0</v>
      </c>
    </row>
    <row r="14" spans="1:47" s="172" customFormat="1" ht="12" x14ac:dyDescent="0.15">
      <c r="B14" s="121" t="s">
        <v>224</v>
      </c>
      <c r="C14" s="121" t="s">
        <v>225</v>
      </c>
      <c r="D14" s="385" t="s">
        <v>905</v>
      </c>
      <c r="E14" s="175" t="s">
        <v>1511</v>
      </c>
      <c r="F14" s="173" t="s">
        <v>1520</v>
      </c>
      <c r="G14" s="174"/>
      <c r="H14" s="182"/>
      <c r="I14" s="176">
        <f>INDEX(内开窗!G:G,(ROW(B9)-1)*69+COLUMN(A9)*2)</f>
        <v>65</v>
      </c>
      <c r="J14" s="177" t="s">
        <v>451</v>
      </c>
      <c r="K14" s="180"/>
      <c r="L14" s="178">
        <f>INDEX(内开窗!K:K,(ROW(B9)-1)*69+COLUMN(A9)*2)</f>
        <v>2000</v>
      </c>
      <c r="M14" s="178">
        <f>INDEX(内开窗!M:M,(ROW(B9)-1)*69+COLUMN(A9)*2)</f>
        <v>1800</v>
      </c>
      <c r="N14" s="178">
        <f>INDEX(内开窗!M:M,(ROW(B9)-1)*69+COLUMN(A9)*13)</f>
        <v>50</v>
      </c>
      <c r="O14" s="178">
        <f t="shared" si="1"/>
        <v>50</v>
      </c>
      <c r="P14" s="179">
        <f t="shared" si="2"/>
        <v>1900</v>
      </c>
      <c r="Q14" s="385">
        <f t="shared" si="3"/>
        <v>1700</v>
      </c>
      <c r="R14" s="385">
        <f t="shared" si="4"/>
        <v>0</v>
      </c>
      <c r="S14" s="168"/>
      <c r="T14" s="168"/>
      <c r="U14" s="168"/>
      <c r="V14" s="180">
        <f>INDEX(内开窗!M:M,(ROW(B9)-1)*69+COLUMN(A9)*14)</f>
        <v>3.6</v>
      </c>
      <c r="W14" s="180">
        <f t="shared" si="5"/>
        <v>0</v>
      </c>
      <c r="X14" s="180">
        <f t="shared" si="6"/>
        <v>3.23</v>
      </c>
      <c r="Y14" s="180">
        <f t="shared" si="7"/>
        <v>0</v>
      </c>
      <c r="Z14" s="181">
        <f>INDEX(内开窗!M:M,(ROW(B9)-1)*69+COLUMN(A9)*41)/V14</f>
        <v>6.5539155555555553</v>
      </c>
      <c r="AA14" s="181">
        <f>INDEX(内开窗!M:M,(ROW(B9)-1)*69+COLUMN(A9)*49)/V14</f>
        <v>0.74050777777777788</v>
      </c>
      <c r="AC14" s="181">
        <f>INDEX(内开窗!M:M,(ROW(B9)-1)*69+COLUMN(A9)*52)/V14</f>
        <v>0.55555555555555558</v>
      </c>
      <c r="AD14" s="181"/>
      <c r="AE14" s="181"/>
      <c r="AF14" s="181">
        <f>INDEX(内开窗!O:O,(ROW(B9)-1)*69+COLUMN(A9)*64)/V14</f>
        <v>0</v>
      </c>
      <c r="AG14" s="181">
        <f>(INDEX(内开窗!O:O,(ROW(B9)-1)*69+COLUMN(A9)*66)+INDEX(内开窗!O:O,(ROW(B9)-1)*69+COLUMN(A9)*67))/V14</f>
        <v>0</v>
      </c>
      <c r="AH14" s="181">
        <f t="shared" si="22"/>
        <v>0</v>
      </c>
      <c r="AI14" s="163">
        <f t="shared" si="23"/>
        <v>0</v>
      </c>
      <c r="AJ14" s="163">
        <f t="shared" si="24"/>
        <v>0</v>
      </c>
      <c r="AK14" s="163">
        <f t="shared" si="25"/>
        <v>0</v>
      </c>
      <c r="AL14" s="163">
        <f t="shared" si="26"/>
        <v>0</v>
      </c>
      <c r="AM14" s="163">
        <f t="shared" si="27"/>
        <v>0</v>
      </c>
      <c r="AN14" s="163">
        <f t="shared" si="28"/>
        <v>0</v>
      </c>
      <c r="AO14" s="163">
        <f t="shared" si="21"/>
        <v>0</v>
      </c>
      <c r="AP14" s="163">
        <f t="shared" si="29"/>
        <v>0</v>
      </c>
      <c r="AQ14" s="163">
        <f t="shared" si="30"/>
        <v>0</v>
      </c>
      <c r="AR14" s="163">
        <f t="shared" si="31"/>
        <v>0</v>
      </c>
      <c r="AS14" s="163">
        <f t="shared" si="32"/>
        <v>0</v>
      </c>
      <c r="AT14" s="163">
        <f t="shared" si="33"/>
        <v>0</v>
      </c>
      <c r="AU14" s="163">
        <f t="shared" si="34"/>
        <v>0</v>
      </c>
    </row>
    <row r="15" spans="1:47" s="172" customFormat="1" ht="12" x14ac:dyDescent="0.15">
      <c r="B15" s="385" t="s">
        <v>226</v>
      </c>
      <c r="C15" s="385" t="s">
        <v>227</v>
      </c>
      <c r="D15" s="385" t="s">
        <v>905</v>
      </c>
      <c r="E15" s="175" t="s">
        <v>1511</v>
      </c>
      <c r="F15" s="173" t="s">
        <v>1521</v>
      </c>
      <c r="G15" s="174"/>
      <c r="H15" s="182"/>
      <c r="I15" s="176">
        <f>INDEX(内开窗!G:G,(ROW(B10)-1)*69+COLUMN(A10)*2)</f>
        <v>65</v>
      </c>
      <c r="J15" s="177" t="s">
        <v>451</v>
      </c>
      <c r="K15" s="180"/>
      <c r="L15" s="178">
        <f>INDEX(内开窗!K:K,(ROW(B10)-1)*69+COLUMN(A10)*2)</f>
        <v>1300</v>
      </c>
      <c r="M15" s="178">
        <f>INDEX(内开窗!M:M,(ROW(B10)-1)*69+COLUMN(A10)*2)</f>
        <v>1800</v>
      </c>
      <c r="N15" s="178">
        <f>INDEX(内开窗!M:M,(ROW(B10)-1)*69+COLUMN(A10)*13)</f>
        <v>50</v>
      </c>
      <c r="O15" s="178">
        <f t="shared" si="1"/>
        <v>50</v>
      </c>
      <c r="P15" s="179">
        <f t="shared" si="2"/>
        <v>1200</v>
      </c>
      <c r="Q15" s="385">
        <f t="shared" si="3"/>
        <v>1700</v>
      </c>
      <c r="R15" s="385">
        <f t="shared" si="4"/>
        <v>0</v>
      </c>
      <c r="S15" s="168"/>
      <c r="T15" s="168"/>
      <c r="U15" s="168"/>
      <c r="V15" s="180">
        <f>INDEX(内开窗!M:M,(ROW(B10)-1)*69+COLUMN(A10)*14)</f>
        <v>2.0933250000000001</v>
      </c>
      <c r="W15" s="180">
        <f t="shared" si="5"/>
        <v>0</v>
      </c>
      <c r="X15" s="180">
        <f>(3.14*P15*P15/8+P15*(Q15-P15/2))/1000000</f>
        <v>1.8852</v>
      </c>
      <c r="Y15" s="180">
        <f t="shared" si="7"/>
        <v>0</v>
      </c>
      <c r="Z15" s="181">
        <f>INDEX(内开窗!M:M,(ROW(B10)-1)*69+COLUMN(A10)*41)/V15</f>
        <v>9.5718800759557148</v>
      </c>
      <c r="AA15" s="181">
        <f>INDEX(内开窗!M:M,(ROW(B10)-1)*69+COLUMN(A10)*49)/V15</f>
        <v>0.69851730142237822</v>
      </c>
      <c r="AB15" s="181"/>
      <c r="AC15" s="181">
        <f>INDEX(内开窗!M:M,(ROW(B10)-1)*69+COLUMN(A10)*52)/V15</f>
        <v>0.95541781615372667</v>
      </c>
      <c r="AD15" s="181"/>
      <c r="AE15" s="181"/>
      <c r="AF15" s="181">
        <f>INDEX(内开窗!O:O,(ROW(B10)-1)*69+COLUMN(A10)*64)/V15</f>
        <v>0</v>
      </c>
      <c r="AG15" s="181">
        <f>(INDEX(内开窗!O:O,(ROW(B10)-1)*69+COLUMN(A10)*66)+INDEX(内开窗!O:O,(ROW(B10)-1)*69+COLUMN(A10)*67))/V15</f>
        <v>0</v>
      </c>
      <c r="AH15" s="181">
        <f t="shared" si="22"/>
        <v>0</v>
      </c>
      <c r="AI15" s="163">
        <f t="shared" si="23"/>
        <v>0</v>
      </c>
      <c r="AJ15" s="163">
        <f t="shared" si="24"/>
        <v>0</v>
      </c>
      <c r="AK15" s="163">
        <f t="shared" si="25"/>
        <v>0</v>
      </c>
      <c r="AL15" s="163">
        <f t="shared" si="26"/>
        <v>0</v>
      </c>
      <c r="AM15" s="163">
        <f t="shared" si="27"/>
        <v>0</v>
      </c>
      <c r="AN15" s="163">
        <f t="shared" si="28"/>
        <v>0</v>
      </c>
      <c r="AO15" s="163">
        <f t="shared" si="21"/>
        <v>0</v>
      </c>
      <c r="AP15" s="163">
        <f t="shared" si="29"/>
        <v>0</v>
      </c>
      <c r="AQ15" s="163">
        <f t="shared" si="30"/>
        <v>0</v>
      </c>
      <c r="AR15" s="163">
        <f t="shared" si="31"/>
        <v>0</v>
      </c>
      <c r="AS15" s="163">
        <f t="shared" si="32"/>
        <v>0</v>
      </c>
      <c r="AT15" s="163">
        <f t="shared" si="33"/>
        <v>0</v>
      </c>
      <c r="AU15" s="163">
        <f t="shared" si="34"/>
        <v>0</v>
      </c>
    </row>
    <row r="16" spans="1:47" s="172" customFormat="1" ht="12" x14ac:dyDescent="0.15">
      <c r="B16" s="121" t="s">
        <v>228</v>
      </c>
      <c r="C16" s="121" t="s">
        <v>229</v>
      </c>
      <c r="D16" s="385" t="s">
        <v>905</v>
      </c>
      <c r="E16" s="175" t="s">
        <v>1511</v>
      </c>
      <c r="F16" s="173" t="s">
        <v>1522</v>
      </c>
      <c r="G16" s="174"/>
      <c r="H16" s="182"/>
      <c r="I16" s="176">
        <f>INDEX(内开窗!G:G,(ROW(B11)-1)*69+COLUMN(A11)*2)</f>
        <v>65</v>
      </c>
      <c r="J16" s="177" t="s">
        <v>451</v>
      </c>
      <c r="K16" s="180"/>
      <c r="L16" s="178">
        <f>INDEX(内开窗!K:K,(ROW(B11)-1)*69+COLUMN(A11)*2)</f>
        <v>2500</v>
      </c>
      <c r="M16" s="178">
        <f>INDEX(内开窗!M:M,(ROW(B11)-1)*69+COLUMN(A11)*2)</f>
        <v>1800</v>
      </c>
      <c r="N16" s="178">
        <f>INDEX(内开窗!M:M,(ROW(B11)-1)*69+COLUMN(A11)*13)</f>
        <v>50</v>
      </c>
      <c r="O16" s="178">
        <f t="shared" si="1"/>
        <v>50</v>
      </c>
      <c r="P16" s="179">
        <f t="shared" si="2"/>
        <v>2400</v>
      </c>
      <c r="Q16" s="385">
        <f t="shared" si="3"/>
        <v>1700</v>
      </c>
      <c r="R16" s="385">
        <f t="shared" si="4"/>
        <v>0</v>
      </c>
      <c r="S16" s="168"/>
      <c r="T16" s="168"/>
      <c r="U16" s="168"/>
      <c r="V16" s="180">
        <f>INDEX(内开窗!M:M,(ROW(B11)-1)*69+COLUMN(A11)*14)</f>
        <v>4.5</v>
      </c>
      <c r="W16" s="180">
        <f t="shared" si="5"/>
        <v>0</v>
      </c>
      <c r="X16" s="180">
        <f t="shared" si="6"/>
        <v>4.08</v>
      </c>
      <c r="Y16" s="180">
        <f t="shared" si="7"/>
        <v>0</v>
      </c>
      <c r="Z16" s="181">
        <f>INDEX(内开窗!M:M,(ROW(B11)-1)*69+COLUMN(A11)*41)/V16</f>
        <v>5.7386832888888888</v>
      </c>
      <c r="AA16" s="181">
        <f>INDEX(内开窗!M:M,(ROW(B11)-1)*69+COLUMN(A11)*49)/V16</f>
        <v>0.72907608888888886</v>
      </c>
      <c r="AB16" s="181"/>
      <c r="AC16" s="181">
        <f>INDEX(内开窗!M:M,(ROW(B11)-1)*69+COLUMN(A11)*52)/V16</f>
        <v>0.22222222222222221</v>
      </c>
      <c r="AD16" s="181"/>
      <c r="AE16" s="181"/>
      <c r="AF16" s="181">
        <f>INDEX(内开窗!O:O,(ROW(B11)-1)*69+COLUMN(A11)*64)/V16</f>
        <v>0</v>
      </c>
      <c r="AG16" s="181">
        <f>(INDEX(内开窗!O:O,(ROW(B11)-1)*69+COLUMN(A11)*66)+INDEX(内开窗!O:O,(ROW(B11)-1)*69+COLUMN(A11)*67))/V16</f>
        <v>0</v>
      </c>
      <c r="AH16" s="181">
        <f t="shared" si="22"/>
        <v>0</v>
      </c>
      <c r="AI16" s="163">
        <f t="shared" si="23"/>
        <v>0</v>
      </c>
      <c r="AJ16" s="163">
        <f t="shared" si="24"/>
        <v>0</v>
      </c>
      <c r="AK16" s="163">
        <f t="shared" si="25"/>
        <v>0</v>
      </c>
      <c r="AL16" s="163">
        <f t="shared" si="26"/>
        <v>0</v>
      </c>
      <c r="AM16" s="163">
        <f t="shared" si="27"/>
        <v>0</v>
      </c>
      <c r="AN16" s="163">
        <f t="shared" si="28"/>
        <v>0</v>
      </c>
      <c r="AO16" s="163">
        <f t="shared" si="21"/>
        <v>0</v>
      </c>
      <c r="AP16" s="163">
        <f t="shared" si="29"/>
        <v>0</v>
      </c>
      <c r="AQ16" s="163">
        <f t="shared" si="30"/>
        <v>0</v>
      </c>
      <c r="AR16" s="163">
        <f t="shared" si="31"/>
        <v>0</v>
      </c>
      <c r="AS16" s="163">
        <f t="shared" si="32"/>
        <v>0</v>
      </c>
      <c r="AT16" s="163">
        <f t="shared" si="33"/>
        <v>0</v>
      </c>
      <c r="AU16" s="163">
        <f t="shared" si="34"/>
        <v>0</v>
      </c>
    </row>
    <row r="17" spans="2:47" s="130" customFormat="1" ht="12" x14ac:dyDescent="0.15">
      <c r="B17" s="123" t="s">
        <v>230</v>
      </c>
      <c r="C17" s="123" t="s">
        <v>231</v>
      </c>
      <c r="D17" s="385" t="s">
        <v>905</v>
      </c>
      <c r="E17" s="175" t="s">
        <v>1511</v>
      </c>
      <c r="F17" s="173" t="s">
        <v>1523</v>
      </c>
      <c r="G17" s="131"/>
      <c r="H17" s="136"/>
      <c r="I17" s="176">
        <f>INDEX(内开窗!G:G,(ROW(B12)-1)*69+COLUMN(A12)*2)</f>
        <v>65</v>
      </c>
      <c r="J17" s="177" t="s">
        <v>451</v>
      </c>
      <c r="K17" s="133"/>
      <c r="L17" s="178">
        <f>INDEX(内开窗!K:K,(ROW(B12)-1)*69+COLUMN(A12)*2)</f>
        <v>2600</v>
      </c>
      <c r="M17" s="178">
        <f>INDEX(内开窗!M:M,(ROW(B12)-1)*69+COLUMN(A12)*2)</f>
        <v>1800</v>
      </c>
      <c r="N17" s="178">
        <f>INDEX(内开窗!M:M,(ROW(B12)-1)*69+COLUMN(A12)*13)</f>
        <v>50</v>
      </c>
      <c r="O17" s="178">
        <f t="shared" si="1"/>
        <v>50</v>
      </c>
      <c r="P17" s="179">
        <f t="shared" si="2"/>
        <v>2500</v>
      </c>
      <c r="Q17" s="385">
        <f t="shared" si="3"/>
        <v>1700</v>
      </c>
      <c r="R17" s="385">
        <f t="shared" si="4"/>
        <v>0</v>
      </c>
      <c r="S17" s="168"/>
      <c r="T17" s="168"/>
      <c r="U17" s="168"/>
      <c r="V17" s="180">
        <f>INDEX(内开窗!M:M,(ROW(B12)-1)*69+COLUMN(A12)*14)</f>
        <v>4.68</v>
      </c>
      <c r="W17" s="180">
        <f t="shared" si="5"/>
        <v>0</v>
      </c>
      <c r="X17" s="180">
        <f t="shared" si="6"/>
        <v>4.25</v>
      </c>
      <c r="Y17" s="180">
        <f t="shared" si="7"/>
        <v>0</v>
      </c>
      <c r="Z17" s="181">
        <f>INDEX(内开窗!M:M,(ROW(B12)-1)*69+COLUMN(A12)*41)/V17</f>
        <v>7.3010579487179497</v>
      </c>
      <c r="AA17" s="181">
        <f>INDEX(内开窗!M:M,(ROW(B12)-1)*69+COLUMN(A12)*49)/V17</f>
        <v>0.69851290598290594</v>
      </c>
      <c r="AB17" s="125"/>
      <c r="AC17" s="181">
        <f>INDEX(内开窗!M:M,(ROW(B12)-1)*69+COLUMN(A12)*52)/V17</f>
        <v>0.42735042735042739</v>
      </c>
      <c r="AD17" s="125"/>
      <c r="AE17" s="125"/>
      <c r="AF17" s="181">
        <f>INDEX(内开窗!O:O,(ROW(B12)-1)*69+COLUMN(A12)*64)/V17</f>
        <v>0</v>
      </c>
      <c r="AG17" s="181">
        <f>(INDEX(内开窗!O:O,(ROW(B12)-1)*69+COLUMN(A12)*66)+INDEX(内开窗!O:O,(ROW(B12)-1)*69+COLUMN(A12)*67))/V17</f>
        <v>0</v>
      </c>
      <c r="AH17" s="181">
        <f t="shared" si="22"/>
        <v>0</v>
      </c>
      <c r="AI17" s="163">
        <f t="shared" si="23"/>
        <v>0</v>
      </c>
      <c r="AJ17" s="163">
        <f t="shared" si="24"/>
        <v>0</v>
      </c>
      <c r="AK17" s="163">
        <f t="shared" si="25"/>
        <v>0</v>
      </c>
      <c r="AL17" s="163">
        <f t="shared" si="26"/>
        <v>0</v>
      </c>
      <c r="AM17" s="163">
        <f t="shared" si="27"/>
        <v>0</v>
      </c>
      <c r="AN17" s="163">
        <f t="shared" si="28"/>
        <v>0</v>
      </c>
      <c r="AO17" s="163">
        <f t="shared" si="21"/>
        <v>0</v>
      </c>
      <c r="AP17" s="163">
        <f t="shared" si="29"/>
        <v>0</v>
      </c>
      <c r="AQ17" s="163">
        <f t="shared" si="30"/>
        <v>0</v>
      </c>
      <c r="AR17" s="163">
        <f t="shared" si="31"/>
        <v>0</v>
      </c>
      <c r="AS17" s="163">
        <f t="shared" si="32"/>
        <v>0</v>
      </c>
      <c r="AT17" s="163">
        <f t="shared" si="33"/>
        <v>0</v>
      </c>
      <c r="AU17" s="163">
        <f t="shared" si="34"/>
        <v>0</v>
      </c>
    </row>
    <row r="18" spans="2:47" s="130" customFormat="1" ht="12" x14ac:dyDescent="0.15">
      <c r="B18" s="416"/>
      <c r="C18" s="416"/>
      <c r="D18" s="385" t="s">
        <v>905</v>
      </c>
      <c r="E18" s="175" t="s">
        <v>1511</v>
      </c>
      <c r="F18" s="173" t="s">
        <v>1524</v>
      </c>
      <c r="G18" s="420"/>
      <c r="H18" s="418"/>
      <c r="I18" s="176">
        <f>INDEX(内开窗!G:G,(ROW(B13)-1)*69+COLUMN(A13)*2)</f>
        <v>65</v>
      </c>
      <c r="J18" s="177" t="s">
        <v>451</v>
      </c>
      <c r="K18" s="423"/>
      <c r="L18" s="178">
        <f>INDEX(内开窗!K:K,(ROW(B13)-1)*69+COLUMN(A13)*2)</f>
        <v>3000</v>
      </c>
      <c r="M18" s="178">
        <f>INDEX(内开窗!M:M,(ROW(B13)-1)*69+COLUMN(A13)*2)</f>
        <v>1800</v>
      </c>
      <c r="N18" s="178">
        <f>INDEX(内开窗!M:M,(ROW(B13)-1)*69+COLUMN(A13)*13)</f>
        <v>50</v>
      </c>
      <c r="O18" s="178">
        <f t="shared" si="1"/>
        <v>50</v>
      </c>
      <c r="P18" s="179">
        <f t="shared" si="2"/>
        <v>2900</v>
      </c>
      <c r="Q18" s="385">
        <f t="shared" si="3"/>
        <v>1700</v>
      </c>
      <c r="R18" s="385">
        <f t="shared" si="4"/>
        <v>0</v>
      </c>
      <c r="S18" s="426"/>
      <c r="T18" s="426"/>
      <c r="U18" s="426"/>
      <c r="V18" s="180">
        <f>INDEX(内开窗!M:M,(ROW(B13)-1)*69+COLUMN(A13)*14)</f>
        <v>5.4</v>
      </c>
      <c r="W18" s="180">
        <f t="shared" si="5"/>
        <v>0</v>
      </c>
      <c r="X18" s="180">
        <f t="shared" si="6"/>
        <v>4.93</v>
      </c>
      <c r="Y18" s="180">
        <f t="shared" si="7"/>
        <v>0</v>
      </c>
      <c r="Z18" s="181">
        <f>INDEX(内开窗!M:M,(ROW(B13)-1)*69+COLUMN(A13)*41)/V18</f>
        <v>4.7822360740740733</v>
      </c>
      <c r="AA18" s="181">
        <f>INDEX(内开窗!M:M,(ROW(B13)-1)*69+COLUMN(A13)*49)/V18</f>
        <v>0.7013434814814814</v>
      </c>
      <c r="AB18" s="428"/>
      <c r="AC18" s="181">
        <f>INDEX(内开窗!M:M,(ROW(B13)-1)*69+COLUMN(A13)*52)/V18</f>
        <v>0.18518518518518517</v>
      </c>
      <c r="AD18" s="428"/>
      <c r="AE18" s="428"/>
      <c r="AF18" s="181">
        <f>INDEX(内开窗!O:O,(ROW(B13)-1)*69+COLUMN(A13)*64)/V18</f>
        <v>0</v>
      </c>
      <c r="AG18" s="181">
        <f>(INDEX(内开窗!O:O,(ROW(B13)-1)*69+COLUMN(A13)*66)+INDEX(内开窗!O:O,(ROW(B13)-1)*69+COLUMN(A13)*67))/V18</f>
        <v>0</v>
      </c>
      <c r="AH18" s="181">
        <f t="shared" si="22"/>
        <v>0</v>
      </c>
      <c r="AI18" s="163">
        <f t="shared" si="23"/>
        <v>0</v>
      </c>
      <c r="AJ18" s="163">
        <f t="shared" si="24"/>
        <v>0</v>
      </c>
      <c r="AK18" s="163">
        <f t="shared" si="25"/>
        <v>0</v>
      </c>
      <c r="AL18" s="163">
        <f t="shared" si="26"/>
        <v>0</v>
      </c>
      <c r="AM18" s="163">
        <f t="shared" si="27"/>
        <v>0</v>
      </c>
      <c r="AN18" s="163">
        <f t="shared" si="28"/>
        <v>0</v>
      </c>
      <c r="AO18" s="163">
        <f t="shared" si="21"/>
        <v>0</v>
      </c>
      <c r="AP18" s="163">
        <f t="shared" si="29"/>
        <v>0</v>
      </c>
      <c r="AQ18" s="163">
        <f t="shared" si="30"/>
        <v>0</v>
      </c>
      <c r="AR18" s="163">
        <f t="shared" si="31"/>
        <v>0</v>
      </c>
      <c r="AS18" s="163">
        <f t="shared" si="32"/>
        <v>0</v>
      </c>
      <c r="AT18" s="163">
        <f t="shared" si="33"/>
        <v>0</v>
      </c>
      <c r="AU18" s="163">
        <f t="shared" si="34"/>
        <v>0</v>
      </c>
    </row>
    <row r="19" spans="2:47" s="130" customFormat="1" ht="12" x14ac:dyDescent="0.15">
      <c r="B19" s="416"/>
      <c r="C19" s="416"/>
      <c r="D19" s="385" t="s">
        <v>905</v>
      </c>
      <c r="E19" s="175" t="s">
        <v>1511</v>
      </c>
      <c r="F19" s="173" t="s">
        <v>1525</v>
      </c>
      <c r="G19" s="420"/>
      <c r="H19" s="418"/>
      <c r="I19" s="176">
        <f>INDEX(内开窗!G:G,(ROW(B14)-1)*69+COLUMN(A14)*2)</f>
        <v>65</v>
      </c>
      <c r="J19" s="177" t="s">
        <v>451</v>
      </c>
      <c r="K19" s="423"/>
      <c r="L19" s="178">
        <f>INDEX(内开窗!K:K,(ROW(B14)-1)*69+COLUMN(A14)*2)</f>
        <v>3400</v>
      </c>
      <c r="M19" s="178">
        <f>INDEX(内开窗!M:M,(ROW(B14)-1)*69+COLUMN(A14)*2)</f>
        <v>1800</v>
      </c>
      <c r="N19" s="178">
        <f>INDEX(内开窗!M:M,(ROW(B14)-1)*69+COLUMN(A14)*13)</f>
        <v>50</v>
      </c>
      <c r="O19" s="178">
        <f t="shared" si="1"/>
        <v>50</v>
      </c>
      <c r="P19" s="179">
        <f t="shared" si="2"/>
        <v>3300</v>
      </c>
      <c r="Q19" s="385">
        <f t="shared" si="3"/>
        <v>1700</v>
      </c>
      <c r="R19" s="385">
        <f t="shared" si="4"/>
        <v>0</v>
      </c>
      <c r="S19" s="426"/>
      <c r="T19" s="426"/>
      <c r="U19" s="426"/>
      <c r="V19" s="180">
        <f>INDEX(内开窗!M:M,(ROW(B14)-1)*69+COLUMN(A14)*14)</f>
        <v>6.12</v>
      </c>
      <c r="W19" s="180">
        <f t="shared" si="5"/>
        <v>0</v>
      </c>
      <c r="X19" s="180">
        <f t="shared" si="6"/>
        <v>5.61</v>
      </c>
      <c r="Y19" s="180">
        <f t="shared" si="7"/>
        <v>0</v>
      </c>
      <c r="Z19" s="181">
        <f>INDEX(内开窗!M:M,(ROW(B14)-1)*69+COLUMN(A14)*41)/V19</f>
        <v>5.5831619607843139</v>
      </c>
      <c r="AA19" s="181">
        <f>INDEX(内开窗!M:M,(ROW(B14)-1)*69+COLUMN(A14)*49)/V19</f>
        <v>0.59287575163398687</v>
      </c>
      <c r="AB19" s="428"/>
      <c r="AC19" s="181">
        <f>INDEX(内开窗!M:M,(ROW(B14)-1)*69+COLUMN(A14)*52)/V19</f>
        <v>0.32679738562091504</v>
      </c>
      <c r="AD19" s="428"/>
      <c r="AE19" s="428"/>
      <c r="AF19" s="181">
        <f>INDEX(内开窗!O:O,(ROW(B14)-1)*69+COLUMN(A14)*64)/V19</f>
        <v>0</v>
      </c>
      <c r="AG19" s="181">
        <f>(INDEX(内开窗!O:O,(ROW(B14)-1)*69+COLUMN(A14)*66)+INDEX(内开窗!O:O,(ROW(B14)-1)*69+COLUMN(A14)*67))/V19</f>
        <v>0</v>
      </c>
      <c r="AH19" s="181">
        <f t="shared" si="22"/>
        <v>0</v>
      </c>
      <c r="AI19" s="163">
        <f t="shared" si="23"/>
        <v>0</v>
      </c>
      <c r="AJ19" s="163">
        <f t="shared" si="24"/>
        <v>0</v>
      </c>
      <c r="AK19" s="163">
        <f t="shared" si="25"/>
        <v>0</v>
      </c>
      <c r="AL19" s="163">
        <f t="shared" si="26"/>
        <v>0</v>
      </c>
      <c r="AM19" s="163">
        <f t="shared" si="27"/>
        <v>0</v>
      </c>
      <c r="AN19" s="163">
        <f t="shared" si="28"/>
        <v>0</v>
      </c>
      <c r="AO19" s="163">
        <f t="shared" si="21"/>
        <v>0</v>
      </c>
      <c r="AP19" s="163">
        <f t="shared" si="29"/>
        <v>0</v>
      </c>
      <c r="AQ19" s="163">
        <f t="shared" si="30"/>
        <v>0</v>
      </c>
      <c r="AR19" s="163">
        <f t="shared" si="31"/>
        <v>0</v>
      </c>
      <c r="AS19" s="163">
        <f t="shared" si="32"/>
        <v>0</v>
      </c>
      <c r="AT19" s="163">
        <f t="shared" si="33"/>
        <v>0</v>
      </c>
      <c r="AU19" s="163">
        <f t="shared" si="34"/>
        <v>0</v>
      </c>
    </row>
    <row r="20" spans="2:47" s="130" customFormat="1" ht="12" x14ac:dyDescent="0.15">
      <c r="B20" s="416"/>
      <c r="C20" s="416"/>
      <c r="D20" s="417"/>
      <c r="E20" s="418"/>
      <c r="F20" s="419"/>
      <c r="G20" s="420"/>
      <c r="H20" s="418"/>
      <c r="I20" s="421"/>
      <c r="J20" s="422"/>
      <c r="K20" s="423"/>
      <c r="L20" s="424"/>
      <c r="M20" s="424"/>
      <c r="N20" s="424"/>
      <c r="O20" s="424"/>
      <c r="P20" s="425"/>
      <c r="Q20" s="416"/>
      <c r="R20" s="416"/>
      <c r="S20" s="426"/>
      <c r="T20" s="426"/>
      <c r="U20" s="426"/>
      <c r="V20" s="427"/>
      <c r="W20" s="427"/>
      <c r="X20" s="427"/>
      <c r="Y20" s="427"/>
      <c r="Z20" s="428"/>
      <c r="AA20" s="428"/>
      <c r="AB20" s="428"/>
      <c r="AC20" s="428"/>
      <c r="AD20" s="428"/>
      <c r="AE20" s="428"/>
      <c r="AF20" s="428"/>
      <c r="AG20" s="428"/>
      <c r="AH20" s="428"/>
      <c r="AI20" s="429"/>
      <c r="AJ20" s="429"/>
      <c r="AK20" s="429"/>
      <c r="AL20" s="429"/>
      <c r="AM20" s="429"/>
      <c r="AN20" s="429"/>
      <c r="AO20" s="429"/>
      <c r="AP20" s="429"/>
      <c r="AQ20" s="429"/>
      <c r="AR20" s="429"/>
      <c r="AS20" s="429"/>
      <c r="AT20" s="429"/>
      <c r="AU20" s="429"/>
    </row>
    <row r="21" spans="2:47" s="130" customFormat="1" ht="12" x14ac:dyDescent="0.15">
      <c r="B21" s="192" t="s">
        <v>232</v>
      </c>
      <c r="C21" s="192" t="s">
        <v>233</v>
      </c>
      <c r="D21" s="322" t="s">
        <v>905</v>
      </c>
      <c r="E21" s="136" t="s">
        <v>1528</v>
      </c>
      <c r="F21" s="236" t="s">
        <v>1526</v>
      </c>
      <c r="G21" s="131"/>
      <c r="H21" s="136"/>
      <c r="I21" s="161">
        <f>INDEX(推拉窗!F:F,(ROW(B1)-1)*63+COLUMN(A1)*2)</f>
        <v>80</v>
      </c>
      <c r="J21" s="160" t="s">
        <v>451</v>
      </c>
      <c r="K21" s="133"/>
      <c r="L21" s="166">
        <f>INDEX(推拉窗!J:J,(ROW(B1)-1)*63+COLUMN(A1)*2)</f>
        <v>1300</v>
      </c>
      <c r="M21" s="178">
        <f>INDEX(推拉窗!L:L,(ROW(B1)-1)*63+COLUMN(A1)*2)</f>
        <v>1400</v>
      </c>
      <c r="N21" s="166">
        <f>INDEX(推拉窗!L:L,(ROW(B1)-1)*63+COLUMN(A1)*13)</f>
        <v>50</v>
      </c>
      <c r="O21" s="166">
        <f t="shared" ref="O21" si="35">N21</f>
        <v>50</v>
      </c>
      <c r="P21" s="159">
        <f t="shared" ref="P21" si="36">L21-N21*2</f>
        <v>1200</v>
      </c>
      <c r="Q21" s="192">
        <f t="shared" ref="Q21" si="37">M21-O21*2</f>
        <v>1300</v>
      </c>
      <c r="R21" s="192">
        <f t="shared" ref="R21" si="38">SUM(S21:U21)</f>
        <v>0</v>
      </c>
      <c r="S21" s="168"/>
      <c r="T21" s="168"/>
      <c r="U21" s="168"/>
      <c r="V21" s="180">
        <f t="shared" ref="V21" si="39">L21*M21/1000000</f>
        <v>1.82</v>
      </c>
      <c r="W21" s="180">
        <f t="shared" ref="W21" si="40">R21*V21</f>
        <v>0</v>
      </c>
      <c r="X21" s="180">
        <f t="shared" ref="X21" si="41">P21*Q21/1000000</f>
        <v>1.56</v>
      </c>
      <c r="Y21" s="180">
        <f t="shared" ref="Y21" si="42">X21*R21</f>
        <v>0</v>
      </c>
      <c r="Z21" s="189">
        <f>INDEX(推拉窗!L:L,(ROW(B1)-1)*63+COLUMN(A1)*38)/V21</f>
        <v>10.313554285714282</v>
      </c>
      <c r="AA21" s="189">
        <f>INDEX(推拉窗!L:L,(ROW(B1)-1)*63+COLUMN(A1)*43)/V21</f>
        <v>0.57248460439560434</v>
      </c>
      <c r="AB21" s="189"/>
      <c r="AC21" s="189">
        <f>INDEX(推拉窗!L:L,(ROW(B1)-1)*63+COLUMN(A1)*46)/V21</f>
        <v>0.54945054945054939</v>
      </c>
      <c r="AD21" s="189"/>
      <c r="AE21" s="189"/>
      <c r="AF21" s="189">
        <f>INDEX(推拉窗!N:N,(ROW(B1)-1)*63+COLUMN(A1)*58)/V21</f>
        <v>0</v>
      </c>
      <c r="AG21" s="189">
        <f>(INDEX(推拉窗!N:N,(ROW(B1)-1)*63+COLUMN(A1)*60)+INDEX(推拉窗!N:N,(ROW(B1)-1)*63+COLUMN(A1)*61))/V21</f>
        <v>0</v>
      </c>
      <c r="AH21" s="189">
        <f t="shared" ref="AH21" si="43">SUM(AF21:AG21)*$AH$4</f>
        <v>0</v>
      </c>
      <c r="AI21" s="190">
        <f t="shared" ref="AI21" si="44">SUM(AF21:AH21)*$AI$4</f>
        <v>0</v>
      </c>
      <c r="AJ21" s="190">
        <f t="shared" ref="AJ21" si="45">SUM(AF21:AG21)</f>
        <v>0</v>
      </c>
      <c r="AK21" s="190">
        <f t="shared" ref="AK21" si="46">SUM(AF21:AI21)</f>
        <v>0</v>
      </c>
      <c r="AL21" s="190">
        <f t="shared" ref="AL21" si="47">V21*AK21</f>
        <v>0</v>
      </c>
      <c r="AM21" s="190">
        <f t="shared" ref="AM21" si="48">AJ21*V21</f>
        <v>0</v>
      </c>
      <c r="AN21" s="190">
        <f t="shared" ref="AN21" si="49">AL21*R21</f>
        <v>0</v>
      </c>
      <c r="AO21" s="190">
        <f t="shared" ref="AO21" si="50">AL21*R21</f>
        <v>0</v>
      </c>
      <c r="AP21" s="190">
        <f t="shared" ref="AP21" si="51">AL21*S21</f>
        <v>0</v>
      </c>
      <c r="AQ21" s="190">
        <f t="shared" ref="AQ21" si="52">AL21*T21</f>
        <v>0</v>
      </c>
      <c r="AR21" s="190">
        <f t="shared" ref="AR21" si="53">U21*AL21</f>
        <v>0</v>
      </c>
      <c r="AS21" s="190">
        <f t="shared" ref="AS21" si="54">AM21*S21</f>
        <v>0</v>
      </c>
      <c r="AT21" s="190">
        <f t="shared" ref="AT21" si="55">AM21*T21</f>
        <v>0</v>
      </c>
      <c r="AU21" s="190">
        <f t="shared" ref="AU21" si="56">AM21*U21</f>
        <v>0</v>
      </c>
    </row>
    <row r="22" spans="2:47" s="130" customFormat="1" ht="12" x14ac:dyDescent="0.15">
      <c r="B22" s="192" t="s">
        <v>234</v>
      </c>
      <c r="C22" s="192" t="s">
        <v>235</v>
      </c>
      <c r="D22" s="322" t="s">
        <v>905</v>
      </c>
      <c r="E22" s="136" t="s">
        <v>1528</v>
      </c>
      <c r="F22" s="236" t="s">
        <v>1527</v>
      </c>
      <c r="G22" s="131"/>
      <c r="H22" s="136"/>
      <c r="I22" s="161">
        <f>INDEX(推拉窗!F:F,(ROW(B2)-1)*63+COLUMN(A2)*2)</f>
        <v>80</v>
      </c>
      <c r="J22" s="160" t="s">
        <v>451</v>
      </c>
      <c r="K22" s="133"/>
      <c r="L22" s="166">
        <f>INDEX(推拉窗!J:J,(ROW(B2)-1)*63+COLUMN(A2)*2)</f>
        <v>1300</v>
      </c>
      <c r="M22" s="178">
        <f>INDEX(推拉窗!L:L,(ROW(B2)-1)*63+COLUMN(A2)*2)</f>
        <v>1600</v>
      </c>
      <c r="N22" s="166">
        <f>INDEX(推拉窗!L:L,(ROW(B2)-1)*63+COLUMN(A2)*13)</f>
        <v>50</v>
      </c>
      <c r="O22" s="166">
        <f t="shared" ref="O22" si="57">N22</f>
        <v>50</v>
      </c>
      <c r="P22" s="159">
        <f t="shared" ref="P22" si="58">L22-N22*2</f>
        <v>1200</v>
      </c>
      <c r="Q22" s="386">
        <f t="shared" ref="Q22" si="59">M22-O22*2</f>
        <v>1500</v>
      </c>
      <c r="R22" s="386">
        <f t="shared" ref="R22" si="60">SUM(S22:U22)</f>
        <v>0</v>
      </c>
      <c r="S22" s="168"/>
      <c r="T22" s="168"/>
      <c r="U22" s="168"/>
      <c r="V22" s="180">
        <f t="shared" ref="V22" si="61">L22*M22/1000000</f>
        <v>2.08</v>
      </c>
      <c r="W22" s="180">
        <f t="shared" ref="W22" si="62">R22*V22</f>
        <v>0</v>
      </c>
      <c r="X22" s="180">
        <f t="shared" ref="X22" si="63">P22*Q22/1000000</f>
        <v>1.8</v>
      </c>
      <c r="Y22" s="180">
        <f t="shared" ref="Y22" si="64">X22*R22</f>
        <v>0</v>
      </c>
      <c r="Z22" s="441">
        <f>INDEX(推拉窗!L:L,(ROW(B2)-1)*63+COLUMN(A2)*38)/V22</f>
        <v>10.715599999999998</v>
      </c>
      <c r="AA22" s="441">
        <f>INDEX(推拉窗!L:L,(ROW(B2)-1)*63+COLUMN(A2)*43)/V22</f>
        <v>0.59210994711538456</v>
      </c>
      <c r="AB22" s="441"/>
      <c r="AC22" s="441">
        <f>INDEX(推拉窗!L:L,(ROW(B2)-1)*63+COLUMN(A2)*46)/V22</f>
        <v>0.48076923076923073</v>
      </c>
      <c r="AD22" s="189"/>
      <c r="AE22" s="189"/>
      <c r="AF22" s="441">
        <f>INDEX(推拉窗!N:N,(ROW(B2)-1)*63+COLUMN(A2)*58)/V22</f>
        <v>0</v>
      </c>
      <c r="AG22" s="441">
        <f>(INDEX(推拉窗!N:N,(ROW(B2)-1)*63+COLUMN(A2)*60)+INDEX(推拉窗!N:N,(ROW(B2)-1)*63+COLUMN(A2)*61))/V22</f>
        <v>0</v>
      </c>
      <c r="AH22" s="189">
        <f t="shared" ref="AH22:AH26" si="65">SUM(AF22:AG22)*$AH$4</f>
        <v>0</v>
      </c>
      <c r="AI22" s="190">
        <f t="shared" ref="AI22:AI26" si="66">SUM(AF22:AH22)*$AI$4</f>
        <v>0</v>
      </c>
      <c r="AJ22" s="190">
        <f t="shared" ref="AJ22:AJ26" si="67">SUM(AF22:AG22)</f>
        <v>0</v>
      </c>
      <c r="AK22" s="190">
        <f t="shared" ref="AK22:AK26" si="68">SUM(AF22:AI22)</f>
        <v>0</v>
      </c>
      <c r="AL22" s="190">
        <f t="shared" ref="AL22:AL26" si="69">V22*AK22</f>
        <v>0</v>
      </c>
      <c r="AM22" s="190">
        <f t="shared" ref="AM22:AM26" si="70">AJ22*V22</f>
        <v>0</v>
      </c>
      <c r="AN22" s="190">
        <f t="shared" ref="AN22:AN26" si="71">AL22*R22</f>
        <v>0</v>
      </c>
      <c r="AO22" s="190">
        <f t="shared" ref="AO22:AO26" si="72">AL22*R22</f>
        <v>0</v>
      </c>
      <c r="AP22" s="190">
        <f t="shared" ref="AP22:AP26" si="73">AL22*S22</f>
        <v>0</v>
      </c>
      <c r="AQ22" s="190">
        <f t="shared" ref="AQ22:AQ26" si="74">AL22*T22</f>
        <v>0</v>
      </c>
      <c r="AR22" s="190">
        <f t="shared" ref="AR22:AR26" si="75">U22*AL22</f>
        <v>0</v>
      </c>
      <c r="AS22" s="190">
        <f t="shared" ref="AS22:AS26" si="76">AM22*S22</f>
        <v>0</v>
      </c>
      <c r="AT22" s="190">
        <f t="shared" ref="AT22:AT26" si="77">AM22*T22</f>
        <v>0</v>
      </c>
      <c r="AU22" s="190">
        <f t="shared" ref="AU22:AU26" si="78">AM22*U22</f>
        <v>0</v>
      </c>
    </row>
    <row r="23" spans="2:47" s="130" customFormat="1" ht="12" x14ac:dyDescent="0.15">
      <c r="B23" s="416"/>
      <c r="C23" s="416"/>
      <c r="D23" s="417"/>
      <c r="E23" s="418"/>
      <c r="F23" s="431"/>
      <c r="G23" s="420"/>
      <c r="H23" s="418"/>
      <c r="I23" s="421"/>
      <c r="J23" s="422"/>
      <c r="K23" s="423"/>
      <c r="L23" s="424"/>
      <c r="M23" s="424"/>
      <c r="N23" s="424"/>
      <c r="O23" s="424"/>
      <c r="P23" s="425"/>
      <c r="Q23" s="416"/>
      <c r="R23" s="416"/>
      <c r="S23" s="426"/>
      <c r="T23" s="426"/>
      <c r="U23" s="426"/>
      <c r="V23" s="427"/>
      <c r="W23" s="427"/>
      <c r="X23" s="427"/>
      <c r="Y23" s="427"/>
      <c r="Z23" s="428"/>
      <c r="AA23" s="428"/>
      <c r="AB23" s="428"/>
      <c r="AC23" s="428"/>
      <c r="AD23" s="428"/>
      <c r="AE23" s="428"/>
      <c r="AF23" s="428"/>
      <c r="AG23" s="428"/>
      <c r="AH23" s="428"/>
      <c r="AI23" s="429"/>
      <c r="AJ23" s="429"/>
      <c r="AK23" s="429"/>
      <c r="AL23" s="429"/>
      <c r="AM23" s="429"/>
      <c r="AN23" s="429"/>
      <c r="AO23" s="429"/>
      <c r="AP23" s="429"/>
      <c r="AQ23" s="429"/>
      <c r="AR23" s="429"/>
      <c r="AS23" s="429"/>
      <c r="AT23" s="429"/>
      <c r="AU23" s="429"/>
    </row>
    <row r="24" spans="2:47" s="130" customFormat="1" ht="12" x14ac:dyDescent="0.15">
      <c r="B24" s="123" t="s">
        <v>236</v>
      </c>
      <c r="C24" s="123" t="s">
        <v>237</v>
      </c>
      <c r="D24" s="322" t="s">
        <v>906</v>
      </c>
      <c r="E24" s="136" t="s">
        <v>1529</v>
      </c>
      <c r="F24" s="236" t="s">
        <v>1531</v>
      </c>
      <c r="G24" s="131"/>
      <c r="H24" s="136"/>
      <c r="I24" s="161">
        <f>INDEX(推拉门!F:F,(ROW(B1)-1)*62+COLUMN(A2)*2)</f>
        <v>80</v>
      </c>
      <c r="J24" s="160" t="str">
        <f>IF(I24=90,"系列普铝","系列断桥铝")</f>
        <v>系列断桥铝</v>
      </c>
      <c r="K24" s="133"/>
      <c r="L24" s="166">
        <f>INDEX(推拉门!J:J,(ROW(B1)-1)*62+COLUMN(A2)*2)</f>
        <v>1800</v>
      </c>
      <c r="M24" s="166">
        <f>INDEX(推拉门!L:L,(ROW(B1)-1)*62+COLUMN(A2)*2)</f>
        <v>2400</v>
      </c>
      <c r="N24" s="166">
        <f>INDEX(推拉门!L:L,(ROW(B1)-1)*62+COLUMN(A2)*13)</f>
        <v>50</v>
      </c>
      <c r="O24" s="166">
        <f t="shared" ref="O24" si="79">N24</f>
        <v>50</v>
      </c>
      <c r="P24" s="159">
        <f t="shared" ref="P24" si="80">L24-N24*2</f>
        <v>1700</v>
      </c>
      <c r="Q24" s="192">
        <f t="shared" ref="Q24" si="81">M24-O24*2</f>
        <v>2300</v>
      </c>
      <c r="R24" s="192">
        <f t="shared" ref="R24" si="82">SUM(S24:U24)</f>
        <v>0</v>
      </c>
      <c r="S24" s="168"/>
      <c r="T24" s="168"/>
      <c r="U24" s="168"/>
      <c r="V24" s="180">
        <f t="shared" ref="V24" si="83">L24*M24/1000000</f>
        <v>4.32</v>
      </c>
      <c r="W24" s="180">
        <f t="shared" ref="W24" si="84">R24*V24</f>
        <v>0</v>
      </c>
      <c r="X24" s="180">
        <f t="shared" ref="X24" si="85">P24*Q24/1000000</f>
        <v>3.91</v>
      </c>
      <c r="Y24" s="180">
        <f t="shared" ref="Y24" si="86">X24*R24</f>
        <v>0</v>
      </c>
      <c r="Z24" s="189">
        <f>INDEX(推拉门!L:L,(ROW(B1)-1)*62+COLUMN(A2)*37)/V24</f>
        <v>8.8511053240740729</v>
      </c>
      <c r="AA24" s="189">
        <f>INDEX(推拉门!L:L,(ROW(B1)-1)*62+COLUMN(A2)*42)/V24</f>
        <v>0.70335726388888886</v>
      </c>
      <c r="AB24" s="189"/>
      <c r="AC24" s="189">
        <f>INDEX(推拉门!L:L,(ROW(B1)-1)*62+COLUMN(A2)*45)/V24</f>
        <v>0.46296296296296291</v>
      </c>
      <c r="AD24" s="125"/>
      <c r="AE24" s="125"/>
      <c r="AF24" s="189">
        <f>INDEX(推拉门!N:N,(ROW(B1)-1)*62+COLUMN(A2)*57)/V24</f>
        <v>0</v>
      </c>
      <c r="AG24" s="189">
        <f>(INDEX(推拉门!N:N,(ROW(B1)-1)*62+COLUMN(A2)*59)+INDEX(推拉门!N:N,(ROW(B1)-1)*62+COLUMN(A2)*60))/V24</f>
        <v>0</v>
      </c>
      <c r="AH24" s="189">
        <f t="shared" si="65"/>
        <v>0</v>
      </c>
      <c r="AI24" s="190">
        <f t="shared" si="66"/>
        <v>0</v>
      </c>
      <c r="AJ24" s="190">
        <f t="shared" si="67"/>
        <v>0</v>
      </c>
      <c r="AK24" s="190">
        <f t="shared" si="68"/>
        <v>0</v>
      </c>
      <c r="AL24" s="190">
        <f t="shared" si="69"/>
        <v>0</v>
      </c>
      <c r="AM24" s="190">
        <f t="shared" si="70"/>
        <v>0</v>
      </c>
      <c r="AN24" s="190">
        <f t="shared" si="71"/>
        <v>0</v>
      </c>
      <c r="AO24" s="190">
        <f t="shared" si="72"/>
        <v>0</v>
      </c>
      <c r="AP24" s="190">
        <f t="shared" si="73"/>
        <v>0</v>
      </c>
      <c r="AQ24" s="190">
        <f t="shared" si="74"/>
        <v>0</v>
      </c>
      <c r="AR24" s="190">
        <f t="shared" si="75"/>
        <v>0</v>
      </c>
      <c r="AS24" s="190">
        <f t="shared" si="76"/>
        <v>0</v>
      </c>
      <c r="AT24" s="190">
        <f t="shared" si="77"/>
        <v>0</v>
      </c>
      <c r="AU24" s="190">
        <f t="shared" si="78"/>
        <v>0</v>
      </c>
    </row>
    <row r="25" spans="2:47" s="172" customFormat="1" ht="12" x14ac:dyDescent="0.15">
      <c r="B25" s="385" t="s">
        <v>238</v>
      </c>
      <c r="C25" s="385" t="s">
        <v>239</v>
      </c>
      <c r="D25" s="385" t="s">
        <v>906</v>
      </c>
      <c r="E25" s="136" t="s">
        <v>1529</v>
      </c>
      <c r="F25" s="236" t="s">
        <v>1532</v>
      </c>
      <c r="G25" s="174"/>
      <c r="H25" s="182"/>
      <c r="I25" s="161">
        <f>INDEX(推拉门!F:F,(ROW(B2)-1)*62+COLUMN(A3)*2)</f>
        <v>91</v>
      </c>
      <c r="J25" s="177" t="str">
        <f t="shared" ref="J25:J27" si="87">IF(I25=90,"系列普铝","系列断桥铝")</f>
        <v>系列断桥铝</v>
      </c>
      <c r="K25" s="180"/>
      <c r="L25" s="166">
        <f>INDEX(推拉门!J:J,(ROW(B2)-1)*62+COLUMN(A3)*2)</f>
        <v>2500</v>
      </c>
      <c r="M25" s="166">
        <f>INDEX(推拉门!L:L,(ROW(B2)-1)*62+COLUMN(A3)*2)</f>
        <v>2400</v>
      </c>
      <c r="N25" s="166">
        <f>INDEX(推拉门!L:L,(ROW(B2)-1)*62+COLUMN(A3)*13)</f>
        <v>50</v>
      </c>
      <c r="O25" s="178">
        <f t="shared" ref="O25" si="88">N25</f>
        <v>50</v>
      </c>
      <c r="P25" s="179">
        <f t="shared" ref="P25" si="89">L25-N25*2</f>
        <v>2400</v>
      </c>
      <c r="Q25" s="385">
        <f t="shared" ref="Q25" si="90">M25-O25*2</f>
        <v>2300</v>
      </c>
      <c r="R25" s="385">
        <f t="shared" ref="R25" si="91">SUM(S25:U25)</f>
        <v>0</v>
      </c>
      <c r="S25" s="385"/>
      <c r="T25" s="385"/>
      <c r="U25" s="385"/>
      <c r="V25" s="180">
        <f t="shared" ref="V25" si="92">L25*M25/1000000</f>
        <v>6</v>
      </c>
      <c r="W25" s="180">
        <f t="shared" ref="W25" si="93">R25*V25</f>
        <v>0</v>
      </c>
      <c r="X25" s="180">
        <f t="shared" ref="X25" si="94">P25*Q25/1000000</f>
        <v>5.52</v>
      </c>
      <c r="Y25" s="180">
        <f t="shared" ref="Y25" si="95">X25*R25</f>
        <v>0</v>
      </c>
      <c r="Z25" s="384">
        <f>INDEX(推拉门!L:L,(ROW(B2)-1)*62+COLUMN(A3)*37)/V25</f>
        <v>6.1138170000000001</v>
      </c>
      <c r="AA25" s="384">
        <f>INDEX(推拉门!L:L,(ROW(B2)-1)*62+COLUMN(A3)*42)/V25</f>
        <v>0.78578500000000007</v>
      </c>
      <c r="AB25" s="384"/>
      <c r="AC25" s="384">
        <f>INDEX(推拉门!L:L,(ROW(B2)-1)*62+COLUMN(A3)*45)/V25</f>
        <v>0.5</v>
      </c>
      <c r="AD25" s="181"/>
      <c r="AE25" s="181"/>
      <c r="AF25" s="384">
        <f>INDEX(推拉门!N:N,(ROW(B2)-1)*62+COLUMN(A3)*57)/V25</f>
        <v>0</v>
      </c>
      <c r="AG25" s="384">
        <f>(INDEX(推拉门!N:N,(ROW(B2)-1)*62+COLUMN(A3)*59)+INDEX(推拉门!N:N,(ROW(B2)-1)*62+COLUMN(A3)*60))/V25</f>
        <v>0</v>
      </c>
      <c r="AH25" s="181">
        <f t="shared" si="65"/>
        <v>0</v>
      </c>
      <c r="AI25" s="163">
        <f t="shared" si="66"/>
        <v>0</v>
      </c>
      <c r="AJ25" s="163">
        <f t="shared" si="67"/>
        <v>0</v>
      </c>
      <c r="AK25" s="163">
        <f t="shared" si="68"/>
        <v>0</v>
      </c>
      <c r="AL25" s="163">
        <f t="shared" si="69"/>
        <v>0</v>
      </c>
      <c r="AM25" s="163">
        <f t="shared" si="70"/>
        <v>0</v>
      </c>
      <c r="AN25" s="163">
        <f t="shared" si="71"/>
        <v>0</v>
      </c>
      <c r="AO25" s="163">
        <f t="shared" si="72"/>
        <v>0</v>
      </c>
      <c r="AP25" s="163">
        <f t="shared" si="73"/>
        <v>0</v>
      </c>
      <c r="AQ25" s="163">
        <f t="shared" si="74"/>
        <v>0</v>
      </c>
      <c r="AR25" s="163">
        <f t="shared" si="75"/>
        <v>0</v>
      </c>
      <c r="AS25" s="163">
        <f t="shared" si="76"/>
        <v>0</v>
      </c>
      <c r="AT25" s="163">
        <f t="shared" si="77"/>
        <v>0</v>
      </c>
      <c r="AU25" s="163">
        <f t="shared" si="78"/>
        <v>0</v>
      </c>
    </row>
    <row r="26" spans="2:47" s="172" customFormat="1" ht="12" x14ac:dyDescent="0.15">
      <c r="B26" s="191" t="s">
        <v>240</v>
      </c>
      <c r="C26" s="191" t="s">
        <v>241</v>
      </c>
      <c r="D26" s="322" t="s">
        <v>906</v>
      </c>
      <c r="E26" s="136" t="s">
        <v>1529</v>
      </c>
      <c r="F26" s="236" t="s">
        <v>1533</v>
      </c>
      <c r="G26" s="174"/>
      <c r="H26" s="182"/>
      <c r="I26" s="161">
        <f>INDEX(推拉门!F:F,(ROW(B3)-1)*62+COLUMN(A4)*2)</f>
        <v>80</v>
      </c>
      <c r="J26" s="177" t="str">
        <f t="shared" si="87"/>
        <v>系列断桥铝</v>
      </c>
      <c r="K26" s="180"/>
      <c r="L26" s="166">
        <f>INDEX(推拉门!J:J,(ROW(B3)-1)*62+COLUMN(A4)*2)</f>
        <v>3600</v>
      </c>
      <c r="M26" s="166">
        <f>INDEX(推拉门!L:L,(ROW(B3)-1)*62+COLUMN(A4)*2)</f>
        <v>2400</v>
      </c>
      <c r="N26" s="166">
        <f>INDEX(推拉门!L:L,(ROW(B3)-1)*62+COLUMN(A4)*13)</f>
        <v>50</v>
      </c>
      <c r="O26" s="178">
        <f t="shared" ref="O26:O27" si="96">N26</f>
        <v>50</v>
      </c>
      <c r="P26" s="179">
        <f t="shared" ref="P26:P27" si="97">L26-N26*2</f>
        <v>3500</v>
      </c>
      <c r="Q26" s="191">
        <f t="shared" ref="Q26:Q27" si="98">M26-O26*2</f>
        <v>2300</v>
      </c>
      <c r="R26" s="191">
        <f t="shared" ref="R26:R27" si="99">SUM(S26:U26)</f>
        <v>0</v>
      </c>
      <c r="S26" s="168"/>
      <c r="T26" s="168"/>
      <c r="U26" s="168"/>
      <c r="V26" s="180">
        <f t="shared" ref="V26:V27" si="100">L26*M26/1000000</f>
        <v>8.64</v>
      </c>
      <c r="W26" s="180">
        <f t="shared" ref="W26:W27" si="101">R26*V26</f>
        <v>0</v>
      </c>
      <c r="X26" s="180">
        <f t="shared" ref="X26:X27" si="102">P26*Q26/1000000</f>
        <v>8.0500000000000007</v>
      </c>
      <c r="Y26" s="180">
        <f t="shared" ref="Y26:Y27" si="103">X26*R26</f>
        <v>0</v>
      </c>
      <c r="Z26" s="384">
        <f>INDEX(推拉门!L:L,(ROW(B3)-1)*62+COLUMN(A4)*37)/V26</f>
        <v>7.9477120138888901</v>
      </c>
      <c r="AA26" s="384">
        <f>INDEX(推拉门!L:L,(ROW(B3)-1)*62+COLUMN(A4)*42)/V26</f>
        <v>0.74753860648148152</v>
      </c>
      <c r="AB26" s="384"/>
      <c r="AC26" s="384">
        <f>INDEX(推拉门!L:L,(ROW(B3)-1)*62+COLUMN(A4)*45)/V26</f>
        <v>0.23148148148148145</v>
      </c>
      <c r="AD26" s="181"/>
      <c r="AE26" s="181"/>
      <c r="AF26" s="384">
        <f>INDEX(推拉门!N:N,(ROW(B3)-1)*62+COLUMN(A4)*57)/V26</f>
        <v>0</v>
      </c>
      <c r="AG26" s="384">
        <f>(INDEX(推拉门!N:N,(ROW(B3)-1)*62+COLUMN(A4)*59)+INDEX(推拉门!N:N,(ROW(B3)-1)*62+COLUMN(A4)*60))/V26</f>
        <v>0</v>
      </c>
      <c r="AH26" s="181">
        <f t="shared" si="65"/>
        <v>0</v>
      </c>
      <c r="AI26" s="163">
        <f t="shared" si="66"/>
        <v>0</v>
      </c>
      <c r="AJ26" s="163">
        <f t="shared" si="67"/>
        <v>0</v>
      </c>
      <c r="AK26" s="163">
        <f t="shared" si="68"/>
        <v>0</v>
      </c>
      <c r="AL26" s="163">
        <f t="shared" si="69"/>
        <v>0</v>
      </c>
      <c r="AM26" s="163">
        <f t="shared" si="70"/>
        <v>0</v>
      </c>
      <c r="AN26" s="163">
        <f t="shared" si="71"/>
        <v>0</v>
      </c>
      <c r="AO26" s="163">
        <f t="shared" si="72"/>
        <v>0</v>
      </c>
      <c r="AP26" s="163">
        <f t="shared" si="73"/>
        <v>0</v>
      </c>
      <c r="AQ26" s="163">
        <f t="shared" si="74"/>
        <v>0</v>
      </c>
      <c r="AR26" s="163">
        <f t="shared" si="75"/>
        <v>0</v>
      </c>
      <c r="AS26" s="163">
        <f t="shared" si="76"/>
        <v>0</v>
      </c>
      <c r="AT26" s="163">
        <f t="shared" si="77"/>
        <v>0</v>
      </c>
      <c r="AU26" s="163">
        <f t="shared" si="78"/>
        <v>0</v>
      </c>
    </row>
    <row r="27" spans="2:47" s="130" customFormat="1" ht="12" x14ac:dyDescent="0.15">
      <c r="B27" s="123" t="s">
        <v>242</v>
      </c>
      <c r="C27" s="123" t="s">
        <v>243</v>
      </c>
      <c r="D27" s="322" t="s">
        <v>906</v>
      </c>
      <c r="E27" s="136" t="s">
        <v>1529</v>
      </c>
      <c r="F27" s="236" t="s">
        <v>1534</v>
      </c>
      <c r="G27" s="131"/>
      <c r="H27" s="136"/>
      <c r="I27" s="161">
        <f>INDEX(推拉门!F:F,(ROW(B4)-1)*62+COLUMN(A5)*2)</f>
        <v>80</v>
      </c>
      <c r="J27" s="160" t="str">
        <f t="shared" si="87"/>
        <v>系列断桥铝</v>
      </c>
      <c r="K27" s="133"/>
      <c r="L27" s="166">
        <f>INDEX(推拉门!J:J,(ROW(B4)-1)*62+COLUMN(A5)*2)</f>
        <v>3600</v>
      </c>
      <c r="M27" s="166">
        <f>INDEX(推拉门!L:L,(ROW(B4)-1)*62+COLUMN(A5)*2)</f>
        <v>2400</v>
      </c>
      <c r="N27" s="166">
        <f>INDEX(推拉门!L:L,(ROW(B4)-1)*62+COLUMN(A5)*13)</f>
        <v>50</v>
      </c>
      <c r="O27" s="166">
        <f t="shared" si="96"/>
        <v>50</v>
      </c>
      <c r="P27" s="159">
        <f t="shared" si="97"/>
        <v>3500</v>
      </c>
      <c r="Q27" s="192">
        <f t="shared" si="98"/>
        <v>2300</v>
      </c>
      <c r="R27" s="192">
        <f t="shared" si="99"/>
        <v>0</v>
      </c>
      <c r="S27" s="168"/>
      <c r="T27" s="168"/>
      <c r="U27" s="168"/>
      <c r="V27" s="180">
        <f t="shared" si="100"/>
        <v>8.64</v>
      </c>
      <c r="W27" s="180">
        <f t="shared" si="101"/>
        <v>0</v>
      </c>
      <c r="X27" s="180">
        <f t="shared" si="102"/>
        <v>8.0500000000000007</v>
      </c>
      <c r="Y27" s="180">
        <f t="shared" si="103"/>
        <v>0</v>
      </c>
      <c r="Z27" s="384">
        <f>INDEX(推拉门!L:L,(ROW(B4)-1)*62+COLUMN(A5)*37)/V27</f>
        <v>7.9477120138888901</v>
      </c>
      <c r="AA27" s="384">
        <f>INDEX(推拉门!L:L,(ROW(B4)-1)*62+COLUMN(A5)*42)/V27</f>
        <v>0.74753860648148152</v>
      </c>
      <c r="AB27" s="384"/>
      <c r="AC27" s="384">
        <f>INDEX(推拉门!L:L,(ROW(B4)-1)*62+COLUMN(A5)*45)/V27</f>
        <v>0.46296296296296291</v>
      </c>
      <c r="AD27" s="125"/>
      <c r="AE27" s="125"/>
      <c r="AF27" s="384">
        <f>INDEX(推拉门!N:N,(ROW(B4)-1)*62+COLUMN(A5)*57)/V27</f>
        <v>0</v>
      </c>
      <c r="AG27" s="384">
        <f>(INDEX(推拉门!N:N,(ROW(B4)-1)*62+COLUMN(A5)*59)+INDEX(推拉门!N:N,(ROW(B4)-1)*62+COLUMN(A5)*60))/V27</f>
        <v>0</v>
      </c>
      <c r="AH27" s="189">
        <f t="shared" ref="AH27" si="104">SUM(AF27:AG27)*$AH$4</f>
        <v>0</v>
      </c>
      <c r="AI27" s="190">
        <f t="shared" ref="AI27" si="105">SUM(AF27:AH27)*$AI$4</f>
        <v>0</v>
      </c>
      <c r="AJ27" s="190">
        <f t="shared" ref="AJ27" si="106">SUM(AF27:AG27)</f>
        <v>0</v>
      </c>
      <c r="AK27" s="190">
        <f t="shared" ref="AK27" si="107">SUM(AF27:AI27)</f>
        <v>0</v>
      </c>
      <c r="AL27" s="190">
        <f t="shared" ref="AL27" si="108">V27*AK27</f>
        <v>0</v>
      </c>
      <c r="AM27" s="190">
        <f t="shared" ref="AM27" si="109">AJ27*V27</f>
        <v>0</v>
      </c>
      <c r="AN27" s="190">
        <f t="shared" ref="AN27" si="110">AL27*R27</f>
        <v>0</v>
      </c>
      <c r="AO27" s="190">
        <f t="shared" ref="AO27" si="111">AL27*R27</f>
        <v>0</v>
      </c>
      <c r="AP27" s="190">
        <f t="shared" ref="AP27" si="112">AL27*S27</f>
        <v>0</v>
      </c>
      <c r="AQ27" s="190">
        <f t="shared" ref="AQ27" si="113">AL27*T27</f>
        <v>0</v>
      </c>
      <c r="AR27" s="190">
        <f t="shared" ref="AR27" si="114">U27*AL27</f>
        <v>0</v>
      </c>
      <c r="AS27" s="190">
        <f t="shared" ref="AS27" si="115">AM27*S27</f>
        <v>0</v>
      </c>
      <c r="AT27" s="190">
        <f t="shared" ref="AT27" si="116">AM27*T27</f>
        <v>0</v>
      </c>
      <c r="AU27" s="190">
        <f t="shared" ref="AU27" si="117">AM27*U27</f>
        <v>0</v>
      </c>
    </row>
    <row r="28" spans="2:47" s="130" customFormat="1" ht="12" x14ac:dyDescent="0.15">
      <c r="B28" s="416"/>
      <c r="C28" s="416"/>
      <c r="D28" s="417"/>
      <c r="E28" s="418"/>
      <c r="F28" s="431"/>
      <c r="G28" s="420"/>
      <c r="H28" s="418"/>
      <c r="I28" s="421"/>
      <c r="J28" s="422"/>
      <c r="K28" s="423"/>
      <c r="L28" s="424"/>
      <c r="M28" s="424"/>
      <c r="N28" s="424"/>
      <c r="O28" s="424"/>
      <c r="P28" s="425"/>
      <c r="Q28" s="416"/>
      <c r="R28" s="416"/>
      <c r="S28" s="426"/>
      <c r="T28" s="426"/>
      <c r="U28" s="426"/>
      <c r="V28" s="427"/>
      <c r="W28" s="427"/>
      <c r="X28" s="427"/>
      <c r="Y28" s="427"/>
      <c r="Z28" s="428"/>
      <c r="AA28" s="428"/>
      <c r="AB28" s="428"/>
      <c r="AC28" s="428"/>
      <c r="AD28" s="428"/>
      <c r="AE28" s="428"/>
      <c r="AF28" s="428"/>
      <c r="AG28" s="428"/>
      <c r="AH28" s="428"/>
      <c r="AI28" s="429"/>
      <c r="AJ28" s="429"/>
      <c r="AK28" s="429"/>
      <c r="AL28" s="429"/>
      <c r="AM28" s="429"/>
      <c r="AN28" s="429"/>
      <c r="AO28" s="429"/>
      <c r="AP28" s="429"/>
      <c r="AQ28" s="429"/>
      <c r="AR28" s="429"/>
      <c r="AS28" s="429"/>
      <c r="AT28" s="429"/>
      <c r="AU28" s="429"/>
    </row>
    <row r="29" spans="2:47" s="130" customFormat="1" ht="12" x14ac:dyDescent="0.15">
      <c r="B29" s="123" t="s">
        <v>244</v>
      </c>
      <c r="C29" s="123" t="s">
        <v>245</v>
      </c>
      <c r="D29" s="322" t="s">
        <v>906</v>
      </c>
      <c r="E29" s="136" t="s">
        <v>1530</v>
      </c>
      <c r="F29" s="236" t="s">
        <v>1535</v>
      </c>
      <c r="G29" s="131"/>
      <c r="H29" s="136"/>
      <c r="I29" s="161">
        <f>INDEX(提升推拉门!F:F,(ROW(B1)-1)*65+COLUMN(A5)*2)</f>
        <v>128</v>
      </c>
      <c r="J29" s="160" t="str">
        <f>IF(I29=120,"系列普铝","系列断桥铝")</f>
        <v>系列断桥铝</v>
      </c>
      <c r="K29" s="133"/>
      <c r="L29" s="166">
        <f>INDEX(提升推拉门!J:J,(ROW(B1)-1)*65+COLUMN(A5)*2)</f>
        <v>2500</v>
      </c>
      <c r="M29" s="166">
        <f>INDEX(提升推拉门!L:L,(ROW(B1)-1)*65+COLUMN(A5)*2)</f>
        <v>2400</v>
      </c>
      <c r="N29" s="166">
        <f>INDEX(提升推拉门!L:L,(ROW(B1)-1)*65+COLUMN(A5)*13)</f>
        <v>50</v>
      </c>
      <c r="O29" s="166">
        <f t="shared" ref="O29:O31" si="118">N29</f>
        <v>50</v>
      </c>
      <c r="P29" s="159">
        <f t="shared" ref="P29:P31" si="119">L29-N29*2</f>
        <v>2400</v>
      </c>
      <c r="Q29" s="192">
        <f t="shared" ref="Q29:Q31" si="120">M29-O29*2</f>
        <v>2300</v>
      </c>
      <c r="R29" s="192">
        <f t="shared" ref="R29:R31" si="121">SUM(S29:U29)</f>
        <v>0</v>
      </c>
      <c r="S29" s="168"/>
      <c r="T29" s="168"/>
      <c r="U29" s="168"/>
      <c r="V29" s="180">
        <f t="shared" ref="V29:V31" si="122">L29*M29/1000000</f>
        <v>6</v>
      </c>
      <c r="W29" s="180">
        <f t="shared" ref="W29:W31" si="123">R29*V29</f>
        <v>0</v>
      </c>
      <c r="X29" s="180">
        <f t="shared" ref="X29:X31" si="124">P29*Q29/1000000</f>
        <v>5.52</v>
      </c>
      <c r="Y29" s="180">
        <f t="shared" ref="Y29:Y31" si="125">X29*R29</f>
        <v>0</v>
      </c>
      <c r="Z29" s="189">
        <f>INDEX(提升推拉门!L:L,(ROW(B1)-1)*65+COLUMN(A5)*40)/V29</f>
        <v>9.4945878566666657</v>
      </c>
      <c r="AA29" s="189">
        <f>INDEX(提升推拉门!L:L,(ROW(B1)-1)*65+COLUMN(A5)*45)/V29</f>
        <v>0.71737494216666653</v>
      </c>
      <c r="AB29" s="189"/>
      <c r="AC29" s="189">
        <f>INDEX(提升推拉门!L:L,(ROW(B1)-1)*65+COLUMN(A5)*48)/V29</f>
        <v>0.16666666666666666</v>
      </c>
      <c r="AD29" s="125"/>
      <c r="AE29" s="125"/>
      <c r="AF29" s="189">
        <f>INDEX(提升推拉门!N:N,(ROW(B1)-1)*65+COLUMN(A5)*60)/V29</f>
        <v>0</v>
      </c>
      <c r="AG29" s="189">
        <f>(INDEX(提升推拉门!N:N,(ROW(B1)-1)*65+COLUMN(A5)*62)+INDEX(提升推拉门!N:N,(ROW(B1)-1)*65+COLUMN(A5)*63))/V29</f>
        <v>0</v>
      </c>
      <c r="AH29" s="189">
        <f t="shared" ref="AH29:AH31" si="126">SUM(AF29:AG29)*$AH$4</f>
        <v>0</v>
      </c>
      <c r="AI29" s="190">
        <f t="shared" ref="AI29:AI31" si="127">SUM(AF29:AH29)*$AI$4</f>
        <v>0</v>
      </c>
      <c r="AJ29" s="190">
        <f t="shared" ref="AJ29:AJ31" si="128">SUM(AF29:AG29)</f>
        <v>0</v>
      </c>
      <c r="AK29" s="190">
        <f t="shared" ref="AK29:AK31" si="129">SUM(AF29:AI29)</f>
        <v>0</v>
      </c>
      <c r="AL29" s="190">
        <f t="shared" ref="AL29:AL31" si="130">V29*AK29</f>
        <v>0</v>
      </c>
      <c r="AM29" s="190">
        <f t="shared" ref="AM29:AM31" si="131">AJ29*V29</f>
        <v>0</v>
      </c>
      <c r="AN29" s="190">
        <f t="shared" ref="AN29:AN31" si="132">AL29*R29</f>
        <v>0</v>
      </c>
      <c r="AO29" s="190">
        <f t="shared" ref="AO29:AO31" si="133">AL29*R29</f>
        <v>0</v>
      </c>
      <c r="AP29" s="190">
        <f t="shared" ref="AP29:AP31" si="134">AL29*S29</f>
        <v>0</v>
      </c>
      <c r="AQ29" s="190">
        <f t="shared" ref="AQ29:AQ31" si="135">AL29*T29</f>
        <v>0</v>
      </c>
      <c r="AR29" s="190">
        <f t="shared" ref="AR29:AR31" si="136">U29*AL29</f>
        <v>0</v>
      </c>
      <c r="AS29" s="190">
        <f t="shared" ref="AS29:AS31" si="137">AM29*S29</f>
        <v>0</v>
      </c>
      <c r="AT29" s="190">
        <f t="shared" ref="AT29:AT31" si="138">AM29*T29</f>
        <v>0</v>
      </c>
      <c r="AU29" s="190">
        <f t="shared" ref="AU29:AU31" si="139">AM29*U29</f>
        <v>0</v>
      </c>
    </row>
    <row r="30" spans="2:47" s="130" customFormat="1" ht="12" x14ac:dyDescent="0.15">
      <c r="B30" s="123"/>
      <c r="C30" s="123"/>
      <c r="D30" s="322" t="s">
        <v>906</v>
      </c>
      <c r="E30" s="136" t="s">
        <v>1530</v>
      </c>
      <c r="F30" s="236" t="s">
        <v>1536</v>
      </c>
      <c r="G30" s="131"/>
      <c r="H30" s="136"/>
      <c r="I30" s="161">
        <f>INDEX(提升推拉门!F:F,(ROW(B2)-1)*65+COLUMN(A6)*2)</f>
        <v>128</v>
      </c>
      <c r="J30" s="160" t="str">
        <f t="shared" ref="J30:J31" si="140">IF(I30=120,"系列普铝","系列断桥铝")</f>
        <v>系列断桥铝</v>
      </c>
      <c r="K30" s="133"/>
      <c r="L30" s="166">
        <f>INDEX(提升推拉门!J:J,(ROW(B2)-1)*65+COLUMN(A6)*2)</f>
        <v>2800</v>
      </c>
      <c r="M30" s="166">
        <f>INDEX(提升推拉门!L:L,(ROW(B2)-1)*65+COLUMN(A6)*2)</f>
        <v>2400</v>
      </c>
      <c r="N30" s="166">
        <f>INDEX(提升推拉门!L:L,(ROW(B2)-1)*65+COLUMN(A6)*13)</f>
        <v>50</v>
      </c>
      <c r="O30" s="166">
        <f t="shared" si="118"/>
        <v>50</v>
      </c>
      <c r="P30" s="159">
        <f t="shared" si="119"/>
        <v>2700</v>
      </c>
      <c r="Q30" s="192">
        <f t="shared" si="120"/>
        <v>2300</v>
      </c>
      <c r="R30" s="192">
        <f t="shared" si="121"/>
        <v>0</v>
      </c>
      <c r="S30" s="168"/>
      <c r="T30" s="168"/>
      <c r="U30" s="168"/>
      <c r="V30" s="180">
        <f t="shared" si="122"/>
        <v>6.72</v>
      </c>
      <c r="W30" s="180">
        <f t="shared" si="123"/>
        <v>0</v>
      </c>
      <c r="X30" s="180">
        <f t="shared" si="124"/>
        <v>6.21</v>
      </c>
      <c r="Y30" s="180">
        <f t="shared" si="125"/>
        <v>0</v>
      </c>
      <c r="Z30" s="408">
        <f>INDEX(提升推拉门!L:L,(ROW(B2)-1)*65+COLUMN(A6)*40)/V30</f>
        <v>8.9798552291666667</v>
      </c>
      <c r="AA30" s="408">
        <f>INDEX(提升推拉门!L:L,(ROW(B2)-1)*65+COLUMN(A6)*45)/V30</f>
        <v>0.73211557336309507</v>
      </c>
      <c r="AB30" s="189"/>
      <c r="AC30" s="408">
        <f>INDEX(提升推拉门!L:L,(ROW(B2)-1)*65+COLUMN(A6)*48)/V30</f>
        <v>0.29761904761904762</v>
      </c>
      <c r="AD30" s="125"/>
      <c r="AE30" s="125"/>
      <c r="AF30" s="189">
        <f>提升推拉门!N125/V30</f>
        <v>0</v>
      </c>
      <c r="AG30" s="408">
        <f>(INDEX(提升推拉门!N:N,(ROW(B2)-1)*65+COLUMN(A6)*62)+INDEX(提升推拉门!N:N,(ROW(B2)-1)*65+COLUMN(A6)*63))/V30</f>
        <v>0</v>
      </c>
      <c r="AH30" s="189">
        <f t="shared" si="126"/>
        <v>0</v>
      </c>
      <c r="AI30" s="190">
        <f t="shared" si="127"/>
        <v>0</v>
      </c>
      <c r="AJ30" s="190">
        <f t="shared" si="128"/>
        <v>0</v>
      </c>
      <c r="AK30" s="190">
        <f t="shared" si="129"/>
        <v>0</v>
      </c>
      <c r="AL30" s="190">
        <f t="shared" si="130"/>
        <v>0</v>
      </c>
      <c r="AM30" s="190">
        <f t="shared" si="131"/>
        <v>0</v>
      </c>
      <c r="AN30" s="190">
        <f t="shared" si="132"/>
        <v>0</v>
      </c>
      <c r="AO30" s="190">
        <f t="shared" si="133"/>
        <v>0</v>
      </c>
      <c r="AP30" s="190">
        <f t="shared" si="134"/>
        <v>0</v>
      </c>
      <c r="AQ30" s="190">
        <f t="shared" si="135"/>
        <v>0</v>
      </c>
      <c r="AR30" s="190">
        <f t="shared" si="136"/>
        <v>0</v>
      </c>
      <c r="AS30" s="190">
        <f t="shared" si="137"/>
        <v>0</v>
      </c>
      <c r="AT30" s="190">
        <f t="shared" si="138"/>
        <v>0</v>
      </c>
      <c r="AU30" s="190">
        <f t="shared" si="139"/>
        <v>0</v>
      </c>
    </row>
    <row r="31" spans="2:47" s="130" customFormat="1" ht="12" x14ac:dyDescent="0.15">
      <c r="B31" s="123"/>
      <c r="C31" s="123"/>
      <c r="D31" s="322" t="s">
        <v>906</v>
      </c>
      <c r="E31" s="136" t="s">
        <v>1530</v>
      </c>
      <c r="F31" s="236" t="s">
        <v>1537</v>
      </c>
      <c r="G31" s="131"/>
      <c r="H31" s="136"/>
      <c r="I31" s="161">
        <f>INDEX(提升推拉门!F:F,(ROW(B3)-1)*65+COLUMN(A7)*2)</f>
        <v>128</v>
      </c>
      <c r="J31" s="160" t="str">
        <f t="shared" si="140"/>
        <v>系列断桥铝</v>
      </c>
      <c r="K31" s="133"/>
      <c r="L31" s="166">
        <f>INDEX(提升推拉门!J:J,(ROW(B3)-1)*65+COLUMN(A7)*2)</f>
        <v>4900</v>
      </c>
      <c r="M31" s="166">
        <f>INDEX(提升推拉门!L:L,(ROW(B3)-1)*65+COLUMN(A7)*2)</f>
        <v>2400</v>
      </c>
      <c r="N31" s="166">
        <f>INDEX(提升推拉门!L:L,(ROW(B3)-1)*65+COLUMN(A7)*13)</f>
        <v>50</v>
      </c>
      <c r="O31" s="166">
        <f t="shared" si="118"/>
        <v>50</v>
      </c>
      <c r="P31" s="159">
        <f t="shared" si="119"/>
        <v>4800</v>
      </c>
      <c r="Q31" s="192">
        <f t="shared" si="120"/>
        <v>2300</v>
      </c>
      <c r="R31" s="192">
        <f t="shared" si="121"/>
        <v>0</v>
      </c>
      <c r="S31" s="168"/>
      <c r="T31" s="168"/>
      <c r="U31" s="168"/>
      <c r="V31" s="180">
        <f t="shared" si="122"/>
        <v>11.76</v>
      </c>
      <c r="W31" s="180">
        <f t="shared" si="123"/>
        <v>0</v>
      </c>
      <c r="X31" s="180">
        <f t="shared" si="124"/>
        <v>11.04</v>
      </c>
      <c r="Y31" s="180">
        <f t="shared" si="125"/>
        <v>0</v>
      </c>
      <c r="Z31" s="408">
        <f>INDEX(提升推拉门!L:L,(ROW(B3)-1)*65+COLUMN(A7)*40)/V31</f>
        <v>8.9335101428571431</v>
      </c>
      <c r="AA31" s="408">
        <f>INDEX(提升推拉门!L:L,(ROW(B3)-1)*65+COLUMN(A7)*45)/V31</f>
        <v>0.74684608469387748</v>
      </c>
      <c r="AB31" s="189"/>
      <c r="AC31" s="408">
        <f>INDEX(提升推拉门!L:L,(ROW(B3)-1)*65+COLUMN(A7)*48)/V31</f>
        <v>0.3401360544217687</v>
      </c>
      <c r="AD31" s="125"/>
      <c r="AE31" s="125"/>
      <c r="AF31" s="189">
        <f>提升推拉门!N190/V31</f>
        <v>0</v>
      </c>
      <c r="AG31" s="408">
        <f>(INDEX(提升推拉门!N:N,(ROW(B3)-1)*65+COLUMN(A7)*62)+INDEX(提升推拉门!N:N,(ROW(B3)-1)*65+COLUMN(A7)*63))/V31</f>
        <v>0</v>
      </c>
      <c r="AH31" s="189">
        <f t="shared" si="126"/>
        <v>0</v>
      </c>
      <c r="AI31" s="190">
        <f t="shared" si="127"/>
        <v>0</v>
      </c>
      <c r="AJ31" s="190">
        <f t="shared" si="128"/>
        <v>0</v>
      </c>
      <c r="AK31" s="190">
        <f t="shared" si="129"/>
        <v>0</v>
      </c>
      <c r="AL31" s="190">
        <f t="shared" si="130"/>
        <v>0</v>
      </c>
      <c r="AM31" s="190">
        <f t="shared" si="131"/>
        <v>0</v>
      </c>
      <c r="AN31" s="190">
        <f t="shared" si="132"/>
        <v>0</v>
      </c>
      <c r="AO31" s="190">
        <f t="shared" si="133"/>
        <v>0</v>
      </c>
      <c r="AP31" s="190">
        <f t="shared" si="134"/>
        <v>0</v>
      </c>
      <c r="AQ31" s="190">
        <f t="shared" si="135"/>
        <v>0</v>
      </c>
      <c r="AR31" s="190">
        <f t="shared" si="136"/>
        <v>0</v>
      </c>
      <c r="AS31" s="190">
        <f t="shared" si="137"/>
        <v>0</v>
      </c>
      <c r="AT31" s="190">
        <f t="shared" si="138"/>
        <v>0</v>
      </c>
      <c r="AU31" s="190">
        <f t="shared" si="139"/>
        <v>0</v>
      </c>
    </row>
    <row r="32" spans="2:47" s="130" customFormat="1" ht="12" x14ac:dyDescent="0.15">
      <c r="B32" s="416"/>
      <c r="C32" s="416"/>
      <c r="D32" s="417"/>
      <c r="E32" s="418"/>
      <c r="F32" s="431"/>
      <c r="G32" s="420"/>
      <c r="H32" s="418"/>
      <c r="I32" s="421"/>
      <c r="J32" s="422"/>
      <c r="K32" s="423"/>
      <c r="L32" s="424"/>
      <c r="M32" s="424"/>
      <c r="N32" s="424"/>
      <c r="O32" s="424"/>
      <c r="P32" s="425"/>
      <c r="Q32" s="416"/>
      <c r="R32" s="416"/>
      <c r="S32" s="426"/>
      <c r="T32" s="426"/>
      <c r="U32" s="426"/>
      <c r="V32" s="427"/>
      <c r="W32" s="427"/>
      <c r="X32" s="427"/>
      <c r="Y32" s="427"/>
      <c r="Z32" s="428"/>
      <c r="AA32" s="428"/>
      <c r="AB32" s="428"/>
      <c r="AC32" s="428"/>
      <c r="AD32" s="428"/>
      <c r="AE32" s="428"/>
      <c r="AF32" s="428"/>
      <c r="AG32" s="428"/>
      <c r="AH32" s="428"/>
      <c r="AI32" s="429"/>
      <c r="AJ32" s="429"/>
      <c r="AK32" s="429"/>
      <c r="AL32" s="429"/>
      <c r="AM32" s="429"/>
      <c r="AN32" s="429"/>
      <c r="AO32" s="429"/>
      <c r="AP32" s="429"/>
      <c r="AQ32" s="429"/>
      <c r="AR32" s="429"/>
      <c r="AS32" s="429"/>
      <c r="AT32" s="429"/>
      <c r="AU32" s="429"/>
    </row>
    <row r="33" spans="2:47" s="130" customFormat="1" ht="12" x14ac:dyDescent="0.15">
      <c r="B33" s="123"/>
      <c r="C33" s="123"/>
      <c r="D33" s="322" t="s">
        <v>905</v>
      </c>
      <c r="E33" s="136" t="s">
        <v>1549</v>
      </c>
      <c r="F33" s="236" t="s">
        <v>1538</v>
      </c>
      <c r="G33" s="131"/>
      <c r="H33" s="132"/>
      <c r="I33" s="161">
        <f>INDEX(外开窗!G:G,(ROW(B1)-1)*75+COLUMN(A7)*2)</f>
        <v>60</v>
      </c>
      <c r="J33" s="160" t="str">
        <f>IF(I33=50,"系列普铝","系列断桥铝")</f>
        <v>系列断桥铝</v>
      </c>
      <c r="K33" s="133"/>
      <c r="L33" s="166">
        <f>INDEX(外开窗!K:K,(ROW(B1)-1)*75+COLUMN(A7)*2)</f>
        <v>600</v>
      </c>
      <c r="M33" s="166">
        <f>INDEX(外开窗!M:M,(ROW(B1)-1)*75+COLUMN(A7)*2)</f>
        <v>1300</v>
      </c>
      <c r="N33" s="166">
        <f>INDEX(外开窗!M:M,(ROW(B1)-1)*75+COLUMN(A7)*13)</f>
        <v>50</v>
      </c>
      <c r="O33" s="166">
        <f t="shared" ref="O33:O55" si="141">N33</f>
        <v>50</v>
      </c>
      <c r="P33" s="159">
        <f t="shared" ref="P33:P55" si="142">L33-N33*2</f>
        <v>500</v>
      </c>
      <c r="Q33" s="192">
        <f t="shared" ref="Q33:Q55" si="143">M33-O33*2</f>
        <v>1200</v>
      </c>
      <c r="R33" s="192">
        <f t="shared" ref="R33:R55" si="144">SUM(S33:U33)</f>
        <v>0</v>
      </c>
      <c r="S33" s="168"/>
      <c r="T33" s="168"/>
      <c r="U33" s="168"/>
      <c r="V33" s="180">
        <f>INDEX(外开窗!M:M,(ROW(B1)-1)*75+COLUMN(A7)*14)</f>
        <v>0.78</v>
      </c>
      <c r="W33" s="180">
        <f t="shared" ref="W33:W55" si="145">R33*V33</f>
        <v>0</v>
      </c>
      <c r="X33" s="180">
        <f t="shared" ref="X33:X53" si="146">P33*Q33/1000000</f>
        <v>0.6</v>
      </c>
      <c r="Y33" s="180">
        <f t="shared" ref="Y33:Y55" si="147">X33*R33</f>
        <v>0</v>
      </c>
      <c r="Z33" s="125">
        <f>INDEX(外开窗!M:M,(ROW(B1)-1)*75+COLUMN(A7)*47)/V33</f>
        <v>12.095559999999999</v>
      </c>
      <c r="AA33" s="408">
        <f>INDEX(外开窗!M:M,(ROW(B1)-1)*75+COLUMN(A7)*55)/V33</f>
        <v>0.44101153846153845</v>
      </c>
      <c r="AB33" s="125"/>
      <c r="AC33" s="408">
        <f>INDEX(外开窗!M:M,(ROW(B1)-1)*75+COLUMN(A7)*58)/V33</f>
        <v>1.2820512820512819</v>
      </c>
      <c r="AD33" s="125"/>
      <c r="AE33" s="125"/>
      <c r="AF33" s="408">
        <f>INDEX(外开窗!O:O,(ROW(B1)-1)*75+COLUMN(A7)*70)/V33</f>
        <v>0</v>
      </c>
      <c r="AG33" s="408">
        <f>(INDEX(外开窗!O:O,(ROW(B1)-1)*75+COLUMN(A7)*72)+INDEX(外开窗!O:O,(ROW(B1)-1)*75+COLUMN(A7)*73))/V33</f>
        <v>0</v>
      </c>
      <c r="AH33" s="189">
        <f t="shared" ref="AH33:AH55" si="148">SUM(AF33:AG33)*$AH$4</f>
        <v>0</v>
      </c>
      <c r="AI33" s="190">
        <f t="shared" ref="AI33:AI55" si="149">SUM(AF33:AH33)*$AI$4</f>
        <v>0</v>
      </c>
      <c r="AJ33" s="190">
        <f t="shared" ref="AJ33:AJ55" si="150">SUM(AF33:AG33)</f>
        <v>0</v>
      </c>
      <c r="AK33" s="190">
        <f t="shared" ref="AK33:AK55" si="151">SUM(AF33:AI33)</f>
        <v>0</v>
      </c>
      <c r="AL33" s="190">
        <f t="shared" ref="AL33:AL55" si="152">V33*AK33</f>
        <v>0</v>
      </c>
      <c r="AM33" s="190">
        <f t="shared" ref="AM33:AM55" si="153">AJ33*V33</f>
        <v>0</v>
      </c>
      <c r="AN33" s="190">
        <f t="shared" ref="AN33:AN55" si="154">AL33*R33</f>
        <v>0</v>
      </c>
      <c r="AO33" s="190">
        <f t="shared" ref="AO33:AO55" si="155">AL33*R33</f>
        <v>0</v>
      </c>
      <c r="AP33" s="190">
        <f t="shared" ref="AP33:AP55" si="156">AL33*S33</f>
        <v>0</v>
      </c>
      <c r="AQ33" s="190">
        <f t="shared" ref="AQ33:AQ55" si="157">AL33*T33</f>
        <v>0</v>
      </c>
      <c r="AR33" s="190">
        <f t="shared" ref="AR33:AR55" si="158">U33*AL33</f>
        <v>0</v>
      </c>
      <c r="AS33" s="190">
        <f t="shared" ref="AS33:AS55" si="159">AM33*S33</f>
        <v>0</v>
      </c>
      <c r="AT33" s="190">
        <f t="shared" ref="AT33:AT55" si="160">AM33*T33</f>
        <v>0</v>
      </c>
      <c r="AU33" s="190">
        <f t="shared" ref="AU33:AU55" si="161">AM33*U33</f>
        <v>0</v>
      </c>
    </row>
    <row r="34" spans="2:47" s="130" customFormat="1" ht="12" x14ac:dyDescent="0.15">
      <c r="B34" s="123"/>
      <c r="C34" s="123"/>
      <c r="D34" s="322" t="s">
        <v>905</v>
      </c>
      <c r="E34" s="136" t="s">
        <v>1549</v>
      </c>
      <c r="F34" s="236" t="s">
        <v>1539</v>
      </c>
      <c r="G34" s="131"/>
      <c r="H34" s="132"/>
      <c r="I34" s="161">
        <f>INDEX(外开窗!G:G,(ROW(B2)-1)*75+COLUMN(A8)*2)</f>
        <v>55</v>
      </c>
      <c r="J34" s="160" t="str">
        <f t="shared" ref="J34:J55" si="162">IF(I34=50,"系列普铝","系列断桥铝")</f>
        <v>系列断桥铝</v>
      </c>
      <c r="K34" s="133"/>
      <c r="L34" s="166">
        <f>INDEX(外开窗!K:K,(ROW(B2)-1)*75+COLUMN(A8)*2)</f>
        <v>600</v>
      </c>
      <c r="M34" s="166">
        <f>INDEX(外开窗!M:M,(ROW(B2)-1)*75+COLUMN(A8)*2)</f>
        <v>1800</v>
      </c>
      <c r="N34" s="166">
        <f>INDEX(外开窗!M:M,(ROW(B2)-1)*75+COLUMN(A8)*13)</f>
        <v>50</v>
      </c>
      <c r="O34" s="166">
        <f t="shared" si="141"/>
        <v>50</v>
      </c>
      <c r="P34" s="159">
        <f t="shared" si="142"/>
        <v>500</v>
      </c>
      <c r="Q34" s="192">
        <f t="shared" si="143"/>
        <v>1700</v>
      </c>
      <c r="R34" s="192">
        <f t="shared" si="144"/>
        <v>0</v>
      </c>
      <c r="S34" s="168"/>
      <c r="T34" s="168"/>
      <c r="U34" s="168"/>
      <c r="V34" s="180">
        <f>INDEX(外开窗!M:M,(ROW(B2)-1)*75+COLUMN(A8)*14)</f>
        <v>1.08</v>
      </c>
      <c r="W34" s="180">
        <f t="shared" si="145"/>
        <v>0</v>
      </c>
      <c r="X34" s="180">
        <f t="shared" si="146"/>
        <v>0.85</v>
      </c>
      <c r="Y34" s="180">
        <f t="shared" si="147"/>
        <v>0</v>
      </c>
      <c r="Z34" s="408">
        <f>INDEX(外开窗!M:M,(ROW(B2)-1)*75+COLUMN(A8)*47)/V34</f>
        <v>11.980966481481481</v>
      </c>
      <c r="AA34" s="408">
        <f>INDEX(外开窗!M:M,(ROW(B2)-1)*75+COLUMN(A8)*55)/V34</f>
        <v>0.45532170370370367</v>
      </c>
      <c r="AB34" s="408"/>
      <c r="AC34" s="408">
        <f>INDEX(外开窗!M:M,(ROW(B2)-1)*75+COLUMN(A8)*58)/V34</f>
        <v>0.92592592592592582</v>
      </c>
      <c r="AD34" s="408"/>
      <c r="AE34" s="408"/>
      <c r="AF34" s="408">
        <f>INDEX(外开窗!O:O,(ROW(B2)-1)*75+COLUMN(A8)*70)/V34</f>
        <v>0</v>
      </c>
      <c r="AG34" s="408">
        <f>(INDEX(外开窗!O:O,(ROW(B2)-1)*75+COLUMN(A8)*72)+INDEX(外开窗!O:O,(ROW(B2)-1)*75+COLUMN(A8)*73))/V34</f>
        <v>0</v>
      </c>
      <c r="AH34" s="189">
        <f t="shared" si="148"/>
        <v>0</v>
      </c>
      <c r="AI34" s="190">
        <f t="shared" si="149"/>
        <v>0</v>
      </c>
      <c r="AJ34" s="190">
        <f t="shared" si="150"/>
        <v>0</v>
      </c>
      <c r="AK34" s="190">
        <f t="shared" si="151"/>
        <v>0</v>
      </c>
      <c r="AL34" s="190">
        <f t="shared" si="152"/>
        <v>0</v>
      </c>
      <c r="AM34" s="190">
        <f t="shared" si="153"/>
        <v>0</v>
      </c>
      <c r="AN34" s="190">
        <f t="shared" si="154"/>
        <v>0</v>
      </c>
      <c r="AO34" s="190">
        <f t="shared" si="155"/>
        <v>0</v>
      </c>
      <c r="AP34" s="190">
        <f t="shared" si="156"/>
        <v>0</v>
      </c>
      <c r="AQ34" s="190">
        <f t="shared" si="157"/>
        <v>0</v>
      </c>
      <c r="AR34" s="190">
        <f t="shared" si="158"/>
        <v>0</v>
      </c>
      <c r="AS34" s="190">
        <f t="shared" si="159"/>
        <v>0</v>
      </c>
      <c r="AT34" s="190">
        <f t="shared" si="160"/>
        <v>0</v>
      </c>
      <c r="AU34" s="190">
        <f t="shared" si="161"/>
        <v>0</v>
      </c>
    </row>
    <row r="35" spans="2:47" s="130" customFormat="1" ht="12" x14ac:dyDescent="0.15">
      <c r="B35" s="123"/>
      <c r="C35" s="123"/>
      <c r="D35" s="409" t="s">
        <v>905</v>
      </c>
      <c r="E35" s="136" t="s">
        <v>1549</v>
      </c>
      <c r="F35" s="236" t="s">
        <v>1540</v>
      </c>
      <c r="G35" s="131"/>
      <c r="H35" s="132"/>
      <c r="I35" s="161">
        <f>INDEX(外开窗!G:G,(ROW(B3)-1)*75+COLUMN(A9)*2)</f>
        <v>55</v>
      </c>
      <c r="J35" s="160" t="str">
        <f t="shared" si="162"/>
        <v>系列断桥铝</v>
      </c>
      <c r="K35" s="133"/>
      <c r="L35" s="166">
        <f>INDEX(外开窗!K:K,(ROW(B3)-1)*75+COLUMN(A9)*2)</f>
        <v>600</v>
      </c>
      <c r="M35" s="166">
        <f>INDEX(外开窗!M:M,(ROW(B3)-1)*75+COLUMN(A9)*2)</f>
        <v>1400</v>
      </c>
      <c r="N35" s="166">
        <f>INDEX(外开窗!M:M,(ROW(B3)-1)*75+COLUMN(A9)*13)</f>
        <v>50</v>
      </c>
      <c r="O35" s="166">
        <f t="shared" si="141"/>
        <v>50</v>
      </c>
      <c r="P35" s="159">
        <f t="shared" si="142"/>
        <v>500</v>
      </c>
      <c r="Q35" s="192">
        <f t="shared" si="143"/>
        <v>1300</v>
      </c>
      <c r="R35" s="192">
        <f t="shared" si="144"/>
        <v>0</v>
      </c>
      <c r="S35" s="168"/>
      <c r="T35" s="168"/>
      <c r="U35" s="168"/>
      <c r="V35" s="180">
        <f>INDEX(外开窗!M:M,(ROW(B3)-1)*75+COLUMN(A9)*14)</f>
        <v>0.84</v>
      </c>
      <c r="W35" s="180">
        <f t="shared" si="145"/>
        <v>0</v>
      </c>
      <c r="X35" s="180">
        <f t="shared" si="146"/>
        <v>0.65</v>
      </c>
      <c r="Y35" s="180">
        <f t="shared" si="147"/>
        <v>0</v>
      </c>
      <c r="Z35" s="408">
        <f>INDEX(外开窗!M:M,(ROW(B3)-1)*75+COLUMN(A9)*47)/V35</f>
        <v>11.533429523809525</v>
      </c>
      <c r="AA35" s="408">
        <f>INDEX(外开窗!M:M,(ROW(B3)-1)*75+COLUMN(A9)*55)/V35</f>
        <v>0.44915357142857143</v>
      </c>
      <c r="AB35" s="408"/>
      <c r="AC35" s="408">
        <f>INDEX(外开窗!M:M,(ROW(B3)-1)*75+COLUMN(A9)*58)/V35</f>
        <v>1.1904761904761905</v>
      </c>
      <c r="AD35" s="408"/>
      <c r="AE35" s="408"/>
      <c r="AF35" s="408">
        <f>INDEX(外开窗!O:O,(ROW(B3)-1)*75+COLUMN(A9)*70)/V35</f>
        <v>0</v>
      </c>
      <c r="AG35" s="408">
        <f>(INDEX(外开窗!O:O,(ROW(B3)-1)*75+COLUMN(A9)*72)+INDEX(外开窗!O:O,(ROW(B3)-1)*75+COLUMN(A9)*73))/V35</f>
        <v>0</v>
      </c>
      <c r="AH35" s="189">
        <f t="shared" si="148"/>
        <v>0</v>
      </c>
      <c r="AI35" s="190">
        <f t="shared" si="149"/>
        <v>0</v>
      </c>
      <c r="AJ35" s="190">
        <f t="shared" si="150"/>
        <v>0</v>
      </c>
      <c r="AK35" s="190">
        <f t="shared" si="151"/>
        <v>0</v>
      </c>
      <c r="AL35" s="190">
        <f t="shared" si="152"/>
        <v>0</v>
      </c>
      <c r="AM35" s="190">
        <f t="shared" si="153"/>
        <v>0</v>
      </c>
      <c r="AN35" s="190">
        <f t="shared" si="154"/>
        <v>0</v>
      </c>
      <c r="AO35" s="190">
        <f t="shared" si="155"/>
        <v>0</v>
      </c>
      <c r="AP35" s="190">
        <f t="shared" si="156"/>
        <v>0</v>
      </c>
      <c r="AQ35" s="190">
        <f t="shared" si="157"/>
        <v>0</v>
      </c>
      <c r="AR35" s="190">
        <f t="shared" si="158"/>
        <v>0</v>
      </c>
      <c r="AS35" s="190">
        <f t="shared" si="159"/>
        <v>0</v>
      </c>
      <c r="AT35" s="190">
        <f t="shared" si="160"/>
        <v>0</v>
      </c>
      <c r="AU35" s="190">
        <f t="shared" si="161"/>
        <v>0</v>
      </c>
    </row>
    <row r="36" spans="2:47" s="130" customFormat="1" x14ac:dyDescent="0.15">
      <c r="B36" s="123"/>
      <c r="C36" s="137"/>
      <c r="D36" s="409" t="s">
        <v>905</v>
      </c>
      <c r="E36" s="136" t="s">
        <v>1549</v>
      </c>
      <c r="F36" s="236" t="s">
        <v>1541</v>
      </c>
      <c r="G36" s="131"/>
      <c r="H36" s="132"/>
      <c r="I36" s="161">
        <f>INDEX(外开窗!G:G,(ROW(B4)-1)*75+COLUMN(A10)*2)</f>
        <v>55</v>
      </c>
      <c r="J36" s="160" t="str">
        <f t="shared" si="162"/>
        <v>系列断桥铝</v>
      </c>
      <c r="K36" s="133"/>
      <c r="L36" s="166">
        <f>INDEX(外开窗!K:K,(ROW(B4)-1)*75+COLUMN(A10)*2)</f>
        <v>600</v>
      </c>
      <c r="M36" s="166">
        <f>INDEX(外开窗!M:M,(ROW(B4)-1)*75+COLUMN(A10)*2)</f>
        <v>1800</v>
      </c>
      <c r="N36" s="166">
        <f>INDEX(外开窗!M:M,(ROW(B4)-1)*75+COLUMN(A10)*13)</f>
        <v>50</v>
      </c>
      <c r="O36" s="166">
        <f t="shared" si="141"/>
        <v>50</v>
      </c>
      <c r="P36" s="159">
        <f t="shared" si="142"/>
        <v>500</v>
      </c>
      <c r="Q36" s="192">
        <f t="shared" si="143"/>
        <v>1700</v>
      </c>
      <c r="R36" s="192">
        <f t="shared" si="144"/>
        <v>0</v>
      </c>
      <c r="S36" s="168"/>
      <c r="T36" s="168"/>
      <c r="U36" s="168"/>
      <c r="V36" s="180">
        <f>INDEX(外开窗!M:M,(ROW(B4)-1)*75+COLUMN(A10)*14)</f>
        <v>1.08</v>
      </c>
      <c r="W36" s="180">
        <f t="shared" si="145"/>
        <v>0</v>
      </c>
      <c r="X36" s="180">
        <f t="shared" si="146"/>
        <v>0.85</v>
      </c>
      <c r="Y36" s="180">
        <f t="shared" si="147"/>
        <v>0</v>
      </c>
      <c r="Z36" s="408">
        <f>INDEX(外开窗!M:M,(ROW(B4)-1)*75+COLUMN(A10)*47)/V36</f>
        <v>12.003659074074074</v>
      </c>
      <c r="AA36" s="408">
        <f>INDEX(外开窗!M:M,(ROW(B4)-1)*75+COLUMN(A10)*55)/V36</f>
        <v>0.45532170370370367</v>
      </c>
      <c r="AB36" s="408"/>
      <c r="AC36" s="408">
        <f>INDEX(外开窗!M:M,(ROW(B4)-1)*75+COLUMN(A10)*58)/V36</f>
        <v>0.92592592592592582</v>
      </c>
      <c r="AD36" s="408"/>
      <c r="AE36" s="408"/>
      <c r="AF36" s="408">
        <f>INDEX(外开窗!O:O,(ROW(B4)-1)*75+COLUMN(A10)*70)/V36</f>
        <v>0</v>
      </c>
      <c r="AG36" s="408">
        <f>(INDEX(外开窗!O:O,(ROW(B4)-1)*75+COLUMN(A10)*72)+INDEX(外开窗!O:O,(ROW(B4)-1)*75+COLUMN(A10)*73))/V36</f>
        <v>0</v>
      </c>
      <c r="AH36" s="189">
        <f t="shared" si="148"/>
        <v>0</v>
      </c>
      <c r="AI36" s="190">
        <f t="shared" si="149"/>
        <v>0</v>
      </c>
      <c r="AJ36" s="190">
        <f t="shared" si="150"/>
        <v>0</v>
      </c>
      <c r="AK36" s="190">
        <f t="shared" si="151"/>
        <v>0</v>
      </c>
      <c r="AL36" s="190">
        <f t="shared" si="152"/>
        <v>0</v>
      </c>
      <c r="AM36" s="190">
        <f t="shared" si="153"/>
        <v>0</v>
      </c>
      <c r="AN36" s="190">
        <f t="shared" si="154"/>
        <v>0</v>
      </c>
      <c r="AO36" s="190">
        <f t="shared" si="155"/>
        <v>0</v>
      </c>
      <c r="AP36" s="190">
        <f t="shared" si="156"/>
        <v>0</v>
      </c>
      <c r="AQ36" s="190">
        <f t="shared" si="157"/>
        <v>0</v>
      </c>
      <c r="AR36" s="190">
        <f t="shared" si="158"/>
        <v>0</v>
      </c>
      <c r="AS36" s="190">
        <f t="shared" si="159"/>
        <v>0</v>
      </c>
      <c r="AT36" s="190">
        <f t="shared" si="160"/>
        <v>0</v>
      </c>
      <c r="AU36" s="190">
        <f t="shared" si="161"/>
        <v>0</v>
      </c>
    </row>
    <row r="37" spans="2:47" s="172" customFormat="1" ht="12" x14ac:dyDescent="0.15">
      <c r="B37" s="409"/>
      <c r="C37" s="409"/>
      <c r="D37" s="409" t="s">
        <v>905</v>
      </c>
      <c r="E37" s="182" t="s">
        <v>1549</v>
      </c>
      <c r="F37" s="449" t="s">
        <v>1542</v>
      </c>
      <c r="G37" s="174"/>
      <c r="H37" s="450"/>
      <c r="I37" s="161">
        <f>INDEX(外开窗!G:G,(ROW(B5)-1)*75+COLUMN(A11)*2)</f>
        <v>55</v>
      </c>
      <c r="J37" s="177" t="str">
        <f t="shared" si="162"/>
        <v>系列断桥铝</v>
      </c>
      <c r="K37" s="180"/>
      <c r="L37" s="166">
        <f>INDEX(外开窗!K:K,(ROW(B5)-1)*75+COLUMN(A11)*2)</f>
        <v>1600</v>
      </c>
      <c r="M37" s="166">
        <f>INDEX(外开窗!M:M,(ROW(B5)-1)*75+COLUMN(A11)*2)</f>
        <v>1400</v>
      </c>
      <c r="N37" s="166">
        <f>INDEX(外开窗!M:M,(ROW(B5)-1)*75+COLUMN(A11)*13)</f>
        <v>50</v>
      </c>
      <c r="O37" s="178">
        <f t="shared" si="141"/>
        <v>50</v>
      </c>
      <c r="P37" s="179">
        <f t="shared" si="142"/>
        <v>1500</v>
      </c>
      <c r="Q37" s="409">
        <f t="shared" si="143"/>
        <v>1300</v>
      </c>
      <c r="R37" s="409">
        <f t="shared" si="144"/>
        <v>0</v>
      </c>
      <c r="S37" s="409"/>
      <c r="T37" s="409"/>
      <c r="U37" s="409"/>
      <c r="V37" s="180">
        <f>INDEX(外开窗!M:M,(ROW(B5)-1)*75+COLUMN(A11)*14)</f>
        <v>2.2400000000000002</v>
      </c>
      <c r="W37" s="180">
        <f t="shared" si="145"/>
        <v>0</v>
      </c>
      <c r="X37" s="180">
        <f t="shared" si="146"/>
        <v>1.95</v>
      </c>
      <c r="Y37" s="180">
        <f t="shared" si="147"/>
        <v>0</v>
      </c>
      <c r="Z37" s="408">
        <f>INDEX(外开窗!M:M,(ROW(B5)-1)*75+COLUMN(A11)*47)/V37</f>
        <v>8.057748035714285</v>
      </c>
      <c r="AA37" s="408">
        <f>INDEX(外开窗!M:M,(ROW(B5)-1)*75+COLUMN(A11)*55)/V37</f>
        <v>0.64898439285714282</v>
      </c>
      <c r="AB37" s="408"/>
      <c r="AC37" s="408">
        <f>INDEX(外开窗!M:M,(ROW(B5)-1)*75+COLUMN(A11)*58)/V37</f>
        <v>0.4464285714285714</v>
      </c>
      <c r="AD37" s="408"/>
      <c r="AE37" s="408"/>
      <c r="AF37" s="408">
        <f>INDEX(外开窗!O:O,(ROW(B5)-1)*75+COLUMN(A11)*70)/V37</f>
        <v>0</v>
      </c>
      <c r="AG37" s="408">
        <f>(INDEX(外开窗!O:O,(ROW(B5)-1)*75+COLUMN(A11)*72)+INDEX(外开窗!O:O,(ROW(B5)-1)*75+COLUMN(A11)*73))/V37</f>
        <v>0</v>
      </c>
      <c r="AH37" s="181">
        <f t="shared" si="148"/>
        <v>0</v>
      </c>
      <c r="AI37" s="163">
        <f t="shared" si="149"/>
        <v>0</v>
      </c>
      <c r="AJ37" s="163">
        <f t="shared" si="150"/>
        <v>0</v>
      </c>
      <c r="AK37" s="163">
        <f t="shared" si="151"/>
        <v>0</v>
      </c>
      <c r="AL37" s="163">
        <f t="shared" si="152"/>
        <v>0</v>
      </c>
      <c r="AM37" s="163">
        <f t="shared" si="153"/>
        <v>0</v>
      </c>
      <c r="AN37" s="163">
        <f t="shared" si="154"/>
        <v>0</v>
      </c>
      <c r="AO37" s="163">
        <f t="shared" si="155"/>
        <v>0</v>
      </c>
      <c r="AP37" s="163">
        <f t="shared" si="156"/>
        <v>0</v>
      </c>
      <c r="AQ37" s="163">
        <f t="shared" si="157"/>
        <v>0</v>
      </c>
      <c r="AR37" s="163">
        <f t="shared" si="158"/>
        <v>0</v>
      </c>
      <c r="AS37" s="163">
        <f t="shared" si="159"/>
        <v>0</v>
      </c>
      <c r="AT37" s="163">
        <f t="shared" si="160"/>
        <v>0</v>
      </c>
      <c r="AU37" s="163">
        <f t="shared" si="161"/>
        <v>0</v>
      </c>
    </row>
    <row r="38" spans="2:47" s="130" customFormat="1" ht="12" x14ac:dyDescent="0.15">
      <c r="B38" s="123"/>
      <c r="C38" s="123"/>
      <c r="D38" s="409" t="s">
        <v>905</v>
      </c>
      <c r="E38" s="136" t="s">
        <v>1549</v>
      </c>
      <c r="F38" s="236" t="s">
        <v>1543</v>
      </c>
      <c r="G38" s="131"/>
      <c r="H38" s="132"/>
      <c r="I38" s="161">
        <f>INDEX(外开窗!G:G,(ROW(B6)-1)*75+COLUMN(A12)*2)</f>
        <v>60</v>
      </c>
      <c r="J38" s="160" t="str">
        <f t="shared" si="162"/>
        <v>系列断桥铝</v>
      </c>
      <c r="K38" s="133"/>
      <c r="L38" s="166">
        <f>INDEX(外开窗!K:K,(ROW(B6)-1)*75+COLUMN(A12)*2)</f>
        <v>1300</v>
      </c>
      <c r="M38" s="166">
        <f>INDEX(外开窗!M:M,(ROW(B6)-1)*75+COLUMN(A12)*2)</f>
        <v>1400</v>
      </c>
      <c r="N38" s="166">
        <f>INDEX(外开窗!M:M,(ROW(B6)-1)*75+COLUMN(A12)*13)</f>
        <v>50</v>
      </c>
      <c r="O38" s="166">
        <f t="shared" si="141"/>
        <v>50</v>
      </c>
      <c r="P38" s="159">
        <f t="shared" si="142"/>
        <v>1200</v>
      </c>
      <c r="Q38" s="192">
        <f t="shared" si="143"/>
        <v>1300</v>
      </c>
      <c r="R38" s="192">
        <f t="shared" si="144"/>
        <v>0</v>
      </c>
      <c r="S38" s="168"/>
      <c r="T38" s="168"/>
      <c r="U38" s="168"/>
      <c r="V38" s="180">
        <f>INDEX(外开窗!M:M,(ROW(B6)-1)*75+COLUMN(A12)*14)</f>
        <v>1.82</v>
      </c>
      <c r="W38" s="180">
        <f t="shared" si="145"/>
        <v>0</v>
      </c>
      <c r="X38" s="180">
        <f t="shared" si="146"/>
        <v>1.56</v>
      </c>
      <c r="Y38" s="180">
        <f t="shared" si="147"/>
        <v>0</v>
      </c>
      <c r="Z38" s="408">
        <f>INDEX(外开窗!M:M,(ROW(B6)-1)*75+COLUMN(A12)*47)/V38</f>
        <v>10.683207032967031</v>
      </c>
      <c r="AA38" s="408">
        <f>INDEX(外开窗!M:M,(ROW(B6)-1)*75+COLUMN(A12)*55)/V38</f>
        <v>0.55940934065934056</v>
      </c>
      <c r="AB38" s="408"/>
      <c r="AC38" s="408">
        <f>INDEX(外开窗!M:M,(ROW(B6)-1)*75+COLUMN(A12)*58)/V38</f>
        <v>1.0989010989010988</v>
      </c>
      <c r="AD38" s="408"/>
      <c r="AE38" s="408"/>
      <c r="AF38" s="408">
        <f>INDEX(外开窗!O:O,(ROW(B6)-1)*75+COLUMN(A12)*70)/V38</f>
        <v>0</v>
      </c>
      <c r="AG38" s="408">
        <f>(INDEX(外开窗!O:O,(ROW(B6)-1)*75+COLUMN(A12)*72)+INDEX(外开窗!O:O,(ROW(B6)-1)*75+COLUMN(A12)*73))/V38</f>
        <v>0</v>
      </c>
      <c r="AH38" s="189">
        <f t="shared" si="148"/>
        <v>0</v>
      </c>
      <c r="AI38" s="190">
        <f t="shared" si="149"/>
        <v>0</v>
      </c>
      <c r="AJ38" s="190">
        <f t="shared" si="150"/>
        <v>0</v>
      </c>
      <c r="AK38" s="190">
        <f t="shared" si="151"/>
        <v>0</v>
      </c>
      <c r="AL38" s="190">
        <f t="shared" si="152"/>
        <v>0</v>
      </c>
      <c r="AM38" s="190">
        <f t="shared" si="153"/>
        <v>0</v>
      </c>
      <c r="AN38" s="190">
        <f t="shared" si="154"/>
        <v>0</v>
      </c>
      <c r="AO38" s="190">
        <f t="shared" si="155"/>
        <v>0</v>
      </c>
      <c r="AP38" s="190">
        <f t="shared" si="156"/>
        <v>0</v>
      </c>
      <c r="AQ38" s="190">
        <f t="shared" si="157"/>
        <v>0</v>
      </c>
      <c r="AR38" s="190">
        <f t="shared" si="158"/>
        <v>0</v>
      </c>
      <c r="AS38" s="190">
        <f t="shared" si="159"/>
        <v>0</v>
      </c>
      <c r="AT38" s="190">
        <f t="shared" si="160"/>
        <v>0</v>
      </c>
      <c r="AU38" s="190">
        <f t="shared" si="161"/>
        <v>0</v>
      </c>
    </row>
    <row r="39" spans="2:47" s="130" customFormat="1" ht="12" x14ac:dyDescent="0.15">
      <c r="B39" s="123"/>
      <c r="C39" s="123"/>
      <c r="D39" s="409" t="s">
        <v>905</v>
      </c>
      <c r="E39" s="136" t="s">
        <v>1549</v>
      </c>
      <c r="F39" s="236" t="s">
        <v>1544</v>
      </c>
      <c r="G39" s="131"/>
      <c r="H39" s="132"/>
      <c r="I39" s="161">
        <f>INDEX(外开窗!G:G,(ROW(B7)-1)*75+COLUMN(A13)*2)</f>
        <v>55</v>
      </c>
      <c r="J39" s="160" t="str">
        <f t="shared" si="162"/>
        <v>系列断桥铝</v>
      </c>
      <c r="K39" s="133"/>
      <c r="L39" s="166">
        <f>INDEX(外开窗!K:K,(ROW(B7)-1)*75+COLUMN(A13)*2)</f>
        <v>2100</v>
      </c>
      <c r="M39" s="166">
        <f>INDEX(外开窗!M:M,(ROW(B7)-1)*75+COLUMN(A13)*2)</f>
        <v>1300</v>
      </c>
      <c r="N39" s="166">
        <f>INDEX(外开窗!M:M,(ROW(B7)-1)*75+COLUMN(A13)*13)</f>
        <v>50</v>
      </c>
      <c r="O39" s="166">
        <f t="shared" si="141"/>
        <v>50</v>
      </c>
      <c r="P39" s="159">
        <f t="shared" si="142"/>
        <v>2000</v>
      </c>
      <c r="Q39" s="192">
        <f t="shared" si="143"/>
        <v>1200</v>
      </c>
      <c r="R39" s="192">
        <f t="shared" si="144"/>
        <v>0</v>
      </c>
      <c r="S39" s="168"/>
      <c r="T39" s="168"/>
      <c r="U39" s="168"/>
      <c r="V39" s="180">
        <f>INDEX(外开窗!M:M,(ROW(B7)-1)*75+COLUMN(A13)*14)</f>
        <v>2.73</v>
      </c>
      <c r="W39" s="180">
        <f t="shared" si="145"/>
        <v>0</v>
      </c>
      <c r="X39" s="180">
        <f t="shared" si="146"/>
        <v>2.4</v>
      </c>
      <c r="Y39" s="180">
        <f t="shared" si="147"/>
        <v>0</v>
      </c>
      <c r="Z39" s="408">
        <f>INDEX(外开窗!M:M,(ROW(B7)-1)*75+COLUMN(A13)*47)/V39</f>
        <v>9.0132361904761904</v>
      </c>
      <c r="AA39" s="408">
        <f>INDEX(外开窗!M:M,(ROW(B7)-1)*75+COLUMN(A13)*55)/V39</f>
        <v>0.58905131135531141</v>
      </c>
      <c r="AB39" s="408"/>
      <c r="AC39" s="408">
        <f>INDEX(外开窗!M:M,(ROW(B7)-1)*75+COLUMN(A13)*58)/V39</f>
        <v>0.73260073260073255</v>
      </c>
      <c r="AD39" s="408"/>
      <c r="AE39" s="408"/>
      <c r="AF39" s="408">
        <f>INDEX(外开窗!O:O,(ROW(B7)-1)*75+COLUMN(A13)*70)/V39</f>
        <v>0</v>
      </c>
      <c r="AG39" s="408">
        <f>(INDEX(外开窗!O:O,(ROW(B7)-1)*75+COLUMN(A13)*72)+INDEX(外开窗!O:O,(ROW(B7)-1)*75+COLUMN(A13)*73))/V39</f>
        <v>0</v>
      </c>
      <c r="AH39" s="189">
        <f t="shared" si="148"/>
        <v>0</v>
      </c>
      <c r="AI39" s="190">
        <f t="shared" si="149"/>
        <v>0</v>
      </c>
      <c r="AJ39" s="190">
        <f t="shared" si="150"/>
        <v>0</v>
      </c>
      <c r="AK39" s="190">
        <f t="shared" si="151"/>
        <v>0</v>
      </c>
      <c r="AL39" s="190">
        <f t="shared" si="152"/>
        <v>0</v>
      </c>
      <c r="AM39" s="190">
        <f t="shared" si="153"/>
        <v>0</v>
      </c>
      <c r="AN39" s="190">
        <f t="shared" si="154"/>
        <v>0</v>
      </c>
      <c r="AO39" s="190">
        <f t="shared" si="155"/>
        <v>0</v>
      </c>
      <c r="AP39" s="190">
        <f t="shared" si="156"/>
        <v>0</v>
      </c>
      <c r="AQ39" s="190">
        <f t="shared" si="157"/>
        <v>0</v>
      </c>
      <c r="AR39" s="190">
        <f t="shared" si="158"/>
        <v>0</v>
      </c>
      <c r="AS39" s="190">
        <f t="shared" si="159"/>
        <v>0</v>
      </c>
      <c r="AT39" s="190">
        <f t="shared" si="160"/>
        <v>0</v>
      </c>
      <c r="AU39" s="190">
        <f t="shared" si="161"/>
        <v>0</v>
      </c>
    </row>
    <row r="40" spans="2:47" s="130" customFormat="1" ht="12" x14ac:dyDescent="0.15">
      <c r="B40" s="123"/>
      <c r="C40" s="123"/>
      <c r="D40" s="409" t="s">
        <v>905</v>
      </c>
      <c r="E40" s="136" t="s">
        <v>1549</v>
      </c>
      <c r="F40" s="236" t="s">
        <v>1545</v>
      </c>
      <c r="G40" s="131"/>
      <c r="H40" s="132"/>
      <c r="I40" s="161">
        <f>INDEX(外开窗!G:G,(ROW(B8)-1)*75+COLUMN(A14)*2)</f>
        <v>55</v>
      </c>
      <c r="J40" s="160" t="str">
        <f t="shared" si="162"/>
        <v>系列断桥铝</v>
      </c>
      <c r="K40" s="133"/>
      <c r="L40" s="166">
        <f>INDEX(外开窗!K:K,(ROW(B8)-1)*75+COLUMN(A14)*2)</f>
        <v>1800</v>
      </c>
      <c r="M40" s="166">
        <f>INDEX(外开窗!M:M,(ROW(B8)-1)*75+COLUMN(A14)*2)</f>
        <v>1800</v>
      </c>
      <c r="N40" s="166">
        <f>INDEX(外开窗!M:M,(ROW(B8)-1)*75+COLUMN(A14)*13)</f>
        <v>50</v>
      </c>
      <c r="O40" s="166">
        <f t="shared" si="141"/>
        <v>50</v>
      </c>
      <c r="P40" s="159">
        <f t="shared" si="142"/>
        <v>1700</v>
      </c>
      <c r="Q40" s="192">
        <f t="shared" si="143"/>
        <v>1700</v>
      </c>
      <c r="R40" s="192">
        <f t="shared" si="144"/>
        <v>0</v>
      </c>
      <c r="S40" s="168"/>
      <c r="T40" s="168"/>
      <c r="U40" s="168"/>
      <c r="V40" s="180">
        <f>INDEX(外开窗!M:M,(ROW(B8)-1)*75+COLUMN(A14)*14)</f>
        <v>3.24</v>
      </c>
      <c r="W40" s="180">
        <f t="shared" si="145"/>
        <v>0</v>
      </c>
      <c r="X40" s="180">
        <f t="shared" si="146"/>
        <v>2.89</v>
      </c>
      <c r="Y40" s="180">
        <f t="shared" si="147"/>
        <v>0</v>
      </c>
      <c r="Z40" s="408">
        <f>INDEX(外开窗!M:M,(ROW(B8)-1)*75+COLUMN(A14)*47)/V40</f>
        <v>5.9572843827160495</v>
      </c>
      <c r="AA40" s="408">
        <f>INDEX(外开窗!M:M,(ROW(B8)-1)*75+COLUMN(A14)*55)/V40</f>
        <v>0.71779075308641971</v>
      </c>
      <c r="AB40" s="408"/>
      <c r="AC40" s="408">
        <f>INDEX(外开窗!M:M,(ROW(B8)-1)*75+COLUMN(A14)*58)/V40</f>
        <v>0.30864197530864196</v>
      </c>
      <c r="AD40" s="408"/>
      <c r="AE40" s="408"/>
      <c r="AF40" s="408">
        <f>INDEX(外开窗!O:O,(ROW(B8)-1)*75+COLUMN(A14)*70)/V40</f>
        <v>0</v>
      </c>
      <c r="AG40" s="408">
        <f>(INDEX(外开窗!O:O,(ROW(B8)-1)*75+COLUMN(A14)*72)+INDEX(外开窗!O:O,(ROW(B8)-1)*75+COLUMN(A14)*73))/V40</f>
        <v>0</v>
      </c>
      <c r="AH40" s="189">
        <f t="shared" si="148"/>
        <v>0</v>
      </c>
      <c r="AI40" s="190">
        <f t="shared" si="149"/>
        <v>0</v>
      </c>
      <c r="AJ40" s="190">
        <f t="shared" si="150"/>
        <v>0</v>
      </c>
      <c r="AK40" s="190">
        <f t="shared" si="151"/>
        <v>0</v>
      </c>
      <c r="AL40" s="190">
        <f t="shared" si="152"/>
        <v>0</v>
      </c>
      <c r="AM40" s="190">
        <f t="shared" si="153"/>
        <v>0</v>
      </c>
      <c r="AN40" s="190">
        <f t="shared" si="154"/>
        <v>0</v>
      </c>
      <c r="AO40" s="190">
        <f t="shared" si="155"/>
        <v>0</v>
      </c>
      <c r="AP40" s="190">
        <f t="shared" si="156"/>
        <v>0</v>
      </c>
      <c r="AQ40" s="190">
        <f t="shared" si="157"/>
        <v>0</v>
      </c>
      <c r="AR40" s="190">
        <f t="shared" si="158"/>
        <v>0</v>
      </c>
      <c r="AS40" s="190">
        <f t="shared" si="159"/>
        <v>0</v>
      </c>
      <c r="AT40" s="190">
        <f t="shared" si="160"/>
        <v>0</v>
      </c>
      <c r="AU40" s="190">
        <f t="shared" si="161"/>
        <v>0</v>
      </c>
    </row>
    <row r="41" spans="2:47" s="130" customFormat="1" ht="12" x14ac:dyDescent="0.15">
      <c r="B41" s="123"/>
      <c r="C41" s="123"/>
      <c r="D41" s="409" t="s">
        <v>905</v>
      </c>
      <c r="E41" s="136" t="s">
        <v>1549</v>
      </c>
      <c r="F41" s="236" t="s">
        <v>1546</v>
      </c>
      <c r="G41" s="131"/>
      <c r="H41" s="132"/>
      <c r="I41" s="161">
        <f>INDEX(外开窗!G:G,(ROW(B9)-1)*75+COLUMN(A15)*2)</f>
        <v>55</v>
      </c>
      <c r="J41" s="160" t="str">
        <f t="shared" si="162"/>
        <v>系列断桥铝</v>
      </c>
      <c r="K41" s="133"/>
      <c r="L41" s="166">
        <f>INDEX(外开窗!K:K,(ROW(B9)-1)*75+COLUMN(A15)*2)</f>
        <v>1300</v>
      </c>
      <c r="M41" s="166">
        <f>INDEX(外开窗!M:M,(ROW(B9)-1)*75+COLUMN(A15)*2)</f>
        <v>1500</v>
      </c>
      <c r="N41" s="166">
        <f>INDEX(外开窗!M:M,(ROW(B9)-1)*75+COLUMN(A15)*13)</f>
        <v>50</v>
      </c>
      <c r="O41" s="166">
        <f t="shared" si="141"/>
        <v>50</v>
      </c>
      <c r="P41" s="159">
        <f t="shared" si="142"/>
        <v>1200</v>
      </c>
      <c r="Q41" s="192">
        <f t="shared" si="143"/>
        <v>1400</v>
      </c>
      <c r="R41" s="192">
        <f t="shared" si="144"/>
        <v>0</v>
      </c>
      <c r="S41" s="168"/>
      <c r="T41" s="168"/>
      <c r="U41" s="168"/>
      <c r="V41" s="180">
        <f>INDEX(外开窗!M:M,(ROW(B9)-1)*75+COLUMN(A15)*14)</f>
        <v>1.95</v>
      </c>
      <c r="W41" s="180">
        <f t="shared" si="145"/>
        <v>0</v>
      </c>
      <c r="X41" s="180">
        <f t="shared" si="146"/>
        <v>1.68</v>
      </c>
      <c r="Y41" s="180">
        <f t="shared" si="147"/>
        <v>0</v>
      </c>
      <c r="Z41" s="408">
        <f>INDEX(外开窗!M:M,(ROW(B9)-1)*75+COLUMN(A15)*47)/V41</f>
        <v>12.165257435897436</v>
      </c>
      <c r="AA41" s="408">
        <f>INDEX(外开窗!M:M,(ROW(B9)-1)*75+COLUMN(A15)*55)/V41</f>
        <v>0.41663388717948724</v>
      </c>
      <c r="AB41" s="408"/>
      <c r="AC41" s="408">
        <f>INDEX(外开窗!M:M,(ROW(B9)-1)*75+COLUMN(A15)*58)/V41</f>
        <v>1.0256410256410258</v>
      </c>
      <c r="AD41" s="408"/>
      <c r="AE41" s="408"/>
      <c r="AF41" s="408">
        <f>INDEX(外开窗!O:O,(ROW(B9)-1)*75+COLUMN(A15)*70)/V41</f>
        <v>0</v>
      </c>
      <c r="AG41" s="408">
        <f>(INDEX(外开窗!O:O,(ROW(B9)-1)*75+COLUMN(A15)*72)+INDEX(外开窗!O:O,(ROW(B9)-1)*75+COLUMN(A15)*73))/V41</f>
        <v>0</v>
      </c>
      <c r="AH41" s="189">
        <f t="shared" si="148"/>
        <v>0</v>
      </c>
      <c r="AI41" s="190">
        <f t="shared" si="149"/>
        <v>0</v>
      </c>
      <c r="AJ41" s="190">
        <f t="shared" si="150"/>
        <v>0</v>
      </c>
      <c r="AK41" s="190">
        <f t="shared" si="151"/>
        <v>0</v>
      </c>
      <c r="AL41" s="190">
        <f t="shared" si="152"/>
        <v>0</v>
      </c>
      <c r="AM41" s="190">
        <f t="shared" si="153"/>
        <v>0</v>
      </c>
      <c r="AN41" s="190">
        <f t="shared" si="154"/>
        <v>0</v>
      </c>
      <c r="AO41" s="190">
        <f t="shared" si="155"/>
        <v>0</v>
      </c>
      <c r="AP41" s="190">
        <f t="shared" si="156"/>
        <v>0</v>
      </c>
      <c r="AQ41" s="190">
        <f t="shared" si="157"/>
        <v>0</v>
      </c>
      <c r="AR41" s="190">
        <f t="shared" si="158"/>
        <v>0</v>
      </c>
      <c r="AS41" s="190">
        <f t="shared" si="159"/>
        <v>0</v>
      </c>
      <c r="AT41" s="190">
        <f t="shared" si="160"/>
        <v>0</v>
      </c>
      <c r="AU41" s="190">
        <f t="shared" si="161"/>
        <v>0</v>
      </c>
    </row>
    <row r="42" spans="2:47" s="130" customFormat="1" ht="12" x14ac:dyDescent="0.15">
      <c r="B42" s="123"/>
      <c r="C42" s="123"/>
      <c r="D42" s="409" t="s">
        <v>905</v>
      </c>
      <c r="E42" s="136" t="s">
        <v>1549</v>
      </c>
      <c r="F42" s="236" t="s">
        <v>1547</v>
      </c>
      <c r="G42" s="131"/>
      <c r="H42" s="132"/>
      <c r="I42" s="161">
        <f>INDEX(外开窗!G:G,(ROW(B10)-1)*75+COLUMN(A16)*2)</f>
        <v>55</v>
      </c>
      <c r="J42" s="160" t="str">
        <f t="shared" si="162"/>
        <v>系列断桥铝</v>
      </c>
      <c r="K42" s="133"/>
      <c r="L42" s="166">
        <f>INDEX(外开窗!K:K,(ROW(B10)-1)*75+COLUMN(A16)*2)</f>
        <v>2100</v>
      </c>
      <c r="M42" s="166">
        <f>INDEX(外开窗!M:M,(ROW(B10)-1)*75+COLUMN(A16)*2)</f>
        <v>1800</v>
      </c>
      <c r="N42" s="166">
        <f>INDEX(外开窗!M:M,(ROW(B10)-1)*75+COLUMN(A16)*13)</f>
        <v>50</v>
      </c>
      <c r="O42" s="166">
        <f t="shared" si="141"/>
        <v>50</v>
      </c>
      <c r="P42" s="159">
        <f t="shared" si="142"/>
        <v>2000</v>
      </c>
      <c r="Q42" s="192">
        <f t="shared" si="143"/>
        <v>1700</v>
      </c>
      <c r="R42" s="192">
        <f t="shared" si="144"/>
        <v>0</v>
      </c>
      <c r="S42" s="168"/>
      <c r="T42" s="168"/>
      <c r="U42" s="168"/>
      <c r="V42" s="180">
        <f>INDEX(外开窗!M:M,(ROW(B10)-1)*75+COLUMN(A16)*14)</f>
        <v>3.78</v>
      </c>
      <c r="W42" s="180">
        <f t="shared" si="145"/>
        <v>0</v>
      </c>
      <c r="X42" s="180">
        <f t="shared" si="146"/>
        <v>3.4</v>
      </c>
      <c r="Y42" s="180">
        <f t="shared" si="147"/>
        <v>0</v>
      </c>
      <c r="Z42" s="408">
        <f>INDEX(外开窗!M:M,(ROW(B10)-1)*75+COLUMN(A16)*47)/V42</f>
        <v>8.7320748148148155</v>
      </c>
      <c r="AA42" s="408">
        <f>INDEX(外开窗!M:M,(ROW(B10)-1)*75+COLUMN(A16)*55)/V42</f>
        <v>0.66194816931216938</v>
      </c>
      <c r="AB42" s="408"/>
      <c r="AC42" s="408">
        <f>INDEX(外开窗!M:M,(ROW(B10)-1)*75+COLUMN(A16)*58)/V42</f>
        <v>0.52910052910052918</v>
      </c>
      <c r="AD42" s="408"/>
      <c r="AE42" s="408"/>
      <c r="AF42" s="408">
        <f>INDEX(外开窗!O:O,(ROW(B10)-1)*75+COLUMN(A16)*70)/V42</f>
        <v>0</v>
      </c>
      <c r="AG42" s="408">
        <f>(INDEX(外开窗!O:O,(ROW(B10)-1)*75+COLUMN(A16)*72)+INDEX(外开窗!O:O,(ROW(B10)-1)*75+COLUMN(A16)*73))/V42</f>
        <v>0</v>
      </c>
      <c r="AH42" s="189">
        <f t="shared" si="148"/>
        <v>0</v>
      </c>
      <c r="AI42" s="190">
        <f t="shared" si="149"/>
        <v>0</v>
      </c>
      <c r="AJ42" s="190">
        <f t="shared" si="150"/>
        <v>0</v>
      </c>
      <c r="AK42" s="190">
        <f t="shared" si="151"/>
        <v>0</v>
      </c>
      <c r="AL42" s="190">
        <f t="shared" si="152"/>
        <v>0</v>
      </c>
      <c r="AM42" s="190">
        <f t="shared" si="153"/>
        <v>0</v>
      </c>
      <c r="AN42" s="190">
        <f t="shared" si="154"/>
        <v>0</v>
      </c>
      <c r="AO42" s="190">
        <f t="shared" si="155"/>
        <v>0</v>
      </c>
      <c r="AP42" s="190">
        <f t="shared" si="156"/>
        <v>0</v>
      </c>
      <c r="AQ42" s="190">
        <f t="shared" si="157"/>
        <v>0</v>
      </c>
      <c r="AR42" s="190">
        <f t="shared" si="158"/>
        <v>0</v>
      </c>
      <c r="AS42" s="190">
        <f t="shared" si="159"/>
        <v>0</v>
      </c>
      <c r="AT42" s="190">
        <f t="shared" si="160"/>
        <v>0</v>
      </c>
      <c r="AU42" s="190">
        <f t="shared" si="161"/>
        <v>0</v>
      </c>
    </row>
    <row r="43" spans="2:47" s="130" customFormat="1" ht="12" x14ac:dyDescent="0.15">
      <c r="B43" s="123"/>
      <c r="C43" s="123"/>
      <c r="D43" s="409" t="s">
        <v>905</v>
      </c>
      <c r="E43" s="136" t="s">
        <v>1549</v>
      </c>
      <c r="F43" s="236" t="s">
        <v>1548</v>
      </c>
      <c r="G43" s="131"/>
      <c r="H43" s="132"/>
      <c r="I43" s="161">
        <f>INDEX(外开窗!G:G,(ROW(B11)-1)*75+COLUMN(A17)*2)</f>
        <v>55</v>
      </c>
      <c r="J43" s="160" t="str">
        <f t="shared" si="162"/>
        <v>系列断桥铝</v>
      </c>
      <c r="K43" s="133"/>
      <c r="L43" s="166">
        <f>INDEX(外开窗!K:K,(ROW(B11)-1)*75+COLUMN(A17)*2)</f>
        <v>1300</v>
      </c>
      <c r="M43" s="166">
        <f>INDEX(外开窗!M:M,(ROW(B11)-1)*75+COLUMN(A17)*2)</f>
        <v>1800</v>
      </c>
      <c r="N43" s="166">
        <f>INDEX(外开窗!M:M,(ROW(B11)-1)*75+COLUMN(A17)*13)</f>
        <v>50</v>
      </c>
      <c r="O43" s="166">
        <f t="shared" si="141"/>
        <v>50</v>
      </c>
      <c r="P43" s="159">
        <f t="shared" si="142"/>
        <v>1200</v>
      </c>
      <c r="Q43" s="192">
        <f t="shared" si="143"/>
        <v>1700</v>
      </c>
      <c r="R43" s="192">
        <f t="shared" si="144"/>
        <v>0</v>
      </c>
      <c r="S43" s="168"/>
      <c r="T43" s="168"/>
      <c r="U43" s="168"/>
      <c r="V43" s="180">
        <f>INDEX(外开窗!M:M,(ROW(B11)-1)*75+COLUMN(A17)*14)</f>
        <v>1.9952000000000001</v>
      </c>
      <c r="W43" s="180">
        <f t="shared" si="145"/>
        <v>0</v>
      </c>
      <c r="X43" s="180">
        <f>(3.14*P43*P43/8+P43*(Q43-P43/2))/1000000</f>
        <v>1.8852</v>
      </c>
      <c r="Y43" s="180">
        <f t="shared" si="147"/>
        <v>0</v>
      </c>
      <c r="Z43" s="408">
        <f>INDEX(外开窗!M:M,(ROW(B11)-1)*75+COLUMN(A17)*47)/V43</f>
        <v>11.901814715316759</v>
      </c>
      <c r="AA43" s="408">
        <f>INDEX(外开窗!M:M,(ROW(B11)-1)*75+COLUMN(A17)*55)/V43</f>
        <v>0.57398875801924609</v>
      </c>
      <c r="AB43" s="408"/>
      <c r="AC43" s="408">
        <f>INDEX(外开窗!M:M,(ROW(B11)-1)*75+COLUMN(A17)*58)/V43</f>
        <v>1.0024057738572574</v>
      </c>
      <c r="AD43" s="408"/>
      <c r="AE43" s="408"/>
      <c r="AF43" s="408">
        <f>INDEX(外开窗!O:O,(ROW(B11)-1)*75+COLUMN(A17)*70)/V43</f>
        <v>0</v>
      </c>
      <c r="AG43" s="408">
        <f>(INDEX(外开窗!O:O,(ROW(B11)-1)*75+COLUMN(A17)*72)+INDEX(外开窗!O:O,(ROW(B11)-1)*75+COLUMN(A17)*73))/V43</f>
        <v>0</v>
      </c>
      <c r="AH43" s="189">
        <f t="shared" si="148"/>
        <v>0</v>
      </c>
      <c r="AI43" s="190">
        <f t="shared" si="149"/>
        <v>0</v>
      </c>
      <c r="AJ43" s="190">
        <f t="shared" si="150"/>
        <v>0</v>
      </c>
      <c r="AK43" s="190">
        <f t="shared" si="151"/>
        <v>0</v>
      </c>
      <c r="AL43" s="190">
        <f t="shared" si="152"/>
        <v>0</v>
      </c>
      <c r="AM43" s="190">
        <f t="shared" si="153"/>
        <v>0</v>
      </c>
      <c r="AN43" s="190">
        <f t="shared" si="154"/>
        <v>0</v>
      </c>
      <c r="AO43" s="190">
        <f t="shared" si="155"/>
        <v>0</v>
      </c>
      <c r="AP43" s="190">
        <f t="shared" si="156"/>
        <v>0</v>
      </c>
      <c r="AQ43" s="190">
        <f t="shared" si="157"/>
        <v>0</v>
      </c>
      <c r="AR43" s="190">
        <f t="shared" si="158"/>
        <v>0</v>
      </c>
      <c r="AS43" s="190">
        <f t="shared" si="159"/>
        <v>0</v>
      </c>
      <c r="AT43" s="190">
        <f t="shared" si="160"/>
        <v>0</v>
      </c>
      <c r="AU43" s="190">
        <f t="shared" si="161"/>
        <v>0</v>
      </c>
    </row>
    <row r="44" spans="2:47" s="130" customFormat="1" ht="12" x14ac:dyDescent="0.15">
      <c r="B44" s="123"/>
      <c r="C44" s="123"/>
      <c r="D44" s="409" t="s">
        <v>905</v>
      </c>
      <c r="E44" s="136" t="s">
        <v>1549</v>
      </c>
      <c r="F44" s="236" t="s">
        <v>1550</v>
      </c>
      <c r="G44" s="131"/>
      <c r="H44" s="132"/>
      <c r="I44" s="161">
        <f>INDEX(外开窗!G:G,(ROW(B12)-1)*75+COLUMN(A18)*2)</f>
        <v>55</v>
      </c>
      <c r="J44" s="160" t="str">
        <f t="shared" si="162"/>
        <v>系列断桥铝</v>
      </c>
      <c r="K44" s="133"/>
      <c r="L44" s="166">
        <f>INDEX(外开窗!K:K,(ROW(B12)-1)*75+COLUMN(A18)*2)</f>
        <v>2500</v>
      </c>
      <c r="M44" s="166">
        <f>INDEX(外开窗!M:M,(ROW(B12)-1)*75+COLUMN(A18)*2)</f>
        <v>1800</v>
      </c>
      <c r="N44" s="166">
        <f>INDEX(外开窗!M:M,(ROW(B12)-1)*75+COLUMN(A18)*13)</f>
        <v>50</v>
      </c>
      <c r="O44" s="166">
        <f t="shared" si="141"/>
        <v>50</v>
      </c>
      <c r="P44" s="159">
        <f t="shared" si="142"/>
        <v>2400</v>
      </c>
      <c r="Q44" s="192">
        <f t="shared" si="143"/>
        <v>1700</v>
      </c>
      <c r="R44" s="192">
        <f t="shared" si="144"/>
        <v>0</v>
      </c>
      <c r="S44" s="168"/>
      <c r="T44" s="168"/>
      <c r="U44" s="168"/>
      <c r="V44" s="180">
        <f>INDEX(外开窗!M:M,(ROW(B12)-1)*75+COLUMN(A18)*14)</f>
        <v>4.5</v>
      </c>
      <c r="W44" s="180">
        <f t="shared" si="145"/>
        <v>0</v>
      </c>
      <c r="X44" s="180">
        <f t="shared" si="146"/>
        <v>4.08</v>
      </c>
      <c r="Y44" s="180">
        <f t="shared" si="147"/>
        <v>0</v>
      </c>
      <c r="Z44" s="408">
        <f>INDEX(外开窗!M:M,(ROW(B12)-1)*75+COLUMN(A18)*47)/V44</f>
        <v>6.2991869777777776</v>
      </c>
      <c r="AA44" s="408">
        <f>INDEX(外开窗!M:M,(ROW(B12)-1)*75+COLUMN(A18)*55)/V44</f>
        <v>0.7051648977777778</v>
      </c>
      <c r="AB44" s="408"/>
      <c r="AC44" s="408">
        <f>INDEX(外开窗!M:M,(ROW(B12)-1)*75+COLUMN(A18)*58)/V44</f>
        <v>0.22222222222222221</v>
      </c>
      <c r="AD44" s="408"/>
      <c r="AE44" s="408"/>
      <c r="AF44" s="408">
        <f>INDEX(外开窗!O:O,(ROW(B12)-1)*75+COLUMN(A18)*70)/V44</f>
        <v>0</v>
      </c>
      <c r="AG44" s="408">
        <f>(INDEX(外开窗!O:O,(ROW(B12)-1)*75+COLUMN(A18)*72)+INDEX(外开窗!O:O,(ROW(B12)-1)*75+COLUMN(A18)*73))/V44</f>
        <v>0</v>
      </c>
      <c r="AH44" s="189">
        <f t="shared" si="148"/>
        <v>0</v>
      </c>
      <c r="AI44" s="190">
        <f t="shared" si="149"/>
        <v>0</v>
      </c>
      <c r="AJ44" s="190">
        <f t="shared" si="150"/>
        <v>0</v>
      </c>
      <c r="AK44" s="190">
        <f t="shared" si="151"/>
        <v>0</v>
      </c>
      <c r="AL44" s="190">
        <f t="shared" si="152"/>
        <v>0</v>
      </c>
      <c r="AM44" s="190">
        <f t="shared" si="153"/>
        <v>0</v>
      </c>
      <c r="AN44" s="190">
        <f t="shared" si="154"/>
        <v>0</v>
      </c>
      <c r="AO44" s="190">
        <f t="shared" si="155"/>
        <v>0</v>
      </c>
      <c r="AP44" s="190">
        <f t="shared" si="156"/>
        <v>0</v>
      </c>
      <c r="AQ44" s="190">
        <f t="shared" si="157"/>
        <v>0</v>
      </c>
      <c r="AR44" s="190">
        <f t="shared" si="158"/>
        <v>0</v>
      </c>
      <c r="AS44" s="190">
        <f t="shared" si="159"/>
        <v>0</v>
      </c>
      <c r="AT44" s="190">
        <f t="shared" si="160"/>
        <v>0</v>
      </c>
      <c r="AU44" s="190">
        <f t="shared" si="161"/>
        <v>0</v>
      </c>
    </row>
    <row r="45" spans="2:47" s="130" customFormat="1" ht="12" x14ac:dyDescent="0.15">
      <c r="B45" s="123"/>
      <c r="C45" s="123"/>
      <c r="D45" s="409" t="s">
        <v>905</v>
      </c>
      <c r="E45" s="136" t="s">
        <v>1549</v>
      </c>
      <c r="F45" s="236" t="s">
        <v>1551</v>
      </c>
      <c r="G45" s="131"/>
      <c r="H45" s="132"/>
      <c r="I45" s="161">
        <f>INDEX(外开窗!G:G,(ROW(B13)-1)*75+COLUMN(A19)*2)</f>
        <v>55</v>
      </c>
      <c r="J45" s="160" t="str">
        <f t="shared" si="162"/>
        <v>系列断桥铝</v>
      </c>
      <c r="K45" s="133"/>
      <c r="L45" s="166">
        <f>INDEX(外开窗!K:K,(ROW(B13)-1)*75+COLUMN(A19)*2)</f>
        <v>2700</v>
      </c>
      <c r="M45" s="166">
        <f>INDEX(外开窗!M:M,(ROW(B13)-1)*75+COLUMN(A19)*2)</f>
        <v>1800</v>
      </c>
      <c r="N45" s="166">
        <f>INDEX(外开窗!M:M,(ROW(B13)-1)*75+COLUMN(A19)*13)</f>
        <v>50</v>
      </c>
      <c r="O45" s="166">
        <f t="shared" si="141"/>
        <v>50</v>
      </c>
      <c r="P45" s="159">
        <f t="shared" si="142"/>
        <v>2600</v>
      </c>
      <c r="Q45" s="192">
        <f t="shared" si="143"/>
        <v>1700</v>
      </c>
      <c r="R45" s="192">
        <f t="shared" si="144"/>
        <v>0</v>
      </c>
      <c r="S45" s="168"/>
      <c r="T45" s="168"/>
      <c r="U45" s="168"/>
      <c r="V45" s="180">
        <f>INDEX(外开窗!M:M,(ROW(B13)-1)*75+COLUMN(A19)*14)</f>
        <v>4.8600000000000003</v>
      </c>
      <c r="W45" s="180">
        <f t="shared" si="145"/>
        <v>0</v>
      </c>
      <c r="X45" s="180">
        <f t="shared" si="146"/>
        <v>4.42</v>
      </c>
      <c r="Y45" s="180">
        <f t="shared" si="147"/>
        <v>0</v>
      </c>
      <c r="Z45" s="408">
        <f>INDEX(外开窗!M:M,(ROW(B13)-1)*75+COLUMN(A19)*47)/V45</f>
        <v>7.7900681069958821</v>
      </c>
      <c r="AA45" s="408">
        <f>INDEX(外开窗!M:M,(ROW(B13)-1)*75+COLUMN(A19)*55)/V45</f>
        <v>0.65397388477366258</v>
      </c>
      <c r="AB45" s="408"/>
      <c r="AC45" s="408">
        <f>INDEX(外开窗!M:M,(ROW(B13)-1)*75+COLUMN(A19)*58)/V45</f>
        <v>0.41152263374485593</v>
      </c>
      <c r="AD45" s="408"/>
      <c r="AE45" s="408"/>
      <c r="AF45" s="408">
        <f>INDEX(外开窗!O:O,(ROW(B13)-1)*75+COLUMN(A19)*70)/V45</f>
        <v>0</v>
      </c>
      <c r="AG45" s="408">
        <f>(INDEX(外开窗!O:O,(ROW(B13)-1)*75+COLUMN(A19)*72)+INDEX(外开窗!O:O,(ROW(B13)-1)*75+COLUMN(A19)*73))/V45</f>
        <v>0</v>
      </c>
      <c r="AH45" s="189">
        <f t="shared" si="148"/>
        <v>0</v>
      </c>
      <c r="AI45" s="190">
        <f t="shared" si="149"/>
        <v>0</v>
      </c>
      <c r="AJ45" s="190">
        <f t="shared" si="150"/>
        <v>0</v>
      </c>
      <c r="AK45" s="190">
        <f t="shared" si="151"/>
        <v>0</v>
      </c>
      <c r="AL45" s="190">
        <f t="shared" si="152"/>
        <v>0</v>
      </c>
      <c r="AM45" s="190">
        <f t="shared" si="153"/>
        <v>0</v>
      </c>
      <c r="AN45" s="190">
        <f t="shared" si="154"/>
        <v>0</v>
      </c>
      <c r="AO45" s="190">
        <f t="shared" si="155"/>
        <v>0</v>
      </c>
      <c r="AP45" s="190">
        <f t="shared" si="156"/>
        <v>0</v>
      </c>
      <c r="AQ45" s="190">
        <f t="shared" si="157"/>
        <v>0</v>
      </c>
      <c r="AR45" s="190">
        <f t="shared" si="158"/>
        <v>0</v>
      </c>
      <c r="AS45" s="190">
        <f t="shared" si="159"/>
        <v>0</v>
      </c>
      <c r="AT45" s="190">
        <f t="shared" si="160"/>
        <v>0</v>
      </c>
      <c r="AU45" s="190">
        <f t="shared" si="161"/>
        <v>0</v>
      </c>
    </row>
    <row r="46" spans="2:47" s="130" customFormat="1" ht="12" x14ac:dyDescent="0.15">
      <c r="B46" s="416"/>
      <c r="C46" s="416"/>
      <c r="D46" s="409" t="s">
        <v>905</v>
      </c>
      <c r="E46" s="136" t="s">
        <v>1549</v>
      </c>
      <c r="F46" s="236" t="s">
        <v>1552</v>
      </c>
      <c r="G46" s="420"/>
      <c r="H46" s="430"/>
      <c r="I46" s="161">
        <f>INDEX(外开窗!G:G,(ROW(B14)-1)*75+COLUMN(A20)*2)</f>
        <v>55</v>
      </c>
      <c r="J46" s="160" t="str">
        <f t="shared" si="162"/>
        <v>系列断桥铝</v>
      </c>
      <c r="K46" s="423"/>
      <c r="L46" s="166">
        <f>INDEX(外开窗!K:K,(ROW(B14)-1)*75+COLUMN(A20)*2)</f>
        <v>3000</v>
      </c>
      <c r="M46" s="166">
        <f>INDEX(外开窗!M:M,(ROW(B14)-1)*75+COLUMN(A20)*2)</f>
        <v>1800</v>
      </c>
      <c r="N46" s="166">
        <f>INDEX(外开窗!M:M,(ROW(B14)-1)*75+COLUMN(A20)*13)</f>
        <v>50</v>
      </c>
      <c r="O46" s="166">
        <f t="shared" ref="O46:O47" si="163">N46</f>
        <v>50</v>
      </c>
      <c r="P46" s="159">
        <f t="shared" ref="P46:P47" si="164">L46-N46*2</f>
        <v>2900</v>
      </c>
      <c r="Q46" s="410">
        <f t="shared" ref="Q46:Q47" si="165">M46-O46*2</f>
        <v>1700</v>
      </c>
      <c r="R46" s="410">
        <f t="shared" ref="R46:R47" si="166">SUM(S46:U46)</f>
        <v>0</v>
      </c>
      <c r="S46" s="168"/>
      <c r="T46" s="168"/>
      <c r="U46" s="168"/>
      <c r="V46" s="180">
        <f>INDEX(外开窗!M:M,(ROW(B14)-1)*75+COLUMN(A20)*14)</f>
        <v>5.4</v>
      </c>
      <c r="W46" s="180">
        <f t="shared" ref="W46:W47" si="167">R46*V46</f>
        <v>0</v>
      </c>
      <c r="X46" s="180">
        <f t="shared" ref="X46:X47" si="168">P46*Q46/1000000</f>
        <v>4.93</v>
      </c>
      <c r="Y46" s="180">
        <f t="shared" ref="Y46:Y47" si="169">X46*R46</f>
        <v>0</v>
      </c>
      <c r="Z46" s="408">
        <f>INDEX(外开窗!M:M,(ROW(B14)-1)*75+COLUMN(A20)*47)/V46</f>
        <v>5.2493224814814807</v>
      </c>
      <c r="AA46" s="408">
        <f>INDEX(外开窗!M:M,(ROW(B14)-1)*75+COLUMN(A20)*55)/V46</f>
        <v>0.57294834074074075</v>
      </c>
      <c r="AB46" s="408"/>
      <c r="AC46" s="408">
        <f>INDEX(外开窗!M:M,(ROW(B14)-1)*75+COLUMN(A20)*58)/V46</f>
        <v>0.18518518518518517</v>
      </c>
      <c r="AD46" s="408"/>
      <c r="AE46" s="408"/>
      <c r="AF46" s="408">
        <f>INDEX(外开窗!O:O,(ROW(B14)-1)*75+COLUMN(A20)*70)/V46</f>
        <v>0</v>
      </c>
      <c r="AG46" s="408">
        <f>(INDEX(外开窗!O:O,(ROW(B14)-1)*75+COLUMN(A20)*72)+INDEX(外开窗!O:O,(ROW(B14)-1)*75+COLUMN(A20)*73))/V46</f>
        <v>0</v>
      </c>
      <c r="AH46" s="408">
        <f t="shared" ref="AH46:AH47" si="170">SUM(AF46:AG46)*$AH$4</f>
        <v>0</v>
      </c>
      <c r="AI46" s="411">
        <f t="shared" ref="AI46:AI47" si="171">SUM(AF46:AH46)*$AI$4</f>
        <v>0</v>
      </c>
      <c r="AJ46" s="411">
        <f t="shared" ref="AJ46:AJ47" si="172">SUM(AF46:AG46)</f>
        <v>0</v>
      </c>
      <c r="AK46" s="411">
        <f t="shared" ref="AK46:AK47" si="173">SUM(AF46:AI46)</f>
        <v>0</v>
      </c>
      <c r="AL46" s="411">
        <f t="shared" ref="AL46:AL47" si="174">V46*AK46</f>
        <v>0</v>
      </c>
      <c r="AM46" s="411">
        <f t="shared" ref="AM46:AM47" si="175">AJ46*V46</f>
        <v>0</v>
      </c>
      <c r="AN46" s="411">
        <f t="shared" ref="AN46:AN47" si="176">AL46*R46</f>
        <v>0</v>
      </c>
      <c r="AO46" s="411">
        <f t="shared" ref="AO46:AO47" si="177">AL46*R46</f>
        <v>0</v>
      </c>
      <c r="AP46" s="411">
        <f t="shared" ref="AP46:AP47" si="178">AL46*S46</f>
        <v>0</v>
      </c>
      <c r="AQ46" s="411">
        <f t="shared" ref="AQ46:AQ47" si="179">AL46*T46</f>
        <v>0</v>
      </c>
      <c r="AR46" s="411">
        <f t="shared" ref="AR46:AR47" si="180">U46*AL46</f>
        <v>0</v>
      </c>
      <c r="AS46" s="411">
        <f t="shared" ref="AS46:AS47" si="181">AM46*S46</f>
        <v>0</v>
      </c>
      <c r="AT46" s="411">
        <f t="shared" ref="AT46:AT47" si="182">AM46*T46</f>
        <v>0</v>
      </c>
      <c r="AU46" s="411">
        <f t="shared" ref="AU46:AU47" si="183">AM46*U46</f>
        <v>0</v>
      </c>
    </row>
    <row r="47" spans="2:47" s="130" customFormat="1" ht="12" x14ac:dyDescent="0.15">
      <c r="B47" s="416"/>
      <c r="C47" s="416"/>
      <c r="D47" s="409" t="s">
        <v>905</v>
      </c>
      <c r="E47" s="136" t="s">
        <v>1549</v>
      </c>
      <c r="F47" s="236" t="s">
        <v>1553</v>
      </c>
      <c r="G47" s="420"/>
      <c r="H47" s="430"/>
      <c r="I47" s="161">
        <f>INDEX(外开窗!G:G,(ROW(B15)-1)*75+COLUMN(A21)*2)</f>
        <v>55</v>
      </c>
      <c r="J47" s="160" t="str">
        <f t="shared" si="162"/>
        <v>系列断桥铝</v>
      </c>
      <c r="K47" s="423"/>
      <c r="L47" s="166">
        <f>INDEX(外开窗!K:K,(ROW(B15)-1)*75+COLUMN(A21)*2)</f>
        <v>3200</v>
      </c>
      <c r="M47" s="166">
        <f>INDEX(外开窗!M:M,(ROW(B15)-1)*75+COLUMN(A21)*2)</f>
        <v>1800</v>
      </c>
      <c r="N47" s="166">
        <f>INDEX(外开窗!M:M,(ROW(B15)-1)*75+COLUMN(A21)*13)</f>
        <v>50</v>
      </c>
      <c r="O47" s="166">
        <f t="shared" si="163"/>
        <v>50</v>
      </c>
      <c r="P47" s="159">
        <f t="shared" si="164"/>
        <v>3100</v>
      </c>
      <c r="Q47" s="410">
        <f t="shared" si="165"/>
        <v>1700</v>
      </c>
      <c r="R47" s="410">
        <f t="shared" si="166"/>
        <v>0</v>
      </c>
      <c r="S47" s="168"/>
      <c r="T47" s="168"/>
      <c r="U47" s="168"/>
      <c r="V47" s="180">
        <f>INDEX(外开窗!M:M,(ROW(B15)-1)*75+COLUMN(A21)*14)</f>
        <v>5.76</v>
      </c>
      <c r="W47" s="180">
        <f t="shared" si="167"/>
        <v>0</v>
      </c>
      <c r="X47" s="180">
        <f t="shared" si="168"/>
        <v>5.27</v>
      </c>
      <c r="Y47" s="180">
        <f t="shared" si="169"/>
        <v>0</v>
      </c>
      <c r="Z47" s="408">
        <f>INDEX(外开窗!M:M,(ROW(B15)-1)*75+COLUMN(A21)*47)/V47</f>
        <v>6.5728699652777758</v>
      </c>
      <c r="AA47" s="408">
        <f>INDEX(外开窗!M:M,(ROW(B15)-1)*75+COLUMN(A21)*55)/V47</f>
        <v>0.64413925000000005</v>
      </c>
      <c r="AB47" s="408"/>
      <c r="AC47" s="408">
        <f>INDEX(外开窗!M:M,(ROW(B15)-1)*75+COLUMN(A21)*58)/V47</f>
        <v>0.34722222222222221</v>
      </c>
      <c r="AD47" s="408"/>
      <c r="AE47" s="408"/>
      <c r="AF47" s="408">
        <f>INDEX(外开窗!O:O,(ROW(B15)-1)*75+COLUMN(A21)*70)/V47</f>
        <v>0</v>
      </c>
      <c r="AG47" s="408">
        <f>(INDEX(外开窗!O:O,(ROW(B15)-1)*75+COLUMN(A21)*72)+INDEX(外开窗!O:O,(ROW(B15)-1)*75+COLUMN(A21)*73))/V47</f>
        <v>0</v>
      </c>
      <c r="AH47" s="408">
        <f t="shared" si="170"/>
        <v>0</v>
      </c>
      <c r="AI47" s="411">
        <f t="shared" si="171"/>
        <v>0</v>
      </c>
      <c r="AJ47" s="411">
        <f t="shared" si="172"/>
        <v>0</v>
      </c>
      <c r="AK47" s="411">
        <f t="shared" si="173"/>
        <v>0</v>
      </c>
      <c r="AL47" s="411">
        <f t="shared" si="174"/>
        <v>0</v>
      </c>
      <c r="AM47" s="411">
        <f t="shared" si="175"/>
        <v>0</v>
      </c>
      <c r="AN47" s="411">
        <f t="shared" si="176"/>
        <v>0</v>
      </c>
      <c r="AO47" s="411">
        <f t="shared" si="177"/>
        <v>0</v>
      </c>
      <c r="AP47" s="411">
        <f t="shared" si="178"/>
        <v>0</v>
      </c>
      <c r="AQ47" s="411">
        <f t="shared" si="179"/>
        <v>0</v>
      </c>
      <c r="AR47" s="411">
        <f t="shared" si="180"/>
        <v>0</v>
      </c>
      <c r="AS47" s="411">
        <f t="shared" si="181"/>
        <v>0</v>
      </c>
      <c r="AT47" s="411">
        <f t="shared" si="182"/>
        <v>0</v>
      </c>
      <c r="AU47" s="411">
        <f t="shared" si="183"/>
        <v>0</v>
      </c>
    </row>
    <row r="48" spans="2:47" s="130" customFormat="1" ht="12" x14ac:dyDescent="0.15">
      <c r="B48" s="416"/>
      <c r="C48" s="416"/>
      <c r="D48" s="417"/>
      <c r="E48" s="430"/>
      <c r="F48" s="431"/>
      <c r="G48" s="420"/>
      <c r="H48" s="430"/>
      <c r="I48" s="421"/>
      <c r="J48" s="422"/>
      <c r="K48" s="423"/>
      <c r="L48" s="416"/>
      <c r="M48" s="416"/>
      <c r="N48" s="416"/>
      <c r="O48" s="424"/>
      <c r="P48" s="425"/>
      <c r="Q48" s="416"/>
      <c r="R48" s="416"/>
      <c r="S48" s="426"/>
      <c r="T48" s="426"/>
      <c r="U48" s="426"/>
      <c r="V48" s="427"/>
      <c r="W48" s="427"/>
      <c r="X48" s="427"/>
      <c r="Y48" s="427"/>
      <c r="Z48" s="428"/>
      <c r="AA48" s="428"/>
      <c r="AB48" s="428"/>
      <c r="AC48" s="428"/>
      <c r="AD48" s="428"/>
      <c r="AE48" s="428"/>
      <c r="AF48" s="428"/>
      <c r="AG48" s="428"/>
      <c r="AH48" s="428"/>
      <c r="AI48" s="429"/>
      <c r="AJ48" s="429"/>
      <c r="AK48" s="429"/>
      <c r="AL48" s="429"/>
      <c r="AM48" s="429"/>
      <c r="AN48" s="429"/>
      <c r="AO48" s="429"/>
      <c r="AP48" s="429"/>
      <c r="AQ48" s="429"/>
      <c r="AR48" s="429"/>
      <c r="AS48" s="429"/>
      <c r="AT48" s="429"/>
      <c r="AU48" s="429"/>
    </row>
    <row r="49" spans="2:47" s="130" customFormat="1" ht="12" x14ac:dyDescent="0.15">
      <c r="B49" s="123"/>
      <c r="C49" s="123"/>
      <c r="D49" s="322" t="s">
        <v>906</v>
      </c>
      <c r="E49" s="136" t="s">
        <v>1554</v>
      </c>
      <c r="F49" s="236" t="s">
        <v>1555</v>
      </c>
      <c r="G49" s="131"/>
      <c r="H49" s="136"/>
      <c r="I49" s="161">
        <f>INDEX(外开门!G:G,(ROW(B1)-1)*74+COLUMN(A23)*2)</f>
        <v>50</v>
      </c>
      <c r="J49" s="160" t="str">
        <f t="shared" si="162"/>
        <v>系列普铝</v>
      </c>
      <c r="K49" s="133"/>
      <c r="L49" s="166">
        <f>INDEX(外开门!K:K,(ROW(B1)-1)*74+COLUMN(A23)*2)</f>
        <v>900</v>
      </c>
      <c r="M49" s="166">
        <f>INDEX(外开门!M:M,(ROW(B1)-1)*74+COLUMN(A23)*2)</f>
        <v>2400</v>
      </c>
      <c r="N49" s="166">
        <f>INDEX(外开门!M:M,(ROW(B1)-1)*74+COLUMN(A23)*13)</f>
        <v>50</v>
      </c>
      <c r="O49" s="166">
        <f t="shared" si="141"/>
        <v>50</v>
      </c>
      <c r="P49" s="159">
        <f t="shared" si="142"/>
        <v>800</v>
      </c>
      <c r="Q49" s="192">
        <f t="shared" si="143"/>
        <v>2300</v>
      </c>
      <c r="R49" s="192">
        <f t="shared" si="144"/>
        <v>0</v>
      </c>
      <c r="S49" s="168"/>
      <c r="T49" s="168"/>
      <c r="U49" s="168"/>
      <c r="V49" s="180">
        <f t="shared" ref="V49:V53" si="184">L49*M49/1000000</f>
        <v>2.16</v>
      </c>
      <c r="W49" s="180">
        <f t="shared" si="145"/>
        <v>0</v>
      </c>
      <c r="X49" s="180">
        <f t="shared" si="146"/>
        <v>1.84</v>
      </c>
      <c r="Y49" s="180">
        <f t="shared" si="147"/>
        <v>0</v>
      </c>
      <c r="Z49" s="125">
        <f>INDEX(外开门!M:M,(ROW(B1)-1)*74+COLUMN(A23)*47)/V49</f>
        <v>7.7008822222222229</v>
      </c>
      <c r="AA49" s="125">
        <f>INDEX(外开门!M:M,(ROW(B1)-1)*74+COLUMN(A23)*53)/V49</f>
        <v>0.57933807407407401</v>
      </c>
      <c r="AB49" s="125"/>
      <c r="AC49" s="125">
        <f>INDEX(外开门!M:M,(ROW(B1)-1)*74+COLUMN(A23)*57)/V49</f>
        <v>0.46296296296296291</v>
      </c>
      <c r="AD49" s="125"/>
      <c r="AE49" s="125"/>
      <c r="AF49" s="125">
        <f>INDEX(外开门!O:O,(ROW(B1)-1)*74+COLUMN(A23)*69)/V49</f>
        <v>0</v>
      </c>
      <c r="AG49" s="125">
        <f>(INDEX(外开门!O:O,(ROW(B1)-1)*74+COLUMN(A23)*71)+INDEX(外开门!O:O,(ROW(B1)-1)*74+COLUMN(A23)*72))/V49</f>
        <v>0</v>
      </c>
      <c r="AH49" s="189">
        <f t="shared" si="148"/>
        <v>0</v>
      </c>
      <c r="AI49" s="190">
        <f t="shared" si="149"/>
        <v>0</v>
      </c>
      <c r="AJ49" s="190">
        <f t="shared" si="150"/>
        <v>0</v>
      </c>
      <c r="AK49" s="190">
        <f t="shared" si="151"/>
        <v>0</v>
      </c>
      <c r="AL49" s="190">
        <f t="shared" si="152"/>
        <v>0</v>
      </c>
      <c r="AM49" s="190">
        <f t="shared" si="153"/>
        <v>0</v>
      </c>
      <c r="AN49" s="190">
        <f t="shared" si="154"/>
        <v>0</v>
      </c>
      <c r="AO49" s="190">
        <f t="shared" si="155"/>
        <v>0</v>
      </c>
      <c r="AP49" s="190">
        <f t="shared" si="156"/>
        <v>0</v>
      </c>
      <c r="AQ49" s="190">
        <f t="shared" si="157"/>
        <v>0</v>
      </c>
      <c r="AR49" s="190">
        <f t="shared" si="158"/>
        <v>0</v>
      </c>
      <c r="AS49" s="190">
        <f t="shared" si="159"/>
        <v>0</v>
      </c>
      <c r="AT49" s="190">
        <f t="shared" si="160"/>
        <v>0</v>
      </c>
      <c r="AU49" s="190">
        <f t="shared" si="161"/>
        <v>0</v>
      </c>
    </row>
    <row r="50" spans="2:47" s="130" customFormat="1" ht="12" x14ac:dyDescent="0.15">
      <c r="B50" s="123"/>
      <c r="C50" s="123"/>
      <c r="D50" s="322" t="s">
        <v>906</v>
      </c>
      <c r="E50" s="136" t="s">
        <v>1554</v>
      </c>
      <c r="F50" s="236" t="s">
        <v>1556</v>
      </c>
      <c r="G50" s="131"/>
      <c r="H50" s="136"/>
      <c r="I50" s="161">
        <f>INDEX(外开门!G:G,(ROW(B2)-1)*74+COLUMN(A24)*2)</f>
        <v>50</v>
      </c>
      <c r="J50" s="160" t="str">
        <f t="shared" si="162"/>
        <v>系列普铝</v>
      </c>
      <c r="K50" s="133"/>
      <c r="L50" s="166">
        <f>INDEX(外开门!K:K,(ROW(B2)-1)*74+COLUMN(A24)*2)</f>
        <v>1200</v>
      </c>
      <c r="M50" s="166">
        <f>INDEX(外开门!M:M,(ROW(B2)-1)*74+COLUMN(A24)*2)</f>
        <v>2400</v>
      </c>
      <c r="N50" s="166">
        <f>INDEX(外开门!M:M,(ROW(B2)-1)*74+COLUMN(A24)*13)</f>
        <v>50</v>
      </c>
      <c r="O50" s="166">
        <f t="shared" si="141"/>
        <v>50</v>
      </c>
      <c r="P50" s="159">
        <f t="shared" si="142"/>
        <v>1100</v>
      </c>
      <c r="Q50" s="192">
        <f t="shared" si="143"/>
        <v>2300</v>
      </c>
      <c r="R50" s="192">
        <f t="shared" si="144"/>
        <v>0</v>
      </c>
      <c r="S50" s="168"/>
      <c r="T50" s="168"/>
      <c r="U50" s="168"/>
      <c r="V50" s="180">
        <f t="shared" si="184"/>
        <v>2.88</v>
      </c>
      <c r="W50" s="180">
        <f t="shared" si="145"/>
        <v>0</v>
      </c>
      <c r="X50" s="180">
        <f t="shared" si="146"/>
        <v>2.5299999999999998</v>
      </c>
      <c r="Y50" s="180">
        <f t="shared" si="147"/>
        <v>0</v>
      </c>
      <c r="Z50" s="408">
        <f>INDEX(外开门!M:M,(ROW(B2)-1)*74+COLUMN(A24)*47)/V50</f>
        <v>9.4400681249999998</v>
      </c>
      <c r="AA50" s="408">
        <f>INDEX(外开门!M:M,(ROW(B2)-1)*74+COLUMN(A24)*53)/V50</f>
        <v>0.54029002777777779</v>
      </c>
      <c r="AB50" s="408"/>
      <c r="AC50" s="408">
        <f>INDEX(外开门!M:M,(ROW(B2)-1)*74+COLUMN(A24)*57)/V50</f>
        <v>0.69444444444444442</v>
      </c>
      <c r="AD50" s="125"/>
      <c r="AE50" s="125"/>
      <c r="AF50" s="408">
        <f>INDEX(外开门!O:O,(ROW(B2)-1)*74+COLUMN(A24)*69)/V50</f>
        <v>0</v>
      </c>
      <c r="AG50" s="408">
        <f>(INDEX(外开门!O:O,(ROW(B2)-1)*74+COLUMN(A24)*71)+INDEX(外开门!O:O,(ROW(B2)-1)*74+COLUMN(A24)*72))/V50</f>
        <v>0</v>
      </c>
      <c r="AH50" s="189">
        <f t="shared" si="148"/>
        <v>0</v>
      </c>
      <c r="AI50" s="190">
        <f t="shared" si="149"/>
        <v>0</v>
      </c>
      <c r="AJ50" s="190">
        <f t="shared" si="150"/>
        <v>0</v>
      </c>
      <c r="AK50" s="190">
        <f t="shared" si="151"/>
        <v>0</v>
      </c>
      <c r="AL50" s="190">
        <f t="shared" si="152"/>
        <v>0</v>
      </c>
      <c r="AM50" s="190">
        <f t="shared" si="153"/>
        <v>0</v>
      </c>
      <c r="AN50" s="190">
        <f t="shared" si="154"/>
        <v>0</v>
      </c>
      <c r="AO50" s="190">
        <f t="shared" si="155"/>
        <v>0</v>
      </c>
      <c r="AP50" s="190">
        <f t="shared" si="156"/>
        <v>0</v>
      </c>
      <c r="AQ50" s="190">
        <f t="shared" si="157"/>
        <v>0</v>
      </c>
      <c r="AR50" s="190">
        <f t="shared" si="158"/>
        <v>0</v>
      </c>
      <c r="AS50" s="190">
        <f t="shared" si="159"/>
        <v>0</v>
      </c>
      <c r="AT50" s="190">
        <f t="shared" si="160"/>
        <v>0</v>
      </c>
      <c r="AU50" s="190">
        <f t="shared" si="161"/>
        <v>0</v>
      </c>
    </row>
    <row r="51" spans="2:47" s="130" customFormat="1" ht="12" x14ac:dyDescent="0.15">
      <c r="B51" s="123"/>
      <c r="C51" s="123"/>
      <c r="D51" s="322" t="s">
        <v>906</v>
      </c>
      <c r="E51" s="136" t="s">
        <v>1554</v>
      </c>
      <c r="F51" s="236" t="s">
        <v>1557</v>
      </c>
      <c r="G51" s="131"/>
      <c r="H51" s="136"/>
      <c r="I51" s="161">
        <f>INDEX(外开门!G:G,(ROW(B3)-1)*74+COLUMN(A25)*2)</f>
        <v>50</v>
      </c>
      <c r="J51" s="160" t="str">
        <f t="shared" si="162"/>
        <v>系列普铝</v>
      </c>
      <c r="K51" s="133"/>
      <c r="L51" s="166">
        <f>INDEX(外开门!K:K,(ROW(B3)-1)*74+COLUMN(A25)*2)</f>
        <v>1400</v>
      </c>
      <c r="M51" s="166">
        <f>INDEX(外开门!M:M,(ROW(B3)-1)*74+COLUMN(A25)*2)</f>
        <v>2400</v>
      </c>
      <c r="N51" s="166">
        <f>INDEX(外开门!M:M,(ROW(B3)-1)*74+COLUMN(A25)*13)</f>
        <v>50</v>
      </c>
      <c r="O51" s="166">
        <f t="shared" si="141"/>
        <v>50</v>
      </c>
      <c r="P51" s="159">
        <f t="shared" si="142"/>
        <v>1300</v>
      </c>
      <c r="Q51" s="192">
        <f t="shared" si="143"/>
        <v>2300</v>
      </c>
      <c r="R51" s="192">
        <f t="shared" si="144"/>
        <v>0</v>
      </c>
      <c r="S51" s="168"/>
      <c r="T51" s="168"/>
      <c r="U51" s="168"/>
      <c r="V51" s="180">
        <f t="shared" si="184"/>
        <v>3.36</v>
      </c>
      <c r="W51" s="180">
        <f t="shared" si="145"/>
        <v>0</v>
      </c>
      <c r="X51" s="180">
        <f t="shared" si="146"/>
        <v>2.99</v>
      </c>
      <c r="Y51" s="180">
        <f t="shared" si="147"/>
        <v>0</v>
      </c>
      <c r="Z51" s="408">
        <f>INDEX(外开门!M:M,(ROW(B3)-1)*74+COLUMN(A25)*47)/V51</f>
        <v>8.4052964880952388</v>
      </c>
      <c r="AA51" s="408">
        <f>INDEX(外开门!M:M,(ROW(B3)-1)*74+COLUMN(A25)*53)/V51</f>
        <v>0.58791526190476207</v>
      </c>
      <c r="AB51" s="408"/>
      <c r="AC51" s="408">
        <f>INDEX(外开门!M:M,(ROW(B3)-1)*74+COLUMN(A25)*57)/V51</f>
        <v>0.59523809523809523</v>
      </c>
      <c r="AD51" s="125"/>
      <c r="AE51" s="125"/>
      <c r="AF51" s="408">
        <f>INDEX(外开门!O:O,(ROW(B3)-1)*74+COLUMN(A25)*69)/V51</f>
        <v>0</v>
      </c>
      <c r="AG51" s="408">
        <f>(INDEX(外开门!O:O,(ROW(B3)-1)*74+COLUMN(A25)*71)+INDEX(外开门!O:O,(ROW(B3)-1)*74+COLUMN(A25)*72))/V51</f>
        <v>0</v>
      </c>
      <c r="AH51" s="189">
        <f t="shared" si="148"/>
        <v>0</v>
      </c>
      <c r="AI51" s="190">
        <f t="shared" si="149"/>
        <v>0</v>
      </c>
      <c r="AJ51" s="190">
        <f t="shared" si="150"/>
        <v>0</v>
      </c>
      <c r="AK51" s="190">
        <f t="shared" si="151"/>
        <v>0</v>
      </c>
      <c r="AL51" s="190">
        <f t="shared" si="152"/>
        <v>0</v>
      </c>
      <c r="AM51" s="190">
        <f t="shared" si="153"/>
        <v>0</v>
      </c>
      <c r="AN51" s="190">
        <f t="shared" si="154"/>
        <v>0</v>
      </c>
      <c r="AO51" s="190">
        <f t="shared" si="155"/>
        <v>0</v>
      </c>
      <c r="AP51" s="190">
        <f t="shared" si="156"/>
        <v>0</v>
      </c>
      <c r="AQ51" s="190">
        <f t="shared" si="157"/>
        <v>0</v>
      </c>
      <c r="AR51" s="190">
        <f t="shared" si="158"/>
        <v>0</v>
      </c>
      <c r="AS51" s="190">
        <f t="shared" si="159"/>
        <v>0</v>
      </c>
      <c r="AT51" s="190">
        <f t="shared" si="160"/>
        <v>0</v>
      </c>
      <c r="AU51" s="190">
        <f t="shared" si="161"/>
        <v>0</v>
      </c>
    </row>
    <row r="52" spans="2:47" s="130" customFormat="1" ht="12" x14ac:dyDescent="0.15">
      <c r="B52" s="123"/>
      <c r="C52" s="123"/>
      <c r="D52" s="322" t="s">
        <v>906</v>
      </c>
      <c r="E52" s="136" t="s">
        <v>1554</v>
      </c>
      <c r="F52" s="236" t="s">
        <v>1558</v>
      </c>
      <c r="G52" s="131"/>
      <c r="H52" s="136"/>
      <c r="I52" s="161">
        <f>INDEX(外开门!G:G,(ROW(B4)-1)*74+COLUMN(A26)*2)</f>
        <v>55</v>
      </c>
      <c r="J52" s="160" t="str">
        <f t="shared" si="162"/>
        <v>系列断桥铝</v>
      </c>
      <c r="K52" s="133"/>
      <c r="L52" s="166">
        <f>INDEX(外开门!K:K,(ROW(B4)-1)*74+COLUMN(A26)*2)</f>
        <v>1500</v>
      </c>
      <c r="M52" s="166">
        <f>INDEX(外开门!M:M,(ROW(B4)-1)*74+COLUMN(A26)*2)</f>
        <v>2400</v>
      </c>
      <c r="N52" s="166">
        <f>INDEX(外开门!M:M,(ROW(B4)-1)*74+COLUMN(A26)*13)</f>
        <v>50</v>
      </c>
      <c r="O52" s="166">
        <f t="shared" si="141"/>
        <v>50</v>
      </c>
      <c r="P52" s="159">
        <f t="shared" si="142"/>
        <v>1400</v>
      </c>
      <c r="Q52" s="192">
        <f t="shared" si="143"/>
        <v>2300</v>
      </c>
      <c r="R52" s="192">
        <f t="shared" si="144"/>
        <v>0</v>
      </c>
      <c r="S52" s="168"/>
      <c r="T52" s="168"/>
      <c r="U52" s="168"/>
      <c r="V52" s="180">
        <f t="shared" si="184"/>
        <v>3.6</v>
      </c>
      <c r="W52" s="180">
        <f t="shared" si="145"/>
        <v>0</v>
      </c>
      <c r="X52" s="180">
        <f t="shared" si="146"/>
        <v>3.22</v>
      </c>
      <c r="Y52" s="180">
        <f t="shared" si="147"/>
        <v>0</v>
      </c>
      <c r="Z52" s="408">
        <f>INDEX(外开门!M:M,(ROW(B4)-1)*74+COLUMN(A26)*47)/V52</f>
        <v>9.6202980666666669</v>
      </c>
      <c r="AA52" s="408">
        <f>INDEX(外开门!M:M,(ROW(B4)-1)*74+COLUMN(A26)*53)/V52</f>
        <v>0.62993482200000006</v>
      </c>
      <c r="AB52" s="408"/>
      <c r="AC52" s="408">
        <f>INDEX(外开门!M:M,(ROW(B4)-1)*74+COLUMN(A26)*57)/V52</f>
        <v>0.27777777777777779</v>
      </c>
      <c r="AD52" s="125"/>
      <c r="AE52" s="125"/>
      <c r="AF52" s="408">
        <f>INDEX(外开门!O:O,(ROW(B4)-1)*74+COLUMN(A26)*69)/V52</f>
        <v>0</v>
      </c>
      <c r="AG52" s="408">
        <f>(INDEX(外开门!O:O,(ROW(B4)-1)*74+COLUMN(A26)*71)+INDEX(外开门!O:O,(ROW(B4)-1)*74+COLUMN(A26)*72))/V52</f>
        <v>0</v>
      </c>
      <c r="AH52" s="189">
        <f t="shared" si="148"/>
        <v>0</v>
      </c>
      <c r="AI52" s="190">
        <f t="shared" si="149"/>
        <v>0</v>
      </c>
      <c r="AJ52" s="190">
        <f t="shared" si="150"/>
        <v>0</v>
      </c>
      <c r="AK52" s="190">
        <f t="shared" si="151"/>
        <v>0</v>
      </c>
      <c r="AL52" s="190">
        <f t="shared" si="152"/>
        <v>0</v>
      </c>
      <c r="AM52" s="190">
        <f t="shared" si="153"/>
        <v>0</v>
      </c>
      <c r="AN52" s="190">
        <f t="shared" si="154"/>
        <v>0</v>
      </c>
      <c r="AO52" s="190">
        <f t="shared" si="155"/>
        <v>0</v>
      </c>
      <c r="AP52" s="190">
        <f t="shared" si="156"/>
        <v>0</v>
      </c>
      <c r="AQ52" s="190">
        <f t="shared" si="157"/>
        <v>0</v>
      </c>
      <c r="AR52" s="190">
        <f t="shared" si="158"/>
        <v>0</v>
      </c>
      <c r="AS52" s="190">
        <f t="shared" si="159"/>
        <v>0</v>
      </c>
      <c r="AT52" s="190">
        <f t="shared" si="160"/>
        <v>0</v>
      </c>
      <c r="AU52" s="190">
        <f t="shared" si="161"/>
        <v>0</v>
      </c>
    </row>
    <row r="53" spans="2:47" s="130" customFormat="1" ht="12" x14ac:dyDescent="0.15">
      <c r="B53" s="123"/>
      <c r="C53" s="123"/>
      <c r="D53" s="322" t="s">
        <v>906</v>
      </c>
      <c r="E53" s="136" t="s">
        <v>1562</v>
      </c>
      <c r="F53" s="236" t="s">
        <v>1559</v>
      </c>
      <c r="G53" s="131"/>
      <c r="H53" s="136"/>
      <c r="I53" s="161">
        <f>INDEX(外开门!G:G,(ROW(B5)-1)*74+COLUMN(A27)*2)</f>
        <v>55</v>
      </c>
      <c r="J53" s="160" t="str">
        <f t="shared" si="162"/>
        <v>系列断桥铝</v>
      </c>
      <c r="K53" s="133"/>
      <c r="L53" s="166">
        <f>INDEX(外开门!K:K,(ROW(B5)-1)*74+COLUMN(A27)*2)</f>
        <v>2700</v>
      </c>
      <c r="M53" s="166">
        <f>INDEX(外开门!M:M,(ROW(B5)-1)*74+COLUMN(A27)*2)</f>
        <v>2400</v>
      </c>
      <c r="N53" s="166">
        <f>INDEX(外开门!M:M,(ROW(B5)-1)*74+COLUMN(A27)*13)</f>
        <v>50</v>
      </c>
      <c r="O53" s="166">
        <f t="shared" si="141"/>
        <v>50</v>
      </c>
      <c r="P53" s="159">
        <f t="shared" si="142"/>
        <v>2600</v>
      </c>
      <c r="Q53" s="192">
        <f t="shared" si="143"/>
        <v>2300</v>
      </c>
      <c r="R53" s="192">
        <f t="shared" si="144"/>
        <v>0</v>
      </c>
      <c r="S53" s="168"/>
      <c r="T53" s="168"/>
      <c r="U53" s="168"/>
      <c r="V53" s="180">
        <f t="shared" si="184"/>
        <v>6.48</v>
      </c>
      <c r="W53" s="180">
        <f t="shared" si="145"/>
        <v>0</v>
      </c>
      <c r="X53" s="180">
        <f t="shared" si="146"/>
        <v>5.98</v>
      </c>
      <c r="Y53" s="180">
        <f t="shared" si="147"/>
        <v>0</v>
      </c>
      <c r="Z53" s="408">
        <f>INDEX(外开门!M:M,(ROW(B5)-1)*74+COLUMN(A27)*47)/V53</f>
        <v>7.3262412037037024</v>
      </c>
      <c r="AA53" s="408">
        <f>INDEX(外开门!M:M,(ROW(B5)-1)*74+COLUMN(A27)*53)/V53</f>
        <v>0.7351885030864197</v>
      </c>
      <c r="AB53" s="408"/>
      <c r="AC53" s="408">
        <f>INDEX(外开门!M:M,(ROW(B5)-1)*74+COLUMN(A27)*57)/V53</f>
        <v>0.30864197530864196</v>
      </c>
      <c r="AD53" s="125"/>
      <c r="AE53" s="125"/>
      <c r="AF53" s="408">
        <f>INDEX(外开门!O:O,(ROW(B5)-1)*74+COLUMN(A27)*69)/V53</f>
        <v>0</v>
      </c>
      <c r="AG53" s="408">
        <f>(INDEX(外开门!O:O,(ROW(B5)-1)*74+COLUMN(A27)*71)+INDEX(外开门!O:O,(ROW(B5)-1)*74+COLUMN(A27)*72))/V53</f>
        <v>0</v>
      </c>
      <c r="AH53" s="189">
        <f t="shared" si="148"/>
        <v>0</v>
      </c>
      <c r="AI53" s="190">
        <f t="shared" si="149"/>
        <v>0</v>
      </c>
      <c r="AJ53" s="190">
        <f t="shared" si="150"/>
        <v>0</v>
      </c>
      <c r="AK53" s="190">
        <f t="shared" si="151"/>
        <v>0</v>
      </c>
      <c r="AL53" s="190">
        <f t="shared" si="152"/>
        <v>0</v>
      </c>
      <c r="AM53" s="190">
        <f t="shared" si="153"/>
        <v>0</v>
      </c>
      <c r="AN53" s="190">
        <f t="shared" si="154"/>
        <v>0</v>
      </c>
      <c r="AO53" s="190">
        <f t="shared" si="155"/>
        <v>0</v>
      </c>
      <c r="AP53" s="190">
        <f t="shared" si="156"/>
        <v>0</v>
      </c>
      <c r="AQ53" s="190">
        <f t="shared" si="157"/>
        <v>0</v>
      </c>
      <c r="AR53" s="190">
        <f t="shared" si="158"/>
        <v>0</v>
      </c>
      <c r="AS53" s="190">
        <f t="shared" si="159"/>
        <v>0</v>
      </c>
      <c r="AT53" s="190">
        <f t="shared" si="160"/>
        <v>0</v>
      </c>
      <c r="AU53" s="190">
        <f t="shared" si="161"/>
        <v>0</v>
      </c>
    </row>
    <row r="54" spans="2:47" s="130" customFormat="1" ht="12" x14ac:dyDescent="0.15">
      <c r="B54" s="123"/>
      <c r="C54" s="123"/>
      <c r="D54" s="322" t="s">
        <v>906</v>
      </c>
      <c r="E54" s="136" t="s">
        <v>1562</v>
      </c>
      <c r="F54" s="236" t="s">
        <v>1560</v>
      </c>
      <c r="G54" s="131"/>
      <c r="H54" s="136"/>
      <c r="I54" s="161">
        <f>INDEX(外开门!G:G,(ROW(B6)-1)*74+COLUMN(A28)*2)</f>
        <v>55</v>
      </c>
      <c r="J54" s="160" t="str">
        <f t="shared" si="162"/>
        <v>系列断桥铝</v>
      </c>
      <c r="K54" s="133"/>
      <c r="L54" s="166">
        <f>INDEX(外开门!K:K,(ROW(B6)-1)*74+COLUMN(A28)*2)</f>
        <v>1600</v>
      </c>
      <c r="M54" s="166">
        <f>INDEX(外开门!M:M,(ROW(B6)-1)*74+COLUMN(A28)*2)</f>
        <v>2400</v>
      </c>
      <c r="N54" s="166">
        <f>INDEX(外开门!M:M,(ROW(B6)-1)*74+COLUMN(A28)*13)</f>
        <v>50</v>
      </c>
      <c r="O54" s="166">
        <f t="shared" si="141"/>
        <v>50</v>
      </c>
      <c r="P54" s="159">
        <f t="shared" si="142"/>
        <v>1500</v>
      </c>
      <c r="Q54" s="192">
        <f t="shared" si="143"/>
        <v>2300</v>
      </c>
      <c r="R54" s="192">
        <f t="shared" si="144"/>
        <v>0</v>
      </c>
      <c r="S54" s="168"/>
      <c r="T54" s="168"/>
      <c r="U54" s="168"/>
      <c r="V54" s="180">
        <f>外开门!M384</f>
        <v>3.3</v>
      </c>
      <c r="W54" s="180">
        <f t="shared" si="145"/>
        <v>0</v>
      </c>
      <c r="X54" s="180">
        <f>(P54*Q54-900*外开门!M379)/1000000</f>
        <v>2.91</v>
      </c>
      <c r="Y54" s="180">
        <f t="shared" si="147"/>
        <v>0</v>
      </c>
      <c r="Z54" s="408">
        <f>INDEX(外开门!M:M,(ROW(B6)-1)*74+COLUMN(A28)*47)/V54</f>
        <v>11.071953818181816</v>
      </c>
      <c r="AA54" s="408">
        <f>INDEX(外开门!M:M,(ROW(B6)-1)*74+COLUMN(A28)*53)/V54</f>
        <v>0.40343454545454549</v>
      </c>
      <c r="AB54" s="408"/>
      <c r="AC54" s="408">
        <f>INDEX(外开门!M:M,(ROW(B6)-1)*74+COLUMN(A28)*57)/V54</f>
        <v>0.60606060606060608</v>
      </c>
      <c r="AD54" s="125"/>
      <c r="AE54" s="125"/>
      <c r="AF54" s="408">
        <f>INDEX(外开门!O:O,(ROW(B6)-1)*74+COLUMN(A28)*69)/V54</f>
        <v>0</v>
      </c>
      <c r="AG54" s="408">
        <f>(INDEX(外开门!O:O,(ROW(B6)-1)*74+COLUMN(A28)*71)+INDEX(外开门!O:O,(ROW(B6)-1)*74+COLUMN(A28)*72))/V54</f>
        <v>0</v>
      </c>
      <c r="AH54" s="189">
        <f t="shared" si="148"/>
        <v>0</v>
      </c>
      <c r="AI54" s="190">
        <f t="shared" si="149"/>
        <v>0</v>
      </c>
      <c r="AJ54" s="190">
        <f t="shared" si="150"/>
        <v>0</v>
      </c>
      <c r="AK54" s="190">
        <f t="shared" si="151"/>
        <v>0</v>
      </c>
      <c r="AL54" s="190">
        <f t="shared" si="152"/>
        <v>0</v>
      </c>
      <c r="AM54" s="190">
        <f t="shared" si="153"/>
        <v>0</v>
      </c>
      <c r="AN54" s="190">
        <f t="shared" si="154"/>
        <v>0</v>
      </c>
      <c r="AO54" s="190">
        <f t="shared" si="155"/>
        <v>0</v>
      </c>
      <c r="AP54" s="190">
        <f t="shared" si="156"/>
        <v>0</v>
      </c>
      <c r="AQ54" s="190">
        <f t="shared" si="157"/>
        <v>0</v>
      </c>
      <c r="AR54" s="190">
        <f t="shared" si="158"/>
        <v>0</v>
      </c>
      <c r="AS54" s="190">
        <f t="shared" si="159"/>
        <v>0</v>
      </c>
      <c r="AT54" s="190">
        <f t="shared" si="160"/>
        <v>0</v>
      </c>
      <c r="AU54" s="190">
        <f t="shared" si="161"/>
        <v>0</v>
      </c>
    </row>
    <row r="55" spans="2:47" s="130" customFormat="1" ht="12" x14ac:dyDescent="0.15">
      <c r="B55" s="123"/>
      <c r="C55" s="123"/>
      <c r="D55" s="322" t="s">
        <v>906</v>
      </c>
      <c r="E55" s="136" t="s">
        <v>1562</v>
      </c>
      <c r="F55" s="236" t="s">
        <v>1561</v>
      </c>
      <c r="G55" s="131"/>
      <c r="H55" s="136"/>
      <c r="I55" s="161">
        <f>INDEX(外开门!G:G,(ROW(B7)-1)*74+COLUMN(A29)*2)</f>
        <v>55</v>
      </c>
      <c r="J55" s="160" t="str">
        <f t="shared" si="162"/>
        <v>系列断桥铝</v>
      </c>
      <c r="K55" s="133"/>
      <c r="L55" s="166">
        <f>INDEX(外开门!K:K,(ROW(B7)-1)*74+COLUMN(A29)*2)</f>
        <v>1600</v>
      </c>
      <c r="M55" s="166">
        <f>INDEX(外开门!M:M,(ROW(B7)-1)*74+COLUMN(A29)*2)</f>
        <v>2400</v>
      </c>
      <c r="N55" s="166">
        <f>INDEX(外开门!M:M,(ROW(B7)-1)*74+COLUMN(A29)*13)</f>
        <v>50</v>
      </c>
      <c r="O55" s="166">
        <f t="shared" si="141"/>
        <v>50</v>
      </c>
      <c r="P55" s="159">
        <f t="shared" si="142"/>
        <v>1500</v>
      </c>
      <c r="Q55" s="192">
        <f t="shared" si="143"/>
        <v>2300</v>
      </c>
      <c r="R55" s="192">
        <f t="shared" si="144"/>
        <v>0</v>
      </c>
      <c r="S55" s="168"/>
      <c r="T55" s="168"/>
      <c r="U55" s="168"/>
      <c r="V55" s="180">
        <f>外开门!M458</f>
        <v>3.48</v>
      </c>
      <c r="W55" s="180">
        <f t="shared" si="145"/>
        <v>0</v>
      </c>
      <c r="X55" s="180">
        <f>(P55*Q55-外开门!M453*外开门!M452)/1000000</f>
        <v>3.09</v>
      </c>
      <c r="Y55" s="180">
        <f t="shared" si="147"/>
        <v>0</v>
      </c>
      <c r="Z55" s="408">
        <f>INDEX(外开门!M:M,(ROW(B7)-1)*74+COLUMN(A29)*47)/V55</f>
        <v>11.503362183908044</v>
      </c>
      <c r="AA55" s="408">
        <f>INDEX(外开门!M:M,(ROW(B7)-1)*74+COLUMN(A29)*53)/V55</f>
        <v>0.58070667816091959</v>
      </c>
      <c r="AB55" s="408"/>
      <c r="AC55" s="408">
        <f>INDEX(外开门!M:M,(ROW(B7)-1)*74+COLUMN(A29)*57)/V55</f>
        <v>0.57471264367816088</v>
      </c>
      <c r="AD55" s="125"/>
      <c r="AE55" s="125"/>
      <c r="AF55" s="408">
        <f>INDEX(外开门!O:O,(ROW(B7)-1)*74+COLUMN(A29)*69)/V55</f>
        <v>0</v>
      </c>
      <c r="AG55" s="408">
        <f>(INDEX(外开门!O:O,(ROW(B7)-1)*74+COLUMN(A29)*71)+INDEX(外开门!O:O,(ROW(B7)-1)*74+COLUMN(A29)*72))/V55</f>
        <v>0</v>
      </c>
      <c r="AH55" s="189">
        <f t="shared" si="148"/>
        <v>0</v>
      </c>
      <c r="AI55" s="190">
        <f t="shared" si="149"/>
        <v>0</v>
      </c>
      <c r="AJ55" s="190">
        <f t="shared" si="150"/>
        <v>0</v>
      </c>
      <c r="AK55" s="190">
        <f t="shared" si="151"/>
        <v>0</v>
      </c>
      <c r="AL55" s="190">
        <f t="shared" si="152"/>
        <v>0</v>
      </c>
      <c r="AM55" s="190">
        <f t="shared" si="153"/>
        <v>0</v>
      </c>
      <c r="AN55" s="190">
        <f t="shared" si="154"/>
        <v>0</v>
      </c>
      <c r="AO55" s="190">
        <f t="shared" si="155"/>
        <v>0</v>
      </c>
      <c r="AP55" s="190">
        <f t="shared" si="156"/>
        <v>0</v>
      </c>
      <c r="AQ55" s="190">
        <f t="shared" si="157"/>
        <v>0</v>
      </c>
      <c r="AR55" s="190">
        <f t="shared" si="158"/>
        <v>0</v>
      </c>
      <c r="AS55" s="190">
        <f t="shared" si="159"/>
        <v>0</v>
      </c>
      <c r="AT55" s="190">
        <f t="shared" si="160"/>
        <v>0</v>
      </c>
      <c r="AU55" s="190">
        <f t="shared" si="161"/>
        <v>0</v>
      </c>
    </row>
    <row r="56" spans="2:47" s="130" customFormat="1" ht="12" x14ac:dyDescent="0.15">
      <c r="B56" s="123"/>
      <c r="C56" s="123"/>
      <c r="D56" s="323"/>
      <c r="E56" s="323"/>
      <c r="F56" s="236"/>
      <c r="G56" s="123"/>
      <c r="H56" s="135"/>
      <c r="I56" s="161"/>
      <c r="J56" s="160"/>
      <c r="K56" s="135"/>
      <c r="L56" s="123"/>
      <c r="M56" s="123"/>
      <c r="N56" s="123"/>
      <c r="O56" s="123"/>
      <c r="P56" s="123"/>
      <c r="Q56" s="123"/>
      <c r="R56" s="123"/>
      <c r="S56" s="168"/>
      <c r="T56" s="168"/>
      <c r="U56" s="168"/>
      <c r="V56" s="133"/>
      <c r="W56" s="133"/>
      <c r="X56" s="133"/>
      <c r="Y56" s="133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34"/>
      <c r="AL56" s="134"/>
      <c r="AM56" s="134"/>
      <c r="AN56" s="134"/>
      <c r="AO56" s="138"/>
      <c r="AP56" s="138"/>
      <c r="AQ56" s="138"/>
      <c r="AR56" s="138"/>
      <c r="AS56" s="123"/>
      <c r="AT56" s="123"/>
      <c r="AU56" s="123"/>
    </row>
    <row r="57" spans="2:47" s="130" customFormat="1" ht="12" x14ac:dyDescent="0.15">
      <c r="B57" s="139"/>
      <c r="C57" s="139"/>
      <c r="D57" s="139"/>
      <c r="E57" s="139"/>
      <c r="F57" s="333"/>
      <c r="G57" s="139"/>
      <c r="H57" s="140"/>
      <c r="I57" s="140"/>
      <c r="J57" s="140"/>
      <c r="K57" s="140"/>
      <c r="L57" s="139"/>
      <c r="M57" s="139"/>
      <c r="N57" s="139"/>
      <c r="O57" s="139"/>
      <c r="P57" s="139"/>
      <c r="Q57" s="139"/>
      <c r="R57" s="139"/>
      <c r="S57" s="169"/>
      <c r="T57" s="169"/>
      <c r="U57" s="169"/>
      <c r="V57" s="141"/>
      <c r="W57" s="141">
        <f>SUM(W6:W56)</f>
        <v>2.52</v>
      </c>
      <c r="X57" s="141"/>
      <c r="Y57" s="141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38"/>
      <c r="AL57" s="138"/>
      <c r="AM57" s="138"/>
      <c r="AN57" s="138"/>
      <c r="AO57" s="141">
        <f>SUM(AO6:AO56)</f>
        <v>0</v>
      </c>
      <c r="AP57" s="141"/>
      <c r="AQ57" s="141"/>
      <c r="AR57" s="141"/>
      <c r="AS57" s="139"/>
      <c r="AT57" s="139"/>
      <c r="AU57" s="139"/>
    </row>
    <row r="58" spans="2:47" s="119" customFormat="1" ht="12.75" x14ac:dyDescent="0.2">
      <c r="S58" s="170"/>
      <c r="T58" s="170"/>
      <c r="U58" s="170"/>
      <c r="V58" s="143"/>
      <c r="W58" s="143"/>
      <c r="X58" s="143"/>
      <c r="Y58" s="143"/>
      <c r="Z58" s="144"/>
      <c r="AA58" s="145"/>
      <c r="AB58" s="145"/>
      <c r="AC58" s="145"/>
      <c r="AD58" s="145"/>
      <c r="AE58" s="145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</row>
  </sheetData>
  <mergeCells count="28">
    <mergeCell ref="I5:J5"/>
    <mergeCell ref="W3:W4"/>
    <mergeCell ref="B1:AO2"/>
    <mergeCell ref="A3:A4"/>
    <mergeCell ref="B3:B4"/>
    <mergeCell ref="C3:C4"/>
    <mergeCell ref="F3:F4"/>
    <mergeCell ref="G3:G4"/>
    <mergeCell ref="H3:H4"/>
    <mergeCell ref="K3:K4"/>
    <mergeCell ref="L3:M3"/>
    <mergeCell ref="I3:J4"/>
    <mergeCell ref="N3:O3"/>
    <mergeCell ref="P3:Q3"/>
    <mergeCell ref="R3:R4"/>
    <mergeCell ref="S3:U3"/>
    <mergeCell ref="AP3:AR3"/>
    <mergeCell ref="AS3:AU3"/>
    <mergeCell ref="X3:X4"/>
    <mergeCell ref="Y3:Y4"/>
    <mergeCell ref="Z3:AE3"/>
    <mergeCell ref="AL3:AL4"/>
    <mergeCell ref="AM3:AM4"/>
    <mergeCell ref="D3:D4"/>
    <mergeCell ref="E3:E4"/>
    <mergeCell ref="V3:V4"/>
    <mergeCell ref="AN3:AN4"/>
    <mergeCell ref="AO3:AO4"/>
  </mergeCells>
  <phoneticPr fontId="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66"/>
  <sheetViews>
    <sheetView view="pageBreakPreview" zoomScale="98" zoomScaleNormal="100" zoomScaleSheetLayoutView="98" workbookViewId="0">
      <selection activeCell="M636" sqref="M636"/>
    </sheetView>
  </sheetViews>
  <sheetFormatPr defaultColWidth="8.125" defaultRowHeight="13.5" outlineLevelCol="1" x14ac:dyDescent="0.15"/>
  <cols>
    <col min="1" max="1" width="6.375" style="1" customWidth="1"/>
    <col min="2" max="2" width="6.875" style="1" customWidth="1"/>
    <col min="3" max="3" width="2.625" style="1" customWidth="1"/>
    <col min="4" max="4" width="3" style="1" customWidth="1"/>
    <col min="5" max="5" width="2.375" style="1" customWidth="1"/>
    <col min="6" max="6" width="10.125" style="1" customWidth="1"/>
    <col min="7" max="7" width="7" style="1" customWidth="1"/>
    <col min="8" max="8" width="12.5" style="1" customWidth="1"/>
    <col min="9" max="9" width="16" style="1" customWidth="1" outlineLevel="1"/>
    <col min="10" max="10" width="13.125" style="1" customWidth="1"/>
    <col min="11" max="11" width="7.5" style="1" customWidth="1"/>
    <col min="12" max="12" width="9.125" style="1" customWidth="1"/>
    <col min="13" max="13" width="7.875" style="1" customWidth="1"/>
    <col min="14" max="15" width="9.25" style="1" customWidth="1"/>
    <col min="16" max="16" width="8" style="1" customWidth="1"/>
    <col min="17" max="17" width="14.375" style="1" customWidth="1"/>
    <col min="18" max="18" width="8.875" style="1" customWidth="1"/>
    <col min="19" max="19" width="8.125" style="1" customWidth="1"/>
    <col min="20" max="20" width="3" style="456" customWidth="1"/>
    <col min="21" max="21" width="3" style="374" customWidth="1"/>
    <col min="22" max="22" width="7.5" style="259" customWidth="1"/>
    <col min="23" max="23" width="6" style="259" customWidth="1"/>
    <col min="24" max="24" width="7.625" style="259" customWidth="1"/>
    <col min="25" max="25" width="5.5" style="259" customWidth="1"/>
    <col min="26" max="26" width="7.375" style="260" customWidth="1"/>
    <col min="27" max="27" width="8.125" style="260"/>
    <col min="28" max="28" width="8.5" style="260" bestFit="1" customWidth="1"/>
    <col min="29" max="29" width="8.125" style="260"/>
    <col min="30" max="30" width="7.25" style="260" customWidth="1"/>
    <col min="31" max="31" width="6.25" style="260" customWidth="1"/>
    <col min="32" max="32" width="7.5" style="260" customWidth="1"/>
    <col min="33" max="33" width="5.25" style="260" customWidth="1"/>
    <col min="34" max="34" width="8.125" style="260" customWidth="1"/>
    <col min="35" max="35" width="6.375" style="260" customWidth="1"/>
    <col min="36" max="16384" width="8.125" style="1"/>
  </cols>
  <sheetData>
    <row r="1" spans="1:35" ht="18.75" customHeight="1" x14ac:dyDescent="0.15">
      <c r="A1" s="549" t="s">
        <v>0</v>
      </c>
      <c r="B1" s="549"/>
      <c r="C1" s="549"/>
      <c r="D1" s="549"/>
      <c r="E1" s="549"/>
      <c r="F1" s="549"/>
      <c r="G1" s="549"/>
      <c r="H1" s="549"/>
      <c r="I1" s="549"/>
      <c r="J1" s="549"/>
      <c r="K1" s="549"/>
      <c r="L1" s="550"/>
      <c r="M1" s="549"/>
      <c r="N1" s="549"/>
      <c r="O1" s="549"/>
      <c r="P1" s="549"/>
      <c r="Q1" s="549"/>
      <c r="R1" s="551"/>
      <c r="S1" s="551"/>
    </row>
    <row r="2" spans="1:35" x14ac:dyDescent="0.15">
      <c r="A2" s="341" t="s">
        <v>882</v>
      </c>
      <c r="B2" s="339" t="s">
        <v>883</v>
      </c>
      <c r="C2" s="339">
        <v>1</v>
      </c>
      <c r="D2" s="339"/>
      <c r="E2" s="3"/>
      <c r="F2" s="4" t="s">
        <v>2</v>
      </c>
      <c r="G2" s="5">
        <v>65</v>
      </c>
      <c r="H2" s="106" t="s">
        <v>126</v>
      </c>
      <c r="I2" s="106"/>
      <c r="J2" s="4" t="s">
        <v>3</v>
      </c>
      <c r="K2" s="6">
        <f>L5</f>
        <v>600</v>
      </c>
      <c r="L2" s="7" t="s">
        <v>83</v>
      </c>
      <c r="M2" s="6">
        <f>L4</f>
        <v>1400</v>
      </c>
      <c r="N2" s="8" t="s">
        <v>4</v>
      </c>
      <c r="O2" s="9">
        <f>M14</f>
        <v>0.84</v>
      </c>
      <c r="P2" s="10"/>
      <c r="Q2" s="10"/>
      <c r="R2" s="10" t="s">
        <v>5</v>
      </c>
      <c r="S2" s="11"/>
    </row>
    <row r="3" spans="1:35" ht="14.25" x14ac:dyDescent="0.2">
      <c r="A3" s="12"/>
      <c r="B3" s="13"/>
      <c r="C3" s="13"/>
      <c r="D3" s="13"/>
      <c r="E3" s="13"/>
      <c r="F3" s="14"/>
      <c r="G3" s="14"/>
      <c r="H3" s="15"/>
      <c r="I3" s="15"/>
      <c r="J3" s="16"/>
      <c r="K3" s="16" t="s">
        <v>6</v>
      </c>
      <c r="L3" s="17" t="s">
        <v>7</v>
      </c>
      <c r="M3" s="16" t="s">
        <v>8</v>
      </c>
      <c r="N3" s="18"/>
      <c r="O3" s="548" t="s">
        <v>940</v>
      </c>
      <c r="P3" s="548"/>
      <c r="Q3" s="16" t="s">
        <v>1018</v>
      </c>
      <c r="R3" s="529" t="s">
        <v>1066</v>
      </c>
      <c r="S3" s="530" t="s">
        <v>1592</v>
      </c>
    </row>
    <row r="4" spans="1:35" ht="15.75" customHeight="1" x14ac:dyDescent="0.2">
      <c r="A4" s="398" t="s">
        <v>881</v>
      </c>
      <c r="B4" s="399" t="s">
        <v>1452</v>
      </c>
      <c r="C4" s="399"/>
      <c r="D4" s="309"/>
      <c r="E4" s="22"/>
      <c r="F4" s="23"/>
      <c r="G4" s="23"/>
      <c r="H4" s="107"/>
      <c r="I4" s="107"/>
      <c r="J4" s="24" t="s">
        <v>9</v>
      </c>
      <c r="K4" s="16" t="s">
        <v>10</v>
      </c>
      <c r="L4" s="25">
        <v>1400</v>
      </c>
      <c r="M4" s="113">
        <f>L4-M13*2</f>
        <v>1300</v>
      </c>
      <c r="N4" s="18"/>
      <c r="O4" s="356" t="s">
        <v>941</v>
      </c>
      <c r="P4" s="357"/>
      <c r="Q4" s="16" t="s">
        <v>1019</v>
      </c>
      <c r="R4" s="529"/>
      <c r="S4" s="530"/>
    </row>
    <row r="5" spans="1:35" ht="14.25" x14ac:dyDescent="0.2">
      <c r="A5" s="21"/>
      <c r="B5" s="22"/>
      <c r="C5" s="22"/>
      <c r="D5" s="22"/>
      <c r="E5" s="22"/>
      <c r="F5" s="23"/>
      <c r="G5" s="23"/>
      <c r="H5" s="18"/>
      <c r="I5" s="18"/>
      <c r="J5" s="24" t="s">
        <v>11</v>
      </c>
      <c r="K5" s="16" t="s">
        <v>10</v>
      </c>
      <c r="L5" s="25">
        <v>600</v>
      </c>
      <c r="M5" s="113">
        <f>L5-M13*2</f>
        <v>500</v>
      </c>
      <c r="N5" s="18"/>
      <c r="O5" s="356" t="s">
        <v>924</v>
      </c>
      <c r="P5" s="357"/>
      <c r="Q5" s="16" t="s">
        <v>1020</v>
      </c>
      <c r="R5" s="529" t="s">
        <v>1067</v>
      </c>
      <c r="S5" s="530" t="s">
        <v>1086</v>
      </c>
    </row>
    <row r="6" spans="1:35" ht="14.25" x14ac:dyDescent="0.2">
      <c r="A6" s="21"/>
      <c r="B6" s="22"/>
      <c r="C6" s="22"/>
      <c r="D6" s="22"/>
      <c r="E6" s="22"/>
      <c r="F6" s="23"/>
      <c r="G6" s="23"/>
      <c r="H6" s="18"/>
      <c r="I6" s="18"/>
      <c r="J6" s="24" t="s">
        <v>12</v>
      </c>
      <c r="K6" s="16" t="s">
        <v>10</v>
      </c>
      <c r="L6" s="26"/>
      <c r="M6" s="113">
        <f>M4</f>
        <v>1300</v>
      </c>
      <c r="N6" s="18"/>
      <c r="O6" s="356" t="s">
        <v>925</v>
      </c>
      <c r="P6" s="357"/>
      <c r="Q6" s="16" t="s">
        <v>1021</v>
      </c>
      <c r="R6" s="529"/>
      <c r="S6" s="530"/>
    </row>
    <row r="7" spans="1:35" ht="14.25" x14ac:dyDescent="0.2">
      <c r="A7" s="21"/>
      <c r="B7" s="22"/>
      <c r="C7" s="22"/>
      <c r="D7" s="22"/>
      <c r="E7" s="22"/>
      <c r="F7" s="23"/>
      <c r="G7" s="23"/>
      <c r="H7" s="18"/>
      <c r="I7" s="18"/>
      <c r="J7" s="24" t="s">
        <v>13</v>
      </c>
      <c r="K7" s="16" t="s">
        <v>10</v>
      </c>
      <c r="L7" s="26"/>
      <c r="M7" s="113"/>
      <c r="N7" s="18"/>
      <c r="O7" s="356" t="s">
        <v>926</v>
      </c>
      <c r="P7" s="357"/>
      <c r="Q7" s="16" t="s">
        <v>1022</v>
      </c>
      <c r="R7" s="27"/>
      <c r="S7" s="28"/>
    </row>
    <row r="8" spans="1:35" ht="14.25" x14ac:dyDescent="0.2">
      <c r="A8" s="21"/>
      <c r="B8" s="22"/>
      <c r="C8" s="22"/>
      <c r="D8" s="22"/>
      <c r="E8" s="22"/>
      <c r="F8" s="23"/>
      <c r="G8" s="23"/>
      <c r="H8" s="18"/>
      <c r="I8" s="18"/>
      <c r="J8" s="24" t="s">
        <v>14</v>
      </c>
      <c r="K8" s="16" t="s">
        <v>10</v>
      </c>
      <c r="L8" s="26"/>
      <c r="M8" s="113"/>
      <c r="N8" s="18"/>
      <c r="O8" s="356" t="s">
        <v>927</v>
      </c>
      <c r="P8" s="357"/>
      <c r="Q8" s="16" t="s">
        <v>1023</v>
      </c>
      <c r="R8" s="27"/>
      <c r="S8" s="28"/>
    </row>
    <row r="9" spans="1:35" ht="14.25" x14ac:dyDescent="0.2">
      <c r="A9" s="21"/>
      <c r="B9" s="22"/>
      <c r="C9" s="22"/>
      <c r="D9" s="22"/>
      <c r="E9" s="22"/>
      <c r="F9" s="23"/>
      <c r="G9" s="23"/>
      <c r="H9" s="18"/>
      <c r="I9" s="18"/>
      <c r="J9" s="24" t="s">
        <v>15</v>
      </c>
      <c r="K9" s="16" t="s">
        <v>10</v>
      </c>
      <c r="L9" s="26"/>
      <c r="M9" s="113">
        <f>M5</f>
        <v>500</v>
      </c>
      <c r="N9" s="18"/>
      <c r="O9" s="356" t="s">
        <v>928</v>
      </c>
      <c r="P9" s="357"/>
      <c r="Q9" s="16" t="s">
        <v>1005</v>
      </c>
      <c r="R9" s="27"/>
      <c r="S9" s="28"/>
    </row>
    <row r="10" spans="1:35" ht="14.25" x14ac:dyDescent="0.2">
      <c r="A10" s="21"/>
      <c r="B10" s="22"/>
      <c r="C10" s="22"/>
      <c r="D10" s="22"/>
      <c r="E10" s="22"/>
      <c r="F10" s="23"/>
      <c r="G10" s="23"/>
      <c r="H10" s="18"/>
      <c r="I10" s="18"/>
      <c r="J10" s="24" t="s">
        <v>16</v>
      </c>
      <c r="K10" s="16" t="s">
        <v>10</v>
      </c>
      <c r="L10" s="26"/>
      <c r="M10" s="113"/>
      <c r="N10" s="18"/>
      <c r="O10" s="356" t="s">
        <v>929</v>
      </c>
      <c r="P10" s="357"/>
      <c r="Q10" s="16" t="s">
        <v>1024</v>
      </c>
      <c r="R10" s="27"/>
      <c r="S10" s="28"/>
    </row>
    <row r="11" spans="1:35" ht="14.25" x14ac:dyDescent="0.2">
      <c r="A11" s="21"/>
      <c r="B11" s="22"/>
      <c r="C11" s="22"/>
      <c r="D11" s="22"/>
      <c r="E11" s="22"/>
      <c r="F11" s="23"/>
      <c r="G11" s="23"/>
      <c r="H11" s="18"/>
      <c r="I11" s="18"/>
      <c r="J11" s="24" t="s">
        <v>17</v>
      </c>
      <c r="K11" s="16" t="s">
        <v>10</v>
      </c>
      <c r="L11" s="26"/>
      <c r="M11" s="113"/>
      <c r="N11" s="18"/>
      <c r="O11" s="356" t="s">
        <v>930</v>
      </c>
      <c r="P11" s="357"/>
      <c r="Q11" s="16" t="s">
        <v>931</v>
      </c>
      <c r="R11" s="27"/>
      <c r="S11" s="28"/>
    </row>
    <row r="12" spans="1:35" ht="14.25" x14ac:dyDescent="0.2">
      <c r="A12" s="21"/>
      <c r="B12" s="22"/>
      <c r="C12" s="22"/>
      <c r="D12" s="22"/>
      <c r="E12" s="22"/>
      <c r="F12" s="23"/>
      <c r="G12" s="23"/>
      <c r="H12" s="18"/>
      <c r="I12" s="18"/>
      <c r="J12" s="24" t="s">
        <v>18</v>
      </c>
      <c r="K12" s="16" t="s">
        <v>10</v>
      </c>
      <c r="L12" s="26"/>
      <c r="M12" s="113"/>
      <c r="N12" s="18"/>
      <c r="O12" s="356" t="s">
        <v>932</v>
      </c>
      <c r="P12" s="357"/>
      <c r="Q12" s="16" t="s">
        <v>933</v>
      </c>
      <c r="R12" s="27"/>
      <c r="S12" s="28"/>
    </row>
    <row r="13" spans="1:35" ht="14.25" x14ac:dyDescent="0.2">
      <c r="A13" s="21"/>
      <c r="B13" s="22"/>
      <c r="C13" s="22"/>
      <c r="D13" s="22"/>
      <c r="E13" s="22"/>
      <c r="F13" s="23"/>
      <c r="G13" s="23"/>
      <c r="H13" s="18"/>
      <c r="I13" s="18"/>
      <c r="J13" s="24" t="s">
        <v>19</v>
      </c>
      <c r="K13" s="16" t="s">
        <v>10</v>
      </c>
      <c r="L13" s="26"/>
      <c r="M13" s="25">
        <v>50</v>
      </c>
      <c r="N13" s="18"/>
      <c r="O13" s="356" t="s">
        <v>934</v>
      </c>
      <c r="P13" s="357"/>
      <c r="Q13" s="16" t="s">
        <v>935</v>
      </c>
      <c r="R13" s="27"/>
      <c r="S13" s="28"/>
    </row>
    <row r="14" spans="1:35" ht="14.25" x14ac:dyDescent="0.2">
      <c r="A14" s="21"/>
      <c r="B14" s="22"/>
      <c r="C14" s="22"/>
      <c r="D14" s="22"/>
      <c r="E14" s="22"/>
      <c r="F14" s="23"/>
      <c r="G14" s="23"/>
      <c r="H14" s="18"/>
      <c r="I14" s="18"/>
      <c r="J14" s="29" t="s">
        <v>20</v>
      </c>
      <c r="K14" s="16" t="s">
        <v>21</v>
      </c>
      <c r="L14" s="30"/>
      <c r="M14" s="31">
        <f>L4*L5/1000000</f>
        <v>0.84</v>
      </c>
      <c r="N14" s="18"/>
      <c r="O14" s="356" t="s">
        <v>936</v>
      </c>
      <c r="P14" s="357"/>
      <c r="Q14" s="16" t="s">
        <v>937</v>
      </c>
      <c r="R14" s="27"/>
      <c r="S14" s="28"/>
    </row>
    <row r="15" spans="1:35" ht="14.25" x14ac:dyDescent="0.2">
      <c r="A15" s="32"/>
      <c r="B15" s="33"/>
      <c r="C15" s="33"/>
      <c r="D15" s="33"/>
      <c r="E15" s="33"/>
      <c r="F15" s="34"/>
      <c r="G15" s="34"/>
      <c r="H15" s="35"/>
      <c r="I15" s="35"/>
      <c r="J15" s="29" t="s">
        <v>22</v>
      </c>
      <c r="K15" s="16" t="s">
        <v>23</v>
      </c>
      <c r="L15" s="30"/>
      <c r="M15" s="36">
        <f>(L4+L5)*2/1000</f>
        <v>4</v>
      </c>
      <c r="N15" s="35"/>
      <c r="O15" s="356" t="s">
        <v>938</v>
      </c>
      <c r="P15" s="357"/>
      <c r="Q15" s="16" t="s">
        <v>939</v>
      </c>
      <c r="R15" s="37"/>
      <c r="S15" s="38"/>
    </row>
    <row r="16" spans="1:35" ht="36" x14ac:dyDescent="0.15">
      <c r="A16" s="39" t="s">
        <v>24</v>
      </c>
      <c r="B16" s="560" t="s">
        <v>25</v>
      </c>
      <c r="C16" s="561"/>
      <c r="D16" s="561"/>
      <c r="E16" s="562"/>
      <c r="F16" s="40" t="s">
        <v>26</v>
      </c>
      <c r="G16" s="40" t="s">
        <v>27</v>
      </c>
      <c r="H16" s="40" t="s">
        <v>28</v>
      </c>
      <c r="I16" s="40" t="s">
        <v>898</v>
      </c>
      <c r="J16" s="40" t="s">
        <v>29</v>
      </c>
      <c r="K16" s="40" t="s">
        <v>30</v>
      </c>
      <c r="L16" s="41" t="s">
        <v>31</v>
      </c>
      <c r="M16" s="40" t="s">
        <v>32</v>
      </c>
      <c r="N16" s="40" t="s">
        <v>33</v>
      </c>
      <c r="O16" s="40" t="s">
        <v>34</v>
      </c>
      <c r="P16" s="42" t="s">
        <v>35</v>
      </c>
      <c r="Q16" s="338" t="s">
        <v>875</v>
      </c>
      <c r="R16" s="43" t="s">
        <v>36</v>
      </c>
      <c r="S16" s="43" t="s">
        <v>37</v>
      </c>
      <c r="V16" s="261" t="s">
        <v>127</v>
      </c>
      <c r="W16" s="261"/>
      <c r="X16" s="273" t="s">
        <v>128</v>
      </c>
      <c r="Y16" s="274"/>
      <c r="Z16" s="273" t="s">
        <v>438</v>
      </c>
      <c r="AA16" s="274"/>
      <c r="AB16" s="273" t="s">
        <v>439</v>
      </c>
      <c r="AC16" s="274"/>
      <c r="AD16" s="273" t="s">
        <v>440</v>
      </c>
      <c r="AE16" s="274"/>
      <c r="AF16" s="273" t="s">
        <v>441</v>
      </c>
      <c r="AG16" s="274"/>
      <c r="AH16" s="273" t="s">
        <v>442</v>
      </c>
      <c r="AI16" s="274"/>
    </row>
    <row r="17" spans="1:35" ht="13.5" customHeight="1" x14ac:dyDescent="0.15">
      <c r="A17" s="44">
        <v>1</v>
      </c>
      <c r="B17" s="531" t="s">
        <v>38</v>
      </c>
      <c r="C17" s="532"/>
      <c r="D17" s="532"/>
      <c r="E17" s="533"/>
      <c r="F17" s="47" t="str">
        <f>VLOOKUP($H:$H,型材表!$B$5:$I$45,2,0)</f>
        <v>窗框</v>
      </c>
      <c r="G17" s="45" t="s">
        <v>39</v>
      </c>
      <c r="H17" s="45" t="str">
        <f>IF(G2=65,"SN65AK001",IF(G2=55,"SN55K001",IF(G2=551,"SN55BK001",IF(G2=60,"SN60K001",IF(G2=601,"SN60AK001",IF(G2=70,"SN70K001",IF(G2=75,"SN75K001")))))))</f>
        <v>SN65AK001</v>
      </c>
      <c r="I17" s="45" t="s">
        <v>998</v>
      </c>
      <c r="J17" s="46">
        <f>M4</f>
        <v>1300</v>
      </c>
      <c r="K17" s="45">
        <v>2</v>
      </c>
      <c r="L17" s="47">
        <f>VLOOKUP($H:$H,型材表!$B$5:$I$45,4,0)</f>
        <v>1.02</v>
      </c>
      <c r="M17" s="46">
        <f>J17*K17*L17/1000</f>
        <v>2.6520000000000001</v>
      </c>
      <c r="N17" s="72">
        <f>VLOOKUP($H:$H,型材表!$B$5:$I$45,7,0)</f>
        <v>0</v>
      </c>
      <c r="O17" s="46">
        <f>N17*M17</f>
        <v>0</v>
      </c>
      <c r="P17" s="100">
        <f>VLOOKUP($H:$H,型材表!$B$5:$I$45,5,0)</f>
        <v>0.125</v>
      </c>
      <c r="Q17" s="100" t="str">
        <f>VLOOKUP($H:$H,型材表!$B$5:$I$468,6,0)</f>
        <v>断桥隔热铝型材</v>
      </c>
      <c r="R17" s="49"/>
      <c r="S17" s="50"/>
      <c r="X17" s="264"/>
      <c r="Y17" s="265"/>
      <c r="Z17" s="264"/>
      <c r="AA17" s="265"/>
      <c r="AB17" s="264"/>
      <c r="AC17" s="265"/>
      <c r="AD17" s="264"/>
      <c r="AE17" s="265"/>
      <c r="AF17" s="264"/>
      <c r="AG17" s="265"/>
      <c r="AH17" s="264"/>
      <c r="AI17" s="265"/>
    </row>
    <row r="18" spans="1:35" x14ac:dyDescent="0.15">
      <c r="A18" s="44">
        <v>2</v>
      </c>
      <c r="B18" s="537"/>
      <c r="C18" s="538"/>
      <c r="D18" s="538"/>
      <c r="E18" s="539"/>
      <c r="F18" s="47" t="str">
        <f>VLOOKUP($H:$H,型材表!$B$5:$I$45,2,0)</f>
        <v>窗框</v>
      </c>
      <c r="G18" s="45" t="s">
        <v>40</v>
      </c>
      <c r="H18" s="45" t="str">
        <f>H17</f>
        <v>SN65AK001</v>
      </c>
      <c r="I18" s="45" t="s">
        <v>999</v>
      </c>
      <c r="J18" s="46">
        <f>M5</f>
        <v>500</v>
      </c>
      <c r="K18" s="45">
        <v>2</v>
      </c>
      <c r="L18" s="47">
        <f>VLOOKUP($H:$H,型材表!$B$5:$I$45,4,0)</f>
        <v>1.02</v>
      </c>
      <c r="M18" s="46">
        <f t="shared" ref="M18:M26" si="0">J18*K18*L18/1000</f>
        <v>1.02</v>
      </c>
      <c r="N18" s="72">
        <f>VLOOKUP($H:$H,型材表!$B$5:$I$45,7,0)</f>
        <v>0</v>
      </c>
      <c r="O18" s="46">
        <f t="shared" ref="O18:O26" si="1">N18*M18</f>
        <v>0</v>
      </c>
      <c r="P18" s="100">
        <f>VLOOKUP($H:$H,型材表!$B$5:$I$45,5,0)</f>
        <v>0.125</v>
      </c>
      <c r="Q18" s="100" t="str">
        <f>VLOOKUP($H:$H,型材表!$B$5:$I$468,6,0)</f>
        <v>断桥隔热铝型材</v>
      </c>
      <c r="R18" s="49"/>
      <c r="S18" s="50"/>
      <c r="X18" s="264"/>
      <c r="Y18" s="265"/>
      <c r="Z18" s="264"/>
      <c r="AA18" s="265"/>
      <c r="AB18" s="264"/>
      <c r="AC18" s="265"/>
      <c r="AD18" s="264"/>
      <c r="AE18" s="265"/>
      <c r="AF18" s="264"/>
      <c r="AG18" s="265"/>
      <c r="AH18" s="264"/>
      <c r="AI18" s="265"/>
    </row>
    <row r="19" spans="1:35" ht="13.5" customHeight="1" x14ac:dyDescent="0.15">
      <c r="A19" s="395">
        <v>3</v>
      </c>
      <c r="B19" s="531" t="s">
        <v>41</v>
      </c>
      <c r="C19" s="532"/>
      <c r="D19" s="532"/>
      <c r="E19" s="533"/>
      <c r="F19" s="47" t="str">
        <f>VLOOKUP($H:$H,型材表!$B$5:$I$45,2,0)</f>
        <v>窗扇</v>
      </c>
      <c r="G19" s="45" t="s">
        <v>39</v>
      </c>
      <c r="H19" s="45" t="str">
        <f>IF(G2=65,"SN65AS001",IF(G2=55,"SN55S001",IF(G2=551,"SN55BS001",IF(G2=60,"SN60S001",IF(G2=601,"SN60AS001",IF(G2=70,"SN70S001",IF(G2=75,"SN75S001")))))))</f>
        <v>SN65AS001</v>
      </c>
      <c r="I19" s="45" t="s">
        <v>1000</v>
      </c>
      <c r="J19" s="46">
        <f>IF(G2=65,M6-V19,IF(G2=55,M6-X19,IF(G2=551,M6-Z19,IF(G2=60,M6-AB19,IF(G2=601,M6-AD19,IF(G2=70,M6-AF19,IF(G2=75,M6-AH19)))))))</f>
        <v>1256</v>
      </c>
      <c r="K19" s="45">
        <v>2</v>
      </c>
      <c r="L19" s="47">
        <f>VLOOKUP($H:$H,型材表!$B$5:$I$45,4,0)</f>
        <v>1.292</v>
      </c>
      <c r="M19" s="46">
        <f t="shared" si="0"/>
        <v>3.2455039999999999</v>
      </c>
      <c r="N19" s="72">
        <f>VLOOKUP($H:$H,型材表!$B$5:$I$45,7,0)</f>
        <v>0</v>
      </c>
      <c r="O19" s="46">
        <f t="shared" si="1"/>
        <v>0</v>
      </c>
      <c r="P19" s="100">
        <f>VLOOKUP($H:$H,型材表!$B$5:$I$45,5,0)</f>
        <v>0.125</v>
      </c>
      <c r="Q19" s="100" t="str">
        <f>VLOOKUP($H:$H,型材表!$B$5:$I$468,6,0)</f>
        <v>断桥隔热铝型材</v>
      </c>
      <c r="R19" s="49"/>
      <c r="S19" s="50"/>
      <c r="U19" s="374" t="s">
        <v>1563</v>
      </c>
      <c r="V19" s="259">
        <f>22*2</f>
        <v>44</v>
      </c>
      <c r="X19" s="264">
        <f>22*2</f>
        <v>44</v>
      </c>
      <c r="Y19" s="265"/>
      <c r="Z19" s="264">
        <f>22*2</f>
        <v>44</v>
      </c>
      <c r="AA19" s="265"/>
      <c r="AB19" s="264">
        <f>22*2</f>
        <v>44</v>
      </c>
      <c r="AC19" s="265"/>
      <c r="AD19" s="264">
        <f>22*2</f>
        <v>44</v>
      </c>
      <c r="AE19" s="265"/>
      <c r="AF19" s="264">
        <f>22*2</f>
        <v>44</v>
      </c>
      <c r="AG19" s="265"/>
      <c r="AH19" s="264">
        <f>22*2</f>
        <v>44</v>
      </c>
      <c r="AI19" s="265"/>
    </row>
    <row r="20" spans="1:35" x14ac:dyDescent="0.15">
      <c r="A20" s="395">
        <v>4</v>
      </c>
      <c r="B20" s="534"/>
      <c r="C20" s="535"/>
      <c r="D20" s="535"/>
      <c r="E20" s="536"/>
      <c r="F20" s="47" t="str">
        <f>VLOOKUP($H:$H,型材表!$B$5:$I$45,2,0)</f>
        <v>窗扇</v>
      </c>
      <c r="G20" s="45" t="s">
        <v>40</v>
      </c>
      <c r="H20" s="45" t="str">
        <f>H19</f>
        <v>SN65AS001</v>
      </c>
      <c r="I20" s="45" t="s">
        <v>1002</v>
      </c>
      <c r="J20" s="46">
        <f>IF(G2=65,M9-V20,IF(G2=55,M9-X20,IF(G2=551,M9-Z20,IF(G2=60,M9-AB20,IF(G2=601,M9-AD20,IF(G2=70,M9-AF20,IF(G2=75,M9-AH20)))))))</f>
        <v>456</v>
      </c>
      <c r="K20" s="45">
        <v>2</v>
      </c>
      <c r="L20" s="47">
        <f>VLOOKUP($H:$H,型材表!$B$5:$I$45,4,0)</f>
        <v>1.292</v>
      </c>
      <c r="M20" s="46">
        <f t="shared" si="0"/>
        <v>1.178304</v>
      </c>
      <c r="N20" s="72">
        <f>VLOOKUP($H:$H,型材表!$B$5:$I$45,7,0)</f>
        <v>0</v>
      </c>
      <c r="O20" s="46">
        <f>N20*M20</f>
        <v>0</v>
      </c>
      <c r="P20" s="100">
        <f>VLOOKUP($H:$H,型材表!$B$5:$I$45,5,0)</f>
        <v>0.125</v>
      </c>
      <c r="Q20" s="100" t="str">
        <f>VLOOKUP($H:$H,型材表!$B$5:$I$468,6,0)</f>
        <v>断桥隔热铝型材</v>
      </c>
      <c r="R20" s="49"/>
      <c r="S20" s="50"/>
      <c r="U20" s="374" t="s">
        <v>1564</v>
      </c>
      <c r="V20" s="259">
        <f>22*2</f>
        <v>44</v>
      </c>
      <c r="X20" s="264">
        <f>22*2</f>
        <v>44</v>
      </c>
      <c r="Y20" s="265"/>
      <c r="Z20" s="264">
        <f>22*2</f>
        <v>44</v>
      </c>
      <c r="AA20" s="265"/>
      <c r="AB20" s="264">
        <f>22*2</f>
        <v>44</v>
      </c>
      <c r="AC20" s="265"/>
      <c r="AD20" s="264">
        <f>22*2</f>
        <v>44</v>
      </c>
      <c r="AE20" s="265"/>
      <c r="AF20" s="264">
        <f>22*2</f>
        <v>44</v>
      </c>
      <c r="AG20" s="265"/>
      <c r="AH20" s="264">
        <f>22*2</f>
        <v>44</v>
      </c>
      <c r="AI20" s="265"/>
    </row>
    <row r="21" spans="1:35" x14ac:dyDescent="0.15">
      <c r="A21" s="395">
        <v>5</v>
      </c>
      <c r="B21" s="534"/>
      <c r="C21" s="535"/>
      <c r="D21" s="535"/>
      <c r="E21" s="536"/>
      <c r="F21" s="47"/>
      <c r="G21" s="45"/>
      <c r="H21" s="45"/>
      <c r="I21" s="45"/>
      <c r="J21" s="46"/>
      <c r="K21" s="45"/>
      <c r="L21" s="47"/>
      <c r="M21" s="46"/>
      <c r="N21" s="72"/>
      <c r="O21" s="46"/>
      <c r="P21" s="100"/>
      <c r="Q21" s="100"/>
      <c r="R21" s="49"/>
      <c r="S21" s="50"/>
      <c r="X21" s="264"/>
      <c r="Y21" s="265"/>
      <c r="Z21" s="264"/>
      <c r="AA21" s="265"/>
      <c r="AB21" s="264"/>
      <c r="AC21" s="265"/>
      <c r="AD21" s="264"/>
      <c r="AE21" s="265"/>
      <c r="AF21" s="264"/>
      <c r="AG21" s="265"/>
      <c r="AH21" s="264"/>
      <c r="AI21" s="265"/>
    </row>
    <row r="22" spans="1:35" x14ac:dyDescent="0.15">
      <c r="A22" s="395">
        <v>6</v>
      </c>
      <c r="B22" s="537"/>
      <c r="C22" s="538"/>
      <c r="D22" s="538"/>
      <c r="E22" s="539"/>
      <c r="F22" s="47"/>
      <c r="G22" s="45"/>
      <c r="H22" s="45"/>
      <c r="I22" s="45"/>
      <c r="J22" s="46"/>
      <c r="K22" s="45"/>
      <c r="L22" s="47"/>
      <c r="M22" s="46"/>
      <c r="N22" s="72"/>
      <c r="O22" s="46"/>
      <c r="P22" s="100"/>
      <c r="Q22" s="100"/>
      <c r="R22" s="49"/>
      <c r="S22" s="50"/>
      <c r="X22" s="264"/>
      <c r="Y22" s="265"/>
      <c r="Z22" s="264"/>
      <c r="AA22" s="265"/>
      <c r="AB22" s="264"/>
      <c r="AC22" s="265"/>
      <c r="AD22" s="264"/>
      <c r="AE22" s="265"/>
      <c r="AF22" s="264"/>
      <c r="AG22" s="265"/>
      <c r="AH22" s="264"/>
      <c r="AI22" s="265"/>
    </row>
    <row r="23" spans="1:35" ht="13.5" customHeight="1" x14ac:dyDescent="0.15">
      <c r="A23" s="395">
        <v>7</v>
      </c>
      <c r="B23" s="531" t="s">
        <v>42</v>
      </c>
      <c r="C23" s="532"/>
      <c r="D23" s="532"/>
      <c r="E23" s="533"/>
      <c r="F23" s="47" t="str">
        <f>VLOOKUP($H:$H,型材表!$B$5:$I$45,2,0)</f>
        <v>压线</v>
      </c>
      <c r="G23" s="45" t="s">
        <v>39</v>
      </c>
      <c r="H23" s="45" t="str">
        <f>IF(G2=65,"SN65AY002",IF(G2=55,"SN55Y002",IF(G2=551,"SN55BY002",IF(G2=60,"SN60Y002",IF(G2=601,"SN60Y002",IF(G2=70,"SN70Y002",IF(G2=75,"SN75Y002")))))))</f>
        <v>SN65AY002</v>
      </c>
      <c r="I23" s="45" t="s">
        <v>1003</v>
      </c>
      <c r="J23" s="46">
        <f>IF(G2=65,M6-V23,IF(G2=55,M6-X23,IF(G2=551,M6-Z23,IF(G2=60,M6-AB23,IF(G2=601,M6-AD23,IF(G2=70,M6-AF23,IF(G2=75,M6-AH23)))))))</f>
        <v>1180.4000000000001</v>
      </c>
      <c r="K23" s="45">
        <v>2</v>
      </c>
      <c r="L23" s="47">
        <f>VLOOKUP($H:$H,型材表!$B$5:$I$45,4,0)</f>
        <v>0.20399999999999999</v>
      </c>
      <c r="M23" s="46">
        <f t="shared" si="0"/>
        <v>0.48160320000000001</v>
      </c>
      <c r="N23" s="72">
        <f>VLOOKUP($H:$H,型材表!$B$5:$I$45,7,0)</f>
        <v>0</v>
      </c>
      <c r="O23" s="46">
        <f t="shared" si="1"/>
        <v>0</v>
      </c>
      <c r="P23" s="100">
        <f>VLOOKUP($H:$H,型材表!$B$5:$I$45,5,0)</f>
        <v>0.125</v>
      </c>
      <c r="Q23" s="100" t="str">
        <f>VLOOKUP($H:$H,型材表!$B$5:$I$468,6,0)</f>
        <v>非断桥隔热铝型材</v>
      </c>
      <c r="R23" s="49"/>
      <c r="S23" s="50"/>
      <c r="U23" s="374" t="s">
        <v>1565</v>
      </c>
      <c r="V23" s="259">
        <f>59.8*2</f>
        <v>119.6</v>
      </c>
      <c r="X23" s="264">
        <f>59.8*2</f>
        <v>119.6</v>
      </c>
      <c r="Y23" s="265"/>
      <c r="Z23" s="264">
        <f>59.8*2</f>
        <v>119.6</v>
      </c>
      <c r="AA23" s="265"/>
      <c r="AB23" s="264">
        <f>59.8*2</f>
        <v>119.6</v>
      </c>
      <c r="AC23" s="265"/>
      <c r="AD23" s="264">
        <f>59.8*2</f>
        <v>119.6</v>
      </c>
      <c r="AE23" s="265"/>
      <c r="AF23" s="264">
        <f>59.8*2</f>
        <v>119.6</v>
      </c>
      <c r="AG23" s="265"/>
      <c r="AH23" s="264">
        <f>59.8*2</f>
        <v>119.6</v>
      </c>
      <c r="AI23" s="265"/>
    </row>
    <row r="24" spans="1:35" x14ac:dyDescent="0.15">
      <c r="A24" s="395">
        <v>8</v>
      </c>
      <c r="B24" s="537"/>
      <c r="C24" s="538"/>
      <c r="D24" s="538"/>
      <c r="E24" s="539"/>
      <c r="F24" s="47" t="str">
        <f>VLOOKUP($H:$H,型材表!$B$5:$I$45,2,0)</f>
        <v>压线</v>
      </c>
      <c r="G24" s="45" t="s">
        <v>40</v>
      </c>
      <c r="H24" s="45" t="str">
        <f>H23</f>
        <v>SN65AY002</v>
      </c>
      <c r="I24" s="45" t="s">
        <v>1004</v>
      </c>
      <c r="J24" s="46">
        <f>IF(G2=65,M9-V24,IF(G2=55,M9-X24,IF(G2=551,M9-Z24,IF(G2=60,M9-AB24,IF(G2=601,M9-AD24,IF(G2=70,M9-AF24,IF(G2=75,M9-AH24)))))))</f>
        <v>380.4</v>
      </c>
      <c r="K24" s="45">
        <v>2</v>
      </c>
      <c r="L24" s="47">
        <f>VLOOKUP($H:$H,型材表!$B$5:$I$45,4,0)</f>
        <v>0.20399999999999999</v>
      </c>
      <c r="M24" s="46">
        <f t="shared" si="0"/>
        <v>0.15520319999999999</v>
      </c>
      <c r="N24" s="72">
        <f>VLOOKUP($H:$H,型材表!$B$5:$I$45,7,0)</f>
        <v>0</v>
      </c>
      <c r="O24" s="46">
        <f t="shared" si="1"/>
        <v>0</v>
      </c>
      <c r="P24" s="100">
        <f>VLOOKUP($H:$H,型材表!$B$5:$I$45,5,0)</f>
        <v>0.125</v>
      </c>
      <c r="Q24" s="100" t="str">
        <f>VLOOKUP($H:$H,型材表!$B$5:$I$468,6,0)</f>
        <v>非断桥隔热铝型材</v>
      </c>
      <c r="R24" s="49"/>
      <c r="S24" s="50"/>
      <c r="U24" s="374" t="s">
        <v>1566</v>
      </c>
      <c r="V24" s="259">
        <f>59.8*2</f>
        <v>119.6</v>
      </c>
      <c r="X24" s="264">
        <f>59.8*2</f>
        <v>119.6</v>
      </c>
      <c r="Y24" s="265"/>
      <c r="Z24" s="264">
        <f>59.8*2</f>
        <v>119.6</v>
      </c>
      <c r="AA24" s="265"/>
      <c r="AB24" s="264">
        <f>59.8*2</f>
        <v>119.6</v>
      </c>
      <c r="AC24" s="265"/>
      <c r="AD24" s="264">
        <f>59.8*2</f>
        <v>119.6</v>
      </c>
      <c r="AE24" s="265"/>
      <c r="AF24" s="264">
        <f>59.8*2</f>
        <v>119.6</v>
      </c>
      <c r="AG24" s="265"/>
      <c r="AH24" s="264">
        <f>59.8*2</f>
        <v>119.6</v>
      </c>
      <c r="AI24" s="265"/>
    </row>
    <row r="25" spans="1:35" ht="13.5" customHeight="1" x14ac:dyDescent="0.15">
      <c r="A25" s="395">
        <v>9</v>
      </c>
      <c r="B25" s="531" t="s">
        <v>44</v>
      </c>
      <c r="C25" s="532"/>
      <c r="D25" s="532"/>
      <c r="E25" s="533"/>
      <c r="F25" s="47" t="str">
        <f>VLOOKUP($H:$H,型材表!$B$5:$I$45,2,0)</f>
        <v>角码</v>
      </c>
      <c r="G25" s="51" t="s">
        <v>446</v>
      </c>
      <c r="H25" s="45" t="str">
        <f>IF(G2=65,"SW55F001","SN55F003")</f>
        <v>SW55F001</v>
      </c>
      <c r="I25" s="45" t="s">
        <v>1006</v>
      </c>
      <c r="J25" s="52">
        <f>IF(G2=65,V25,IF(G2=55,X25,IF(G2=551,Z25,IF(G2=60,AB25,IF(G2=601,AD25,IF(G2=70,AF25,IF(G2=75,AH25)))))))</f>
        <v>32.200000000000003</v>
      </c>
      <c r="K25" s="45">
        <f>K17*2</f>
        <v>4</v>
      </c>
      <c r="L25" s="47">
        <f>VLOOKUP($H:$H,型材表!$B$5:$I$45,4,0)</f>
        <v>2.0950000000000002</v>
      </c>
      <c r="M25" s="46">
        <f t="shared" si="0"/>
        <v>0.26983600000000008</v>
      </c>
      <c r="N25" s="72">
        <f>VLOOKUP($H:$H,型材表!$B$5:$I$45,7,0)</f>
        <v>0</v>
      </c>
      <c r="O25" s="46">
        <f t="shared" si="1"/>
        <v>0</v>
      </c>
      <c r="P25" s="100">
        <f>VLOOKUP($H:$H,型材表!$B$5:$I$45,5,0)</f>
        <v>0.125</v>
      </c>
      <c r="Q25" s="100" t="str">
        <f>VLOOKUP($H:$H,型材表!$B$5:$I$468,6,0)</f>
        <v>阳极氧化铝型材</v>
      </c>
      <c r="R25" s="49"/>
      <c r="S25" s="50"/>
      <c r="U25" s="374" t="s">
        <v>994</v>
      </c>
      <c r="V25" s="259">
        <f>19.5-1+14.7-1</f>
        <v>32.200000000000003</v>
      </c>
      <c r="X25" s="264">
        <f>19.5-1+14.7-1</f>
        <v>32.200000000000003</v>
      </c>
      <c r="Y25" s="265"/>
      <c r="Z25" s="264">
        <f>19.5-1+10.9-1</f>
        <v>28.4</v>
      </c>
      <c r="AA25" s="277"/>
      <c r="AB25" s="264">
        <f>19.5-1+14.7-1</f>
        <v>32.200000000000003</v>
      </c>
      <c r="AC25" s="277"/>
      <c r="AD25" s="264">
        <f>19.5-1+10.9-1</f>
        <v>28.4</v>
      </c>
      <c r="AE25" s="277"/>
      <c r="AF25" s="264">
        <f>19.5-1+14.7-1</f>
        <v>32.200000000000003</v>
      </c>
      <c r="AG25" s="277"/>
      <c r="AH25" s="264">
        <f>19.5-1+14.7-1</f>
        <v>32.200000000000003</v>
      </c>
      <c r="AI25" s="265"/>
    </row>
    <row r="26" spans="1:35" x14ac:dyDescent="0.15">
      <c r="A26" s="395">
        <v>10</v>
      </c>
      <c r="B26" s="534"/>
      <c r="C26" s="535"/>
      <c r="D26" s="535"/>
      <c r="E26" s="536"/>
      <c r="F26" s="47" t="str">
        <f>VLOOKUP($H:$H,型材表!$B$5:$I$45,2,0)</f>
        <v>角码</v>
      </c>
      <c r="G26" s="51" t="s">
        <v>447</v>
      </c>
      <c r="H26" s="45" t="str">
        <f>IF(G2=65,"SN55F003","SN55F003")</f>
        <v>SN55F003</v>
      </c>
      <c r="I26" s="45" t="s">
        <v>995</v>
      </c>
      <c r="J26" s="52">
        <f t="shared" ref="J26" si="2">V26</f>
        <v>27.1</v>
      </c>
      <c r="K26" s="45">
        <f>K19*2</f>
        <v>4</v>
      </c>
      <c r="L26" s="47">
        <f>VLOOKUP($H:$H,型材表!$B$5:$I$45,4,0)</f>
        <v>1.7490000000000001</v>
      </c>
      <c r="M26" s="46">
        <f t="shared" si="0"/>
        <v>0.18959160000000003</v>
      </c>
      <c r="N26" s="72">
        <f>VLOOKUP($H:$H,型材表!$B$5:$I$45,7,0)</f>
        <v>0</v>
      </c>
      <c r="O26" s="46">
        <f t="shared" si="1"/>
        <v>0</v>
      </c>
      <c r="P26" s="100">
        <f>VLOOKUP($H:$H,型材表!$B$5:$I$45,5,0)</f>
        <v>0.125</v>
      </c>
      <c r="Q26" s="100" t="str">
        <f>VLOOKUP($H:$H,型材表!$B$5:$I$468,6,0)</f>
        <v>阳极氧化铝型材</v>
      </c>
      <c r="R26" s="49"/>
      <c r="S26" s="50"/>
      <c r="U26" s="374" t="s">
        <v>995</v>
      </c>
      <c r="V26" s="259">
        <f>28.1-1</f>
        <v>27.1</v>
      </c>
      <c r="X26" s="264"/>
      <c r="Y26" s="265"/>
      <c r="Z26" s="264"/>
      <c r="AA26" s="265"/>
      <c r="AB26" s="264"/>
      <c r="AC26" s="265"/>
      <c r="AD26" s="264"/>
      <c r="AE26" s="265"/>
      <c r="AF26" s="264"/>
      <c r="AG26" s="265"/>
      <c r="AH26" s="264"/>
      <c r="AI26" s="265"/>
    </row>
    <row r="27" spans="1:35" x14ac:dyDescent="0.15">
      <c r="A27" s="395">
        <v>11</v>
      </c>
      <c r="B27" s="534"/>
      <c r="C27" s="535"/>
      <c r="D27" s="535"/>
      <c r="E27" s="536"/>
      <c r="F27" s="47" t="str">
        <f>VLOOKUP($H:$H,型材表!$B$5:$I$45,2,0)</f>
        <v>角码</v>
      </c>
      <c r="G27" s="51" t="s">
        <v>447</v>
      </c>
      <c r="H27" s="45" t="str">
        <f>IF(G2=70,"SW50F002",IF(G2=75,"SW50F002","SN55F003"))</f>
        <v>SN55F003</v>
      </c>
      <c r="I27" s="45" t="s">
        <v>996</v>
      </c>
      <c r="J27" s="52">
        <f>IF(G2=65,V27,IF(G2=55,X27,IF(G2=551,Z27,IF(G2=60,AB27,IF(G2=601,AD27,IF(G2=70,AF27,IF(G2=75,AH27)))))))</f>
        <v>8</v>
      </c>
      <c r="K27" s="45">
        <f>K26</f>
        <v>4</v>
      </c>
      <c r="L27" s="47">
        <f>VLOOKUP($H:$H,型材表!$B$5:$I$45,4,0)</f>
        <v>1.7490000000000001</v>
      </c>
      <c r="M27" s="46">
        <f t="shared" ref="M27" si="3">J27*K27*L27/1000</f>
        <v>5.5968000000000004E-2</v>
      </c>
      <c r="N27" s="72">
        <f>VLOOKUP($H:$H,型材表!$B$5:$I$45,7,0)</f>
        <v>0</v>
      </c>
      <c r="O27" s="46">
        <f t="shared" ref="O27" si="4">N27*M27</f>
        <v>0</v>
      </c>
      <c r="P27" s="100">
        <f>VLOOKUP($H:$H,型材表!$B$5:$I$45,5,0)</f>
        <v>0.125</v>
      </c>
      <c r="Q27" s="100" t="str">
        <f>VLOOKUP($H:$H,型材表!$B$5:$I$468,6,0)</f>
        <v>阳极氧化铝型材</v>
      </c>
      <c r="R27" s="49"/>
      <c r="S27" s="50"/>
      <c r="U27" s="374" t="s">
        <v>996</v>
      </c>
      <c r="V27" s="259">
        <f>9-1</f>
        <v>8</v>
      </c>
      <c r="X27" s="264">
        <f>9-1</f>
        <v>8</v>
      </c>
      <c r="Y27" s="265"/>
      <c r="Z27" s="264">
        <f>5.2-1</f>
        <v>4.2</v>
      </c>
      <c r="AA27" s="277"/>
      <c r="AB27" s="264">
        <f>9-1</f>
        <v>8</v>
      </c>
      <c r="AC27" s="277"/>
      <c r="AD27" s="264">
        <f>5.2-1</f>
        <v>4.2</v>
      </c>
      <c r="AE27" s="277"/>
      <c r="AF27" s="264">
        <f>9-1</f>
        <v>8</v>
      </c>
      <c r="AG27" s="277"/>
      <c r="AH27" s="264">
        <f>9-1</f>
        <v>8</v>
      </c>
      <c r="AI27" s="265"/>
    </row>
    <row r="28" spans="1:35" x14ac:dyDescent="0.15">
      <c r="A28" s="395">
        <v>12</v>
      </c>
      <c r="B28" s="534"/>
      <c r="C28" s="535"/>
      <c r="D28" s="535"/>
      <c r="E28" s="536"/>
      <c r="F28" s="157"/>
      <c r="G28" s="53"/>
      <c r="H28" s="45"/>
      <c r="I28" s="55"/>
      <c r="J28" s="158"/>
      <c r="K28" s="55"/>
      <c r="L28" s="157"/>
      <c r="M28" s="46"/>
      <c r="N28" s="72"/>
      <c r="O28" s="46"/>
      <c r="P28" s="100"/>
      <c r="Q28" s="100"/>
      <c r="R28" s="49"/>
      <c r="S28" s="50"/>
      <c r="X28" s="264"/>
      <c r="Y28" s="265"/>
      <c r="Z28" s="264"/>
      <c r="AA28" s="265"/>
      <c r="AB28" s="264"/>
      <c r="AC28" s="265"/>
      <c r="AD28" s="264"/>
      <c r="AE28" s="265"/>
      <c r="AF28" s="264"/>
      <c r="AG28" s="265"/>
      <c r="AH28" s="264"/>
      <c r="AI28" s="265"/>
    </row>
    <row r="29" spans="1:35" x14ac:dyDescent="0.15">
      <c r="A29" s="395">
        <v>13</v>
      </c>
      <c r="B29" s="537"/>
      <c r="C29" s="538"/>
      <c r="D29" s="538"/>
      <c r="E29" s="539"/>
      <c r="F29" s="53"/>
      <c r="G29" s="53"/>
      <c r="H29" s="45"/>
      <c r="I29" s="55"/>
      <c r="J29" s="54"/>
      <c r="K29" s="55"/>
      <c r="L29" s="56"/>
      <c r="M29" s="46"/>
      <c r="N29" s="72"/>
      <c r="O29" s="46"/>
      <c r="P29" s="100"/>
      <c r="Q29" s="100"/>
      <c r="R29" s="49"/>
      <c r="S29" s="50"/>
      <c r="X29" s="264"/>
      <c r="Y29" s="265"/>
      <c r="Z29" s="264"/>
      <c r="AA29" s="265"/>
      <c r="AB29" s="264"/>
      <c r="AC29" s="265"/>
      <c r="AD29" s="264"/>
      <c r="AE29" s="265"/>
      <c r="AF29" s="264"/>
      <c r="AG29" s="265"/>
      <c r="AH29" s="264"/>
      <c r="AI29" s="265"/>
    </row>
    <row r="30" spans="1:35" x14ac:dyDescent="0.15">
      <c r="A30" s="395">
        <v>14</v>
      </c>
      <c r="B30" s="387"/>
      <c r="C30" s="388"/>
      <c r="D30" s="388"/>
      <c r="E30" s="389"/>
      <c r="F30" s="53"/>
      <c r="G30" s="53"/>
      <c r="H30" s="207"/>
      <c r="I30" s="55"/>
      <c r="J30" s="54"/>
      <c r="K30" s="55"/>
      <c r="L30" s="56"/>
      <c r="M30" s="208"/>
      <c r="N30" s="432"/>
      <c r="O30" s="208"/>
      <c r="P30" s="433"/>
      <c r="Q30" s="307"/>
      <c r="R30" s="60"/>
      <c r="S30" s="50"/>
      <c r="X30" s="264"/>
      <c r="Y30" s="265"/>
      <c r="Z30" s="264"/>
      <c r="AA30" s="265"/>
      <c r="AB30" s="264"/>
      <c r="AC30" s="265"/>
      <c r="AD30" s="264"/>
      <c r="AE30" s="265"/>
      <c r="AF30" s="264"/>
      <c r="AG30" s="265"/>
      <c r="AH30" s="264"/>
      <c r="AI30" s="265"/>
    </row>
    <row r="31" spans="1:35" x14ac:dyDescent="0.15">
      <c r="A31" s="395">
        <v>15</v>
      </c>
      <c r="B31" s="387"/>
      <c r="C31" s="388"/>
      <c r="D31" s="388"/>
      <c r="E31" s="389"/>
      <c r="F31" s="53"/>
      <c r="G31" s="53"/>
      <c r="H31" s="207"/>
      <c r="I31" s="55"/>
      <c r="J31" s="54"/>
      <c r="K31" s="55"/>
      <c r="L31" s="56"/>
      <c r="M31" s="208"/>
      <c r="N31" s="432"/>
      <c r="O31" s="208"/>
      <c r="P31" s="433"/>
      <c r="Q31" s="307"/>
      <c r="R31" s="60"/>
      <c r="S31" s="50"/>
      <c r="X31" s="264"/>
      <c r="Y31" s="265"/>
      <c r="Z31" s="264"/>
      <c r="AA31" s="265"/>
      <c r="AB31" s="264"/>
      <c r="AC31" s="265"/>
      <c r="AD31" s="264"/>
      <c r="AE31" s="265"/>
      <c r="AF31" s="264"/>
      <c r="AG31" s="265"/>
      <c r="AH31" s="264"/>
      <c r="AI31" s="265"/>
    </row>
    <row r="32" spans="1:35" x14ac:dyDescent="0.15">
      <c r="A32" s="395">
        <v>16</v>
      </c>
      <c r="B32" s="387"/>
      <c r="C32" s="388"/>
      <c r="D32" s="388"/>
      <c r="E32" s="389"/>
      <c r="F32" s="53"/>
      <c r="G32" s="53"/>
      <c r="H32" s="207"/>
      <c r="I32" s="55"/>
      <c r="J32" s="54"/>
      <c r="K32" s="55"/>
      <c r="L32" s="56"/>
      <c r="M32" s="208"/>
      <c r="N32" s="432"/>
      <c r="O32" s="208"/>
      <c r="P32" s="433"/>
      <c r="Q32" s="307"/>
      <c r="R32" s="60"/>
      <c r="S32" s="50"/>
      <c r="X32" s="264"/>
      <c r="Y32" s="265"/>
      <c r="Z32" s="264"/>
      <c r="AA32" s="265"/>
      <c r="AB32" s="264"/>
      <c r="AC32" s="265"/>
      <c r="AD32" s="264"/>
      <c r="AE32" s="265"/>
      <c r="AF32" s="264"/>
      <c r="AG32" s="265"/>
      <c r="AH32" s="264"/>
      <c r="AI32" s="265"/>
    </row>
    <row r="33" spans="1:35" x14ac:dyDescent="0.15">
      <c r="A33" s="395">
        <v>17</v>
      </c>
      <c r="B33" s="387"/>
      <c r="C33" s="388"/>
      <c r="D33" s="388"/>
      <c r="E33" s="389"/>
      <c r="F33" s="53"/>
      <c r="G33" s="53"/>
      <c r="H33" s="207"/>
      <c r="I33" s="55"/>
      <c r="J33" s="54"/>
      <c r="K33" s="55"/>
      <c r="L33" s="56"/>
      <c r="M33" s="208"/>
      <c r="N33" s="432"/>
      <c r="O33" s="208"/>
      <c r="P33" s="433"/>
      <c r="Q33" s="307"/>
      <c r="R33" s="60"/>
      <c r="S33" s="50"/>
      <c r="X33" s="264"/>
      <c r="Y33" s="265"/>
      <c r="Z33" s="264"/>
      <c r="AA33" s="265"/>
      <c r="AB33" s="264"/>
      <c r="AC33" s="265"/>
      <c r="AD33" s="264"/>
      <c r="AE33" s="265"/>
      <c r="AF33" s="264"/>
      <c r="AG33" s="265"/>
      <c r="AH33" s="264"/>
      <c r="AI33" s="265"/>
    </row>
    <row r="34" spans="1:35" x14ac:dyDescent="0.15">
      <c r="A34" s="395">
        <v>18</v>
      </c>
      <c r="B34" s="387"/>
      <c r="C34" s="388"/>
      <c r="D34" s="388"/>
      <c r="E34" s="389"/>
      <c r="F34" s="53"/>
      <c r="G34" s="53"/>
      <c r="H34" s="207"/>
      <c r="I34" s="55"/>
      <c r="J34" s="54"/>
      <c r="K34" s="55"/>
      <c r="L34" s="56"/>
      <c r="M34" s="208"/>
      <c r="N34" s="432"/>
      <c r="O34" s="208"/>
      <c r="P34" s="433"/>
      <c r="Q34" s="307"/>
      <c r="R34" s="60"/>
      <c r="S34" s="50"/>
      <c r="X34" s="264"/>
      <c r="Y34" s="265"/>
      <c r="Z34" s="264"/>
      <c r="AA34" s="265"/>
      <c r="AB34" s="264"/>
      <c r="AC34" s="265"/>
      <c r="AD34" s="264"/>
      <c r="AE34" s="265"/>
      <c r="AF34" s="264"/>
      <c r="AG34" s="265"/>
      <c r="AH34" s="264"/>
      <c r="AI34" s="265"/>
    </row>
    <row r="35" spans="1:35" x14ac:dyDescent="0.15">
      <c r="A35" s="395">
        <v>19</v>
      </c>
      <c r="B35" s="387"/>
      <c r="C35" s="388"/>
      <c r="D35" s="388"/>
      <c r="E35" s="389"/>
      <c r="F35" s="53"/>
      <c r="G35" s="53"/>
      <c r="H35" s="207"/>
      <c r="I35" s="55"/>
      <c r="J35" s="54"/>
      <c r="K35" s="55"/>
      <c r="L35" s="56"/>
      <c r="M35" s="208"/>
      <c r="N35" s="432"/>
      <c r="O35" s="208"/>
      <c r="P35" s="433"/>
      <c r="Q35" s="307"/>
      <c r="R35" s="60"/>
      <c r="S35" s="50"/>
      <c r="X35" s="264"/>
      <c r="Y35" s="265"/>
      <c r="Z35" s="264"/>
      <c r="AA35" s="265"/>
      <c r="AB35" s="264"/>
      <c r="AC35" s="265"/>
      <c r="AD35" s="264"/>
      <c r="AE35" s="265"/>
      <c r="AF35" s="264"/>
      <c r="AG35" s="265"/>
      <c r="AH35" s="264"/>
      <c r="AI35" s="265"/>
    </row>
    <row r="36" spans="1:35" x14ac:dyDescent="0.15">
      <c r="A36" s="395">
        <v>20</v>
      </c>
      <c r="B36" s="387"/>
      <c r="C36" s="388"/>
      <c r="D36" s="388"/>
      <c r="E36" s="389"/>
      <c r="F36" s="53"/>
      <c r="G36" s="53"/>
      <c r="H36" s="207"/>
      <c r="I36" s="55"/>
      <c r="J36" s="54"/>
      <c r="K36" s="55"/>
      <c r="L36" s="56"/>
      <c r="M36" s="208"/>
      <c r="N36" s="432"/>
      <c r="O36" s="208"/>
      <c r="P36" s="433"/>
      <c r="Q36" s="307"/>
      <c r="R36" s="60"/>
      <c r="S36" s="50"/>
      <c r="X36" s="264"/>
      <c r="Y36" s="265"/>
      <c r="Z36" s="264"/>
      <c r="AA36" s="265"/>
      <c r="AB36" s="264"/>
      <c r="AC36" s="265"/>
      <c r="AD36" s="264"/>
      <c r="AE36" s="265"/>
      <c r="AF36" s="264"/>
      <c r="AG36" s="265"/>
      <c r="AH36" s="264"/>
      <c r="AI36" s="265"/>
    </row>
    <row r="37" spans="1:35" x14ac:dyDescent="0.15">
      <c r="A37" s="395">
        <v>21</v>
      </c>
      <c r="B37" s="387"/>
      <c r="C37" s="388"/>
      <c r="D37" s="388"/>
      <c r="E37" s="389"/>
      <c r="F37" s="53"/>
      <c r="G37" s="53"/>
      <c r="H37" s="207"/>
      <c r="I37" s="55"/>
      <c r="J37" s="54"/>
      <c r="K37" s="55"/>
      <c r="L37" s="56"/>
      <c r="M37" s="208"/>
      <c r="N37" s="432"/>
      <c r="O37" s="208"/>
      <c r="P37" s="433"/>
      <c r="Q37" s="307"/>
      <c r="R37" s="60"/>
      <c r="S37" s="50"/>
      <c r="X37" s="264"/>
      <c r="Y37" s="265"/>
      <c r="Z37" s="264"/>
      <c r="AA37" s="265"/>
      <c r="AB37" s="264"/>
      <c r="AC37" s="265"/>
      <c r="AD37" s="264"/>
      <c r="AE37" s="265"/>
      <c r="AF37" s="264"/>
      <c r="AG37" s="265"/>
      <c r="AH37" s="264"/>
      <c r="AI37" s="265"/>
    </row>
    <row r="38" spans="1:35" x14ac:dyDescent="0.15">
      <c r="A38" s="563" t="s">
        <v>878</v>
      </c>
      <c r="B38" s="563"/>
      <c r="C38" s="563"/>
      <c r="D38" s="564"/>
      <c r="E38" s="564"/>
      <c r="F38" s="563"/>
      <c r="G38" s="563"/>
      <c r="H38" s="563"/>
      <c r="I38" s="563"/>
      <c r="J38" s="563"/>
      <c r="K38" s="563"/>
      <c r="L38" s="563"/>
      <c r="M38" s="46">
        <f>SUMIF($Q$17:$Q$29,A38,$M$17:$M$29)</f>
        <v>8.0958079999999999</v>
      </c>
      <c r="N38" s="58"/>
      <c r="O38" s="46"/>
      <c r="P38" s="59"/>
      <c r="Q38" s="100"/>
      <c r="R38" s="60"/>
      <c r="S38" s="50"/>
      <c r="X38" s="264"/>
      <c r="Y38" s="265"/>
      <c r="Z38" s="264"/>
      <c r="AA38" s="265"/>
      <c r="AB38" s="264"/>
      <c r="AC38" s="265"/>
      <c r="AD38" s="264"/>
      <c r="AE38" s="265"/>
      <c r="AF38" s="264"/>
      <c r="AG38" s="265"/>
      <c r="AH38" s="264"/>
      <c r="AI38" s="265"/>
    </row>
    <row r="39" spans="1:35" x14ac:dyDescent="0.15">
      <c r="A39" s="563" t="s">
        <v>879</v>
      </c>
      <c r="B39" s="563"/>
      <c r="C39" s="563"/>
      <c r="D39" s="564"/>
      <c r="E39" s="564"/>
      <c r="F39" s="563"/>
      <c r="G39" s="563"/>
      <c r="H39" s="563"/>
      <c r="I39" s="563"/>
      <c r="J39" s="563"/>
      <c r="K39" s="563"/>
      <c r="L39" s="563"/>
      <c r="M39" s="46">
        <f>SUMIF($Q$17:$Q$29,A39,$M$17:$M$29)</f>
        <v>0.63680639999999999</v>
      </c>
      <c r="N39" s="58"/>
      <c r="O39" s="46"/>
      <c r="P39" s="59"/>
      <c r="Q39" s="336"/>
      <c r="R39" s="60"/>
      <c r="S39" s="50"/>
      <c r="X39" s="264"/>
      <c r="Y39" s="265"/>
      <c r="Z39" s="264"/>
      <c r="AA39" s="265"/>
      <c r="AB39" s="264"/>
      <c r="AC39" s="265"/>
      <c r="AD39" s="264"/>
      <c r="AE39" s="265"/>
      <c r="AF39" s="264"/>
      <c r="AG39" s="265"/>
      <c r="AH39" s="264"/>
      <c r="AI39" s="265"/>
    </row>
    <row r="40" spans="1:35" x14ac:dyDescent="0.15">
      <c r="A40" s="563" t="s">
        <v>880</v>
      </c>
      <c r="B40" s="563"/>
      <c r="C40" s="563"/>
      <c r="D40" s="564"/>
      <c r="E40" s="564"/>
      <c r="F40" s="563"/>
      <c r="G40" s="563"/>
      <c r="H40" s="563"/>
      <c r="I40" s="563"/>
      <c r="J40" s="563"/>
      <c r="K40" s="563"/>
      <c r="L40" s="563"/>
      <c r="M40" s="46">
        <f>SUMIF($Q$17:$Q$29,A40,$M$17:$M$29)</f>
        <v>0.51539560000000006</v>
      </c>
      <c r="N40" s="58"/>
      <c r="O40" s="46"/>
      <c r="P40" s="59"/>
      <c r="Q40" s="336"/>
      <c r="R40" s="60"/>
      <c r="S40" s="50"/>
      <c r="X40" s="264"/>
      <c r="Y40" s="265"/>
      <c r="Z40" s="264"/>
      <c r="AA40" s="265"/>
      <c r="AB40" s="264"/>
      <c r="AC40" s="265"/>
      <c r="AD40" s="264"/>
      <c r="AE40" s="265"/>
      <c r="AF40" s="264"/>
      <c r="AG40" s="265"/>
      <c r="AH40" s="264"/>
      <c r="AI40" s="265"/>
    </row>
    <row r="41" spans="1:35" x14ac:dyDescent="0.15">
      <c r="A41" s="552" t="s">
        <v>48</v>
      </c>
      <c r="B41" s="557"/>
      <c r="C41" s="557"/>
      <c r="D41" s="557"/>
      <c r="E41" s="557"/>
      <c r="F41" s="557"/>
      <c r="G41" s="557"/>
      <c r="H41" s="557"/>
      <c r="I41" s="557"/>
      <c r="J41" s="557"/>
      <c r="K41" s="557"/>
      <c r="L41" s="553"/>
      <c r="M41" s="62">
        <f>SUM(M38:M40)</f>
        <v>9.248009999999999</v>
      </c>
      <c r="N41" s="63"/>
      <c r="O41" s="62">
        <f>SUM(O17:O29)</f>
        <v>0</v>
      </c>
      <c r="P41" s="63"/>
      <c r="Q41" s="337"/>
      <c r="R41" s="64"/>
      <c r="S41" s="64"/>
      <c r="X41" s="264"/>
      <c r="Y41" s="265"/>
      <c r="Z41" s="264"/>
      <c r="AA41" s="265"/>
      <c r="AB41" s="264"/>
      <c r="AC41" s="265"/>
      <c r="AD41" s="264"/>
      <c r="AE41" s="265"/>
      <c r="AF41" s="264"/>
      <c r="AG41" s="265"/>
      <c r="AH41" s="264"/>
      <c r="AI41" s="265"/>
    </row>
    <row r="42" spans="1:35" ht="24" x14ac:dyDescent="0.15">
      <c r="A42" s="65"/>
      <c r="B42" s="565" t="s">
        <v>49</v>
      </c>
      <c r="C42" s="561"/>
      <c r="D42" s="561"/>
      <c r="E42" s="566"/>
      <c r="F42" s="565" t="s">
        <v>26</v>
      </c>
      <c r="G42" s="566"/>
      <c r="H42" s="66" t="s">
        <v>1007</v>
      </c>
      <c r="I42" s="66" t="s">
        <v>1008</v>
      </c>
      <c r="J42" s="66" t="s">
        <v>50</v>
      </c>
      <c r="K42" s="66" t="s">
        <v>51</v>
      </c>
      <c r="L42" s="67" t="s">
        <v>30</v>
      </c>
      <c r="M42" s="66" t="s">
        <v>52</v>
      </c>
      <c r="N42" s="68" t="s">
        <v>53</v>
      </c>
      <c r="O42" s="68" t="s">
        <v>34</v>
      </c>
      <c r="P42" s="69" t="s">
        <v>35</v>
      </c>
      <c r="Q42" s="338"/>
      <c r="R42" s="67"/>
      <c r="S42" s="67"/>
      <c r="V42" s="270" t="s">
        <v>352</v>
      </c>
      <c r="W42" s="270" t="s">
        <v>353</v>
      </c>
      <c r="X42" s="271" t="s">
        <v>352</v>
      </c>
      <c r="Y42" s="272" t="s">
        <v>353</v>
      </c>
      <c r="Z42" s="271" t="s">
        <v>352</v>
      </c>
      <c r="AA42" s="272" t="s">
        <v>353</v>
      </c>
      <c r="AB42" s="271" t="s">
        <v>352</v>
      </c>
      <c r="AC42" s="272" t="s">
        <v>353</v>
      </c>
      <c r="AD42" s="271" t="s">
        <v>352</v>
      </c>
      <c r="AE42" s="272" t="s">
        <v>353</v>
      </c>
      <c r="AF42" s="271" t="s">
        <v>352</v>
      </c>
      <c r="AG42" s="272" t="s">
        <v>353</v>
      </c>
      <c r="AH42" s="271" t="s">
        <v>352</v>
      </c>
      <c r="AI42" s="272" t="s">
        <v>353</v>
      </c>
    </row>
    <row r="43" spans="1:35" x14ac:dyDescent="0.15">
      <c r="A43" s="44">
        <v>1</v>
      </c>
      <c r="B43" s="545" t="s">
        <v>54</v>
      </c>
      <c r="C43" s="546"/>
      <c r="D43" s="546"/>
      <c r="E43" s="547"/>
      <c r="F43" s="545" t="s">
        <v>55</v>
      </c>
      <c r="G43" s="547"/>
      <c r="H43" s="45" t="s">
        <v>1009</v>
      </c>
      <c r="I43" s="45" t="s">
        <v>1010</v>
      </c>
      <c r="J43" s="46">
        <f>IF(G2=65,M9-V43,IF(G2=55,M9-X43,IF(G2=551,M9-Z43,IF(G2=60,M9-AB43,IF(G2=601,M9-AD43,IF(G2=70,M9-AF43,IF(G2=75,AH43-X43)))))))</f>
        <v>360</v>
      </c>
      <c r="K43" s="70">
        <f>IF(G2=65,M6-W43,IF(G2=55,M6-Y43,IF(G2=551,M6-AA43,IF(G2=60,M6-AC43,IF(G2=601,M6-AE43,IF(G2=70,M6-AG43,IF(G2=75,M6-AI43)))))))</f>
        <v>1160</v>
      </c>
      <c r="L43" s="70">
        <v>1</v>
      </c>
      <c r="M43" s="46">
        <f>J43*K43*L43/1000000</f>
        <v>0.41760000000000003</v>
      </c>
      <c r="N43" s="46"/>
      <c r="O43" s="46">
        <f>N43*M43</f>
        <v>0</v>
      </c>
      <c r="P43" s="71"/>
      <c r="Q43" s="240"/>
      <c r="R43" s="72"/>
      <c r="S43" s="72"/>
      <c r="T43" s="456" t="s">
        <v>1593</v>
      </c>
      <c r="U43" s="374" t="s">
        <v>1594</v>
      </c>
      <c r="V43" s="259">
        <f>70*2</f>
        <v>140</v>
      </c>
      <c r="W43" s="259">
        <f>70*2</f>
        <v>140</v>
      </c>
      <c r="X43" s="264">
        <f t="shared" ref="X43:AI43" si="5">72*2</f>
        <v>144</v>
      </c>
      <c r="Y43" s="265">
        <f t="shared" si="5"/>
        <v>144</v>
      </c>
      <c r="Z43" s="264">
        <f t="shared" si="5"/>
        <v>144</v>
      </c>
      <c r="AA43" s="265">
        <f t="shared" si="5"/>
        <v>144</v>
      </c>
      <c r="AB43" s="264">
        <f t="shared" si="5"/>
        <v>144</v>
      </c>
      <c r="AC43" s="265">
        <f t="shared" si="5"/>
        <v>144</v>
      </c>
      <c r="AD43" s="264">
        <f t="shared" si="5"/>
        <v>144</v>
      </c>
      <c r="AE43" s="265">
        <f t="shared" si="5"/>
        <v>144</v>
      </c>
      <c r="AF43" s="264">
        <f t="shared" si="5"/>
        <v>144</v>
      </c>
      <c r="AG43" s="265">
        <f t="shared" si="5"/>
        <v>144</v>
      </c>
      <c r="AH43" s="264">
        <f t="shared" si="5"/>
        <v>144</v>
      </c>
      <c r="AI43" s="265">
        <f t="shared" si="5"/>
        <v>144</v>
      </c>
    </row>
    <row r="44" spans="1:35" x14ac:dyDescent="0.15">
      <c r="A44" s="44"/>
      <c r="B44" s="545"/>
      <c r="C44" s="546"/>
      <c r="D44" s="546"/>
      <c r="E44" s="547"/>
      <c r="F44" s="545"/>
      <c r="G44" s="547"/>
      <c r="H44" s="45"/>
      <c r="I44" s="45"/>
      <c r="J44" s="45"/>
      <c r="K44" s="45"/>
      <c r="L44" s="70"/>
      <c r="M44" s="46"/>
      <c r="N44" s="46"/>
      <c r="O44" s="46"/>
      <c r="P44" s="71"/>
      <c r="Q44" s="240"/>
      <c r="R44" s="72"/>
      <c r="S44" s="72"/>
      <c r="X44" s="264"/>
      <c r="Y44" s="265"/>
      <c r="Z44" s="264"/>
      <c r="AA44" s="265"/>
      <c r="AB44" s="264"/>
      <c r="AC44" s="265"/>
      <c r="AD44" s="264"/>
      <c r="AE44" s="265"/>
    </row>
    <row r="45" spans="1:35" x14ac:dyDescent="0.15">
      <c r="A45" s="44"/>
      <c r="B45" s="545"/>
      <c r="C45" s="546"/>
      <c r="D45" s="546"/>
      <c r="E45" s="547"/>
      <c r="F45" s="545"/>
      <c r="G45" s="547"/>
      <c r="H45" s="45"/>
      <c r="I45" s="45"/>
      <c r="J45" s="46"/>
      <c r="K45" s="44"/>
      <c r="L45" s="70"/>
      <c r="M45" s="46"/>
      <c r="N45" s="46"/>
      <c r="O45" s="46"/>
      <c r="P45" s="48"/>
      <c r="Q45" s="211"/>
      <c r="R45" s="73"/>
      <c r="S45" s="73"/>
      <c r="X45" s="264"/>
      <c r="Y45" s="265"/>
    </row>
    <row r="46" spans="1:35" x14ac:dyDescent="0.15">
      <c r="A46" s="396"/>
      <c r="B46" s="434"/>
      <c r="C46" s="435"/>
      <c r="D46" s="435"/>
      <c r="E46" s="436"/>
      <c r="F46" s="434"/>
      <c r="G46" s="436"/>
      <c r="H46" s="207"/>
      <c r="I46" s="207"/>
      <c r="J46" s="208"/>
      <c r="K46" s="396"/>
      <c r="L46" s="239"/>
      <c r="M46" s="208"/>
      <c r="N46" s="208"/>
      <c r="O46" s="208"/>
      <c r="P46" s="437"/>
      <c r="Q46" s="336"/>
      <c r="R46" s="117"/>
      <c r="S46" s="117"/>
      <c r="X46" s="265"/>
      <c r="Y46" s="265"/>
    </row>
    <row r="47" spans="1:35" x14ac:dyDescent="0.15">
      <c r="A47" s="396"/>
      <c r="B47" s="434"/>
      <c r="C47" s="435"/>
      <c r="D47" s="435"/>
      <c r="E47" s="436"/>
      <c r="F47" s="434"/>
      <c r="G47" s="436"/>
      <c r="H47" s="207"/>
      <c r="I47" s="207"/>
      <c r="J47" s="208"/>
      <c r="K47" s="396"/>
      <c r="L47" s="239"/>
      <c r="M47" s="208"/>
      <c r="N47" s="208"/>
      <c r="O47" s="208"/>
      <c r="P47" s="437"/>
      <c r="Q47" s="336"/>
      <c r="R47" s="117"/>
      <c r="S47" s="117"/>
      <c r="X47" s="265"/>
      <c r="Y47" s="265"/>
    </row>
    <row r="48" spans="1:35" x14ac:dyDescent="0.15">
      <c r="A48" s="396"/>
      <c r="B48" s="434"/>
      <c r="C48" s="435"/>
      <c r="D48" s="435"/>
      <c r="E48" s="436"/>
      <c r="F48" s="434"/>
      <c r="G48" s="436"/>
      <c r="H48" s="207"/>
      <c r="I48" s="207"/>
      <c r="J48" s="208"/>
      <c r="K48" s="396"/>
      <c r="L48" s="239"/>
      <c r="M48" s="208"/>
      <c r="N48" s="208"/>
      <c r="O48" s="208"/>
      <c r="P48" s="437"/>
      <c r="Q48" s="336"/>
      <c r="R48" s="117"/>
      <c r="S48" s="117"/>
      <c r="X48" s="265"/>
      <c r="Y48" s="265"/>
    </row>
    <row r="49" spans="1:23" x14ac:dyDescent="0.15">
      <c r="A49" s="74"/>
      <c r="B49" s="571"/>
      <c r="C49" s="572"/>
      <c r="D49" s="572"/>
      <c r="E49" s="573"/>
      <c r="F49" s="554" t="s">
        <v>56</v>
      </c>
      <c r="G49" s="554"/>
      <c r="H49" s="554"/>
      <c r="I49" s="554"/>
      <c r="J49" s="570"/>
      <c r="K49" s="570"/>
      <c r="L49" s="554"/>
      <c r="M49" s="62">
        <f>SUM(M43:M48)</f>
        <v>0.41760000000000003</v>
      </c>
      <c r="N49" s="75"/>
      <c r="O49" s="62">
        <f>SUM(O43:O48)</f>
        <v>0</v>
      </c>
      <c r="P49" s="63" t="s">
        <v>57</v>
      </c>
      <c r="Q49" s="337"/>
      <c r="R49" s="64"/>
      <c r="S49" s="64"/>
    </row>
    <row r="50" spans="1:23" ht="24" x14ac:dyDescent="0.15">
      <c r="A50" s="65"/>
      <c r="B50" s="565" t="s">
        <v>58</v>
      </c>
      <c r="C50" s="561"/>
      <c r="D50" s="561"/>
      <c r="E50" s="566"/>
      <c r="F50" s="565" t="s">
        <v>26</v>
      </c>
      <c r="G50" s="566"/>
      <c r="H50" s="66" t="s">
        <v>59</v>
      </c>
      <c r="I50" s="66"/>
      <c r="J50" s="66" t="s">
        <v>60</v>
      </c>
      <c r="K50" s="66" t="s">
        <v>6</v>
      </c>
      <c r="L50" s="67" t="s">
        <v>61</v>
      </c>
      <c r="M50" s="66" t="s">
        <v>30</v>
      </c>
      <c r="N50" s="68" t="s">
        <v>62</v>
      </c>
      <c r="O50" s="68" t="s">
        <v>34</v>
      </c>
      <c r="P50" s="69" t="s">
        <v>57</v>
      </c>
      <c r="Q50" s="338"/>
      <c r="R50" s="67"/>
      <c r="S50" s="67"/>
    </row>
    <row r="51" spans="1:23" ht="25.5" customHeight="1" x14ac:dyDescent="0.15">
      <c r="A51" s="44">
        <v>1</v>
      </c>
      <c r="B51" s="542"/>
      <c r="C51" s="543"/>
      <c r="D51" s="543"/>
      <c r="E51" s="544"/>
      <c r="F51" s="545" t="s">
        <v>63</v>
      </c>
      <c r="G51" s="547"/>
      <c r="H51" s="45"/>
      <c r="I51" s="45"/>
      <c r="J51" s="45"/>
      <c r="K51" s="46" t="str">
        <f>VLOOKUP($F:$F,材料单价表!$B$3:$G$42,4,0)</f>
        <v>套</v>
      </c>
      <c r="L51" s="72"/>
      <c r="M51" s="46">
        <v>1</v>
      </c>
      <c r="N51" s="46">
        <f>VLOOKUP($F:$F,材料单价表!$B$3:$G$42,5,0)</f>
        <v>0</v>
      </c>
      <c r="O51" s="46">
        <f t="shared" ref="O51" si="6">N51*M51</f>
        <v>0</v>
      </c>
      <c r="P51" s="48"/>
      <c r="Q51" s="211"/>
      <c r="R51" s="73"/>
      <c r="S51" s="73"/>
    </row>
    <row r="52" spans="1:23" x14ac:dyDescent="0.15">
      <c r="A52" s="74"/>
      <c r="B52" s="571"/>
      <c r="C52" s="572"/>
      <c r="D52" s="572"/>
      <c r="E52" s="573"/>
      <c r="F52" s="554" t="s">
        <v>64</v>
      </c>
      <c r="G52" s="554"/>
      <c r="H52" s="554"/>
      <c r="I52" s="554"/>
      <c r="J52" s="570"/>
      <c r="K52" s="570"/>
      <c r="L52" s="554"/>
      <c r="M52" s="62">
        <f>M51</f>
        <v>1</v>
      </c>
      <c r="N52" s="75"/>
      <c r="O52" s="62">
        <f>SUM(O51:O51)</f>
        <v>0</v>
      </c>
      <c r="P52" s="63" t="s">
        <v>57</v>
      </c>
      <c r="Q52" s="337"/>
      <c r="R52" s="64"/>
      <c r="S52" s="64"/>
    </row>
    <row r="53" spans="1:23" ht="24" x14ac:dyDescent="0.15">
      <c r="A53" s="65"/>
      <c r="B53" s="565" t="s">
        <v>65</v>
      </c>
      <c r="C53" s="561"/>
      <c r="D53" s="561"/>
      <c r="E53" s="566"/>
      <c r="F53" s="565" t="s">
        <v>26</v>
      </c>
      <c r="G53" s="566"/>
      <c r="H53" s="66" t="s">
        <v>59</v>
      </c>
      <c r="I53" s="66"/>
      <c r="J53" s="66" t="s">
        <v>60</v>
      </c>
      <c r="K53" s="66" t="s">
        <v>6</v>
      </c>
      <c r="L53" s="67" t="s">
        <v>61</v>
      </c>
      <c r="M53" s="66" t="s">
        <v>30</v>
      </c>
      <c r="N53" s="68" t="s">
        <v>62</v>
      </c>
      <c r="O53" s="68" t="s">
        <v>34</v>
      </c>
      <c r="P53" s="69" t="s">
        <v>57</v>
      </c>
      <c r="Q53" s="338"/>
      <c r="R53" s="67"/>
      <c r="S53" s="67"/>
    </row>
    <row r="54" spans="1:23" ht="13.5" customHeight="1" x14ac:dyDescent="0.15">
      <c r="A54" s="76">
        <v>1</v>
      </c>
      <c r="B54" s="574"/>
      <c r="C54" s="575"/>
      <c r="D54" s="575"/>
      <c r="E54" s="576"/>
      <c r="F54" s="558" t="s">
        <v>66</v>
      </c>
      <c r="G54" s="559"/>
      <c r="H54" s="78"/>
      <c r="I54" s="78"/>
      <c r="J54" s="77"/>
      <c r="K54" s="46" t="str">
        <f>VLOOKUP($F:$F,材料单价表!$B$3:$G$42,4,0)</f>
        <v>m</v>
      </c>
      <c r="L54" s="46"/>
      <c r="M54" s="80">
        <f>M15</f>
        <v>4</v>
      </c>
      <c r="N54" s="46">
        <f>VLOOKUP($F:$F,材料单价表!$B$3:$G$42,5,0)</f>
        <v>0</v>
      </c>
      <c r="O54" s="46">
        <f>N54*M54</f>
        <v>0</v>
      </c>
      <c r="P54" s="48"/>
      <c r="Q54" s="59"/>
      <c r="R54" s="81"/>
      <c r="S54" s="79"/>
    </row>
    <row r="55" spans="1:23" ht="15.75" customHeight="1" x14ac:dyDescent="0.15">
      <c r="A55" s="76">
        <v>2</v>
      </c>
      <c r="B55" s="574"/>
      <c r="C55" s="575"/>
      <c r="D55" s="575"/>
      <c r="E55" s="576"/>
      <c r="F55" s="558" t="s">
        <v>68</v>
      </c>
      <c r="G55" s="559"/>
      <c r="H55" s="78" t="s">
        <v>67</v>
      </c>
      <c r="I55" s="78"/>
      <c r="J55" s="77"/>
      <c r="K55" s="46" t="str">
        <f>VLOOKUP($F:$F,材料单价表!$B$3:$G$42,4,0)</f>
        <v>m</v>
      </c>
      <c r="L55" s="46"/>
      <c r="M55" s="80">
        <f>(J23*K23+J24*K24)/1000*2</f>
        <v>6.2432000000000007</v>
      </c>
      <c r="N55" s="46">
        <f>VLOOKUP($F:$F,材料单价表!$B$3:$G$42,5,0)</f>
        <v>0</v>
      </c>
      <c r="O55" s="46">
        <f t="shared" ref="O55:O61" si="7">N55*M55</f>
        <v>0</v>
      </c>
      <c r="P55" s="48"/>
      <c r="Q55" s="59"/>
      <c r="R55" s="81"/>
      <c r="S55" s="79"/>
      <c r="V55" s="104"/>
      <c r="W55" s="104"/>
    </row>
    <row r="56" spans="1:23" ht="13.5" customHeight="1" x14ac:dyDescent="0.15">
      <c r="A56" s="76">
        <v>3</v>
      </c>
      <c r="B56" s="574"/>
      <c r="C56" s="575"/>
      <c r="D56" s="575"/>
      <c r="E56" s="576"/>
      <c r="F56" s="558" t="s">
        <v>68</v>
      </c>
      <c r="G56" s="559"/>
      <c r="H56" s="78" t="s">
        <v>69</v>
      </c>
      <c r="I56" s="78"/>
      <c r="J56" s="77"/>
      <c r="K56" s="46" t="str">
        <f>VLOOKUP($F:$F,材料单价表!$B$3:$G$42,4,0)</f>
        <v>m</v>
      </c>
      <c r="L56" s="46"/>
      <c r="M56" s="80">
        <f>M15</f>
        <v>4</v>
      </c>
      <c r="N56" s="46">
        <f>VLOOKUP($F:$F,材料单价表!$B$3:$G$42,5,0)</f>
        <v>0</v>
      </c>
      <c r="O56" s="46">
        <f t="shared" si="7"/>
        <v>0</v>
      </c>
      <c r="P56" s="48"/>
      <c r="Q56" s="59"/>
      <c r="R56" s="81"/>
      <c r="S56" s="79"/>
      <c r="V56" s="104"/>
      <c r="W56" s="104"/>
    </row>
    <row r="57" spans="1:23" ht="13.5" customHeight="1" x14ac:dyDescent="0.15">
      <c r="A57" s="76">
        <v>4</v>
      </c>
      <c r="B57" s="574"/>
      <c r="C57" s="575"/>
      <c r="D57" s="575"/>
      <c r="E57" s="576"/>
      <c r="F57" s="558" t="s">
        <v>68</v>
      </c>
      <c r="G57" s="559"/>
      <c r="H57" s="78" t="s">
        <v>70</v>
      </c>
      <c r="I57" s="78"/>
      <c r="J57" s="77"/>
      <c r="K57" s="46" t="str">
        <f>VLOOKUP($F:$F,材料单价表!$B$3:$G$42,4,0)</f>
        <v>m</v>
      </c>
      <c r="L57" s="46"/>
      <c r="M57" s="80">
        <f>M15</f>
        <v>4</v>
      </c>
      <c r="N57" s="46">
        <f>VLOOKUP($F:$F,材料单价表!$B$3:$G$42,5,0)</f>
        <v>0</v>
      </c>
      <c r="O57" s="46">
        <f t="shared" si="7"/>
        <v>0</v>
      </c>
      <c r="P57" s="48"/>
      <c r="Q57" s="59"/>
      <c r="R57" s="81"/>
      <c r="S57" s="79"/>
      <c r="V57" s="104"/>
      <c r="W57" s="104"/>
    </row>
    <row r="58" spans="1:23" ht="13.5" customHeight="1" x14ac:dyDescent="0.15">
      <c r="A58" s="76">
        <v>5</v>
      </c>
      <c r="B58" s="574"/>
      <c r="C58" s="575"/>
      <c r="D58" s="575"/>
      <c r="E58" s="576"/>
      <c r="F58" s="558" t="s">
        <v>71</v>
      </c>
      <c r="G58" s="559"/>
      <c r="H58" s="78"/>
      <c r="I58" s="78"/>
      <c r="J58" s="77"/>
      <c r="K58" s="46" t="str">
        <f>VLOOKUP($F:$F,材料单价表!$B$3:$G$42,4,0)</f>
        <v>个</v>
      </c>
      <c r="L58" s="79"/>
      <c r="M58" s="80">
        <f>K25+K26</f>
        <v>8</v>
      </c>
      <c r="N58" s="46">
        <f>VLOOKUP($F:$F,材料单价表!$B$3:$G$42,5,0)</f>
        <v>0</v>
      </c>
      <c r="O58" s="46">
        <f t="shared" si="7"/>
        <v>0</v>
      </c>
      <c r="P58" s="48"/>
      <c r="Q58" s="59"/>
      <c r="R58" s="81"/>
      <c r="S58" s="79"/>
    </row>
    <row r="59" spans="1:23" ht="13.5" customHeight="1" x14ac:dyDescent="0.15">
      <c r="A59" s="76">
        <v>6</v>
      </c>
      <c r="B59" s="574"/>
      <c r="C59" s="575"/>
      <c r="D59" s="575"/>
      <c r="E59" s="576"/>
      <c r="F59" s="558" t="s">
        <v>121</v>
      </c>
      <c r="G59" s="559"/>
      <c r="H59" s="78"/>
      <c r="I59" s="78"/>
      <c r="J59" s="77"/>
      <c r="K59" s="46" t="str">
        <f>VLOOKUP($F:$F,材料单价表!$B$3:$G$42,4,0)</f>
        <v>m</v>
      </c>
      <c r="L59" s="79"/>
      <c r="M59" s="80">
        <f>(J19*K19+J20*K20)/1000*2</f>
        <v>6.8479999999999999</v>
      </c>
      <c r="N59" s="46">
        <f>VLOOKUP($F:$F,材料单价表!$B$3:$G$42,5,0)</f>
        <v>0</v>
      </c>
      <c r="O59" s="46">
        <f t="shared" si="7"/>
        <v>0</v>
      </c>
      <c r="P59" s="48"/>
      <c r="Q59" s="59"/>
      <c r="R59" s="81"/>
      <c r="S59" s="46"/>
    </row>
    <row r="60" spans="1:23" ht="13.5" customHeight="1" x14ac:dyDescent="0.15">
      <c r="A60" s="76">
        <v>7</v>
      </c>
      <c r="B60" s="574"/>
      <c r="C60" s="575"/>
      <c r="D60" s="575"/>
      <c r="E60" s="576"/>
      <c r="F60" s="558" t="s">
        <v>121</v>
      </c>
      <c r="G60" s="559"/>
      <c r="H60" s="78"/>
      <c r="I60" s="78"/>
      <c r="J60" s="77"/>
      <c r="K60" s="46" t="str">
        <f>VLOOKUP($F:$F,材料单价表!$B$3:$G$42,4,0)</f>
        <v>m</v>
      </c>
      <c r="L60" s="79"/>
      <c r="M60" s="80">
        <f>(J20*K20+J19*K19)/1000*1</f>
        <v>3.4239999999999999</v>
      </c>
      <c r="N60" s="46">
        <f>VLOOKUP($F:$F,材料单价表!$B$3:$G$42,5,0)</f>
        <v>0</v>
      </c>
      <c r="O60" s="46">
        <f t="shared" si="7"/>
        <v>0</v>
      </c>
      <c r="P60" s="48"/>
      <c r="Q60" s="59"/>
      <c r="R60" s="81"/>
      <c r="S60" s="46"/>
    </row>
    <row r="61" spans="1:23" x14ac:dyDescent="0.15">
      <c r="A61" s="76">
        <v>8</v>
      </c>
      <c r="B61" s="574"/>
      <c r="C61" s="575"/>
      <c r="D61" s="575"/>
      <c r="E61" s="576"/>
      <c r="F61" s="558" t="s">
        <v>72</v>
      </c>
      <c r="G61" s="559"/>
      <c r="H61" s="45"/>
      <c r="I61" s="45"/>
      <c r="J61" s="45"/>
      <c r="K61" s="46" t="str">
        <f>VLOOKUP($F:$F,材料单价表!$B$3:$G$42,4,0)</f>
        <v>m2</v>
      </c>
      <c r="L61" s="72"/>
      <c r="M61" s="46">
        <f>M66</f>
        <v>0.84</v>
      </c>
      <c r="N61" s="46">
        <f>VLOOKUP($F:$F,材料单价表!$B$3:$G$42,5,0)</f>
        <v>0</v>
      </c>
      <c r="O61" s="46">
        <f t="shared" si="7"/>
        <v>0</v>
      </c>
      <c r="P61" s="48"/>
      <c r="Q61" s="211"/>
      <c r="R61" s="73"/>
      <c r="S61" s="73"/>
    </row>
    <row r="62" spans="1:23" x14ac:dyDescent="0.15">
      <c r="A62" s="76">
        <v>9</v>
      </c>
      <c r="B62" s="574"/>
      <c r="C62" s="575"/>
      <c r="D62" s="575"/>
      <c r="E62" s="576"/>
      <c r="F62" s="558"/>
      <c r="G62" s="559"/>
      <c r="H62" s="45"/>
      <c r="I62" s="45"/>
      <c r="J62" s="45"/>
      <c r="K62" s="45"/>
      <c r="L62" s="72"/>
      <c r="M62" s="46"/>
      <c r="N62" s="46"/>
      <c r="O62" s="82"/>
      <c r="P62" s="48"/>
      <c r="Q62" s="211"/>
      <c r="R62" s="73"/>
      <c r="S62" s="73"/>
    </row>
    <row r="63" spans="1:23" x14ac:dyDescent="0.15">
      <c r="A63" s="74"/>
      <c r="B63" s="571"/>
      <c r="C63" s="572"/>
      <c r="D63" s="572"/>
      <c r="E63" s="573"/>
      <c r="F63" s="552" t="s">
        <v>73</v>
      </c>
      <c r="G63" s="557"/>
      <c r="H63" s="557"/>
      <c r="I63" s="557"/>
      <c r="J63" s="557"/>
      <c r="K63" s="557"/>
      <c r="L63" s="557"/>
      <c r="M63" s="61"/>
      <c r="N63" s="61"/>
      <c r="O63" s="62">
        <f>SUM(O54:O62)</f>
        <v>0</v>
      </c>
      <c r="P63" s="63" t="s">
        <v>57</v>
      </c>
      <c r="Q63" s="337"/>
      <c r="R63" s="64"/>
      <c r="S63" s="64"/>
    </row>
    <row r="64" spans="1:23" x14ac:dyDescent="0.15">
      <c r="A64" s="74"/>
      <c r="B64" s="571"/>
      <c r="C64" s="572"/>
      <c r="D64" s="572"/>
      <c r="E64" s="573"/>
      <c r="F64" s="552" t="s">
        <v>74</v>
      </c>
      <c r="G64" s="557"/>
      <c r="H64" s="557"/>
      <c r="I64" s="557"/>
      <c r="J64" s="557"/>
      <c r="K64" s="557"/>
      <c r="L64" s="557"/>
      <c r="M64" s="557"/>
      <c r="N64" s="553"/>
      <c r="O64" s="62">
        <f>O63+O52+O49+O41</f>
        <v>0</v>
      </c>
      <c r="P64" s="63" t="s">
        <v>57</v>
      </c>
      <c r="Q64" s="337"/>
      <c r="R64" s="64"/>
      <c r="S64" s="64"/>
    </row>
    <row r="65" spans="1:19" ht="24" x14ac:dyDescent="0.15">
      <c r="A65" s="65"/>
      <c r="B65" s="565" t="s">
        <v>75</v>
      </c>
      <c r="C65" s="561"/>
      <c r="D65" s="561"/>
      <c r="E65" s="566"/>
      <c r="F65" s="565" t="s">
        <v>26</v>
      </c>
      <c r="G65" s="566"/>
      <c r="H65" s="66"/>
      <c r="I65" s="66"/>
      <c r="J65" s="66"/>
      <c r="K65" s="66" t="s">
        <v>6</v>
      </c>
      <c r="L65" s="83" t="s">
        <v>61</v>
      </c>
      <c r="M65" s="66" t="s">
        <v>76</v>
      </c>
      <c r="N65" s="68" t="s">
        <v>62</v>
      </c>
      <c r="O65" s="68" t="s">
        <v>34</v>
      </c>
      <c r="P65" s="84" t="s">
        <v>57</v>
      </c>
      <c r="Q65" s="84"/>
      <c r="R65" s="67"/>
      <c r="S65" s="67"/>
    </row>
    <row r="66" spans="1:19" x14ac:dyDescent="0.15">
      <c r="A66" s="44">
        <v>1</v>
      </c>
      <c r="B66" s="574"/>
      <c r="C66" s="575"/>
      <c r="D66" s="575"/>
      <c r="E66" s="576"/>
      <c r="F66" s="545" t="s">
        <v>77</v>
      </c>
      <c r="G66" s="547"/>
      <c r="H66" s="45"/>
      <c r="I66" s="45"/>
      <c r="J66" s="46"/>
      <c r="K66" s="45" t="s">
        <v>78</v>
      </c>
      <c r="L66" s="72"/>
      <c r="M66" s="85">
        <f>O2</f>
        <v>0.84</v>
      </c>
      <c r="N66" s="46">
        <f>VLOOKUP($F:$F,材料单价表!$B$3:$G$42,5,0)</f>
        <v>0</v>
      </c>
      <c r="O66" s="46">
        <f>N66*M66</f>
        <v>0</v>
      </c>
      <c r="P66" s="48"/>
      <c r="Q66" s="211"/>
      <c r="R66" s="72"/>
      <c r="S66" s="72"/>
    </row>
    <row r="67" spans="1:19" x14ac:dyDescent="0.15">
      <c r="A67" s="44">
        <v>2</v>
      </c>
      <c r="B67" s="574"/>
      <c r="C67" s="575"/>
      <c r="D67" s="575"/>
      <c r="E67" s="576"/>
      <c r="F67" s="545" t="s">
        <v>79</v>
      </c>
      <c r="G67" s="547"/>
      <c r="H67" s="45"/>
      <c r="I67" s="45"/>
      <c r="J67" s="46"/>
      <c r="K67" s="45" t="s">
        <v>78</v>
      </c>
      <c r="L67" s="72"/>
      <c r="M67" s="85">
        <f>M66</f>
        <v>0.84</v>
      </c>
      <c r="N67" s="46">
        <f>VLOOKUP($F:$F,材料单价表!$B$3:$G$42,5,0)</f>
        <v>0</v>
      </c>
      <c r="O67" s="46">
        <f>N67*M67</f>
        <v>0</v>
      </c>
      <c r="P67" s="48"/>
      <c r="Q67" s="211"/>
      <c r="R67" s="72"/>
      <c r="S67" s="72"/>
    </row>
    <row r="68" spans="1:19" ht="24.75" customHeight="1" x14ac:dyDescent="0.15">
      <c r="A68" s="74"/>
      <c r="B68" s="571"/>
      <c r="C68" s="572"/>
      <c r="D68" s="572"/>
      <c r="E68" s="573"/>
      <c r="F68" s="552" t="s">
        <v>80</v>
      </c>
      <c r="G68" s="553"/>
      <c r="H68" s="86"/>
      <c r="I68" s="325"/>
      <c r="J68" s="554" t="s">
        <v>81</v>
      </c>
      <c r="K68" s="554"/>
      <c r="L68" s="554"/>
      <c r="M68" s="554"/>
      <c r="N68" s="87"/>
      <c r="O68" s="62">
        <f>O64+O66+O67</f>
        <v>0</v>
      </c>
      <c r="P68" s="63" t="s">
        <v>57</v>
      </c>
      <c r="Q68" s="337"/>
      <c r="R68" s="64"/>
      <c r="S68" s="64"/>
    </row>
    <row r="69" spans="1:19" ht="24" customHeight="1" x14ac:dyDescent="0.15">
      <c r="A69" s="74"/>
      <c r="B69" s="571"/>
      <c r="C69" s="572"/>
      <c r="D69" s="572"/>
      <c r="E69" s="573"/>
      <c r="F69" s="555" t="s">
        <v>82</v>
      </c>
      <c r="G69" s="556"/>
      <c r="H69" s="88"/>
      <c r="I69" s="324"/>
      <c r="J69" s="552" t="s">
        <v>81</v>
      </c>
      <c r="K69" s="557"/>
      <c r="L69" s="557"/>
      <c r="M69" s="557"/>
      <c r="N69" s="62"/>
      <c r="O69" s="62">
        <f>O68/O2</f>
        <v>0</v>
      </c>
      <c r="P69" s="89" t="s">
        <v>57</v>
      </c>
      <c r="Q69" s="89"/>
      <c r="R69" s="90"/>
      <c r="S69" s="90"/>
    </row>
    <row r="70" spans="1:19" ht="18.75" customHeight="1" x14ac:dyDescent="0.15">
      <c r="A70" s="549" t="s">
        <v>0</v>
      </c>
      <c r="B70" s="549"/>
      <c r="C70" s="549"/>
      <c r="D70" s="549"/>
      <c r="E70" s="549"/>
      <c r="F70" s="549"/>
      <c r="G70" s="549"/>
      <c r="H70" s="549"/>
      <c r="I70" s="549"/>
      <c r="J70" s="549"/>
      <c r="K70" s="549"/>
      <c r="L70" s="550"/>
      <c r="M70" s="549"/>
      <c r="N70" s="549"/>
      <c r="O70" s="549"/>
      <c r="P70" s="549"/>
      <c r="Q70" s="549"/>
      <c r="R70" s="551"/>
      <c r="S70" s="551"/>
    </row>
    <row r="71" spans="1:19" x14ac:dyDescent="0.15">
      <c r="A71" s="2" t="s">
        <v>1</v>
      </c>
      <c r="B71" s="339" t="str">
        <f>$B$2</f>
        <v>NC</v>
      </c>
      <c r="C71" s="3">
        <v>2</v>
      </c>
      <c r="D71" s="3"/>
      <c r="E71" s="3"/>
      <c r="F71" s="4" t="s">
        <v>2</v>
      </c>
      <c r="G71" s="5">
        <v>65</v>
      </c>
      <c r="H71" s="106" t="s">
        <v>126</v>
      </c>
      <c r="I71" s="106"/>
      <c r="J71" s="4" t="s">
        <v>3</v>
      </c>
      <c r="K71" s="6">
        <f>L74</f>
        <v>1700</v>
      </c>
      <c r="L71" s="7" t="s">
        <v>83</v>
      </c>
      <c r="M71" s="6">
        <f>L73</f>
        <v>1400</v>
      </c>
      <c r="N71" s="8" t="s">
        <v>4</v>
      </c>
      <c r="O71" s="9">
        <f>M83</f>
        <v>2.38</v>
      </c>
      <c r="P71" s="10"/>
      <c r="Q71" s="10"/>
      <c r="R71" s="10" t="s">
        <v>5</v>
      </c>
      <c r="S71" s="11"/>
    </row>
    <row r="72" spans="1:19" ht="14.25" x14ac:dyDescent="0.2">
      <c r="A72" s="12"/>
      <c r="B72" s="13"/>
      <c r="C72" s="13"/>
      <c r="D72" s="13"/>
      <c r="E72" s="13"/>
      <c r="F72" s="14"/>
      <c r="G72" s="14"/>
      <c r="H72" s="15"/>
      <c r="I72" s="15"/>
      <c r="J72" s="16"/>
      <c r="K72" s="16" t="s">
        <v>6</v>
      </c>
      <c r="L72" s="17" t="s">
        <v>7</v>
      </c>
      <c r="M72" s="16" t="s">
        <v>8</v>
      </c>
      <c r="N72" s="18"/>
      <c r="O72" s="548" t="s">
        <v>940</v>
      </c>
      <c r="P72" s="548"/>
      <c r="Q72" s="16" t="s">
        <v>1018</v>
      </c>
      <c r="R72" s="529" t="s">
        <v>1066</v>
      </c>
      <c r="S72" s="530" t="s">
        <v>1592</v>
      </c>
    </row>
    <row r="73" spans="1:19" ht="14.25" x14ac:dyDescent="0.2">
      <c r="A73" s="398" t="s">
        <v>1453</v>
      </c>
      <c r="B73" s="400" t="s">
        <v>1454</v>
      </c>
      <c r="C73" s="22"/>
      <c r="D73" s="22"/>
      <c r="E73" s="22"/>
      <c r="F73" s="23"/>
      <c r="G73" s="23"/>
      <c r="H73" s="107"/>
      <c r="I73" s="107"/>
      <c r="J73" s="24" t="s">
        <v>9</v>
      </c>
      <c r="K73" s="16" t="s">
        <v>10</v>
      </c>
      <c r="L73" s="25">
        <v>1400</v>
      </c>
      <c r="M73" s="113">
        <f>L73-M82*2</f>
        <v>1300</v>
      </c>
      <c r="N73" s="18"/>
      <c r="O73" s="356" t="s">
        <v>941</v>
      </c>
      <c r="P73" s="357"/>
      <c r="Q73" s="16" t="s">
        <v>1019</v>
      </c>
      <c r="R73" s="529"/>
      <c r="S73" s="530"/>
    </row>
    <row r="74" spans="1:19" ht="14.25" x14ac:dyDescent="0.2">
      <c r="A74" s="21"/>
      <c r="B74" s="22"/>
      <c r="C74" s="22"/>
      <c r="D74" s="22"/>
      <c r="E74" s="22"/>
      <c r="F74" s="23"/>
      <c r="G74" s="23"/>
      <c r="H74" s="18"/>
      <c r="I74" s="18"/>
      <c r="J74" s="24" t="s">
        <v>11</v>
      </c>
      <c r="K74" s="16" t="s">
        <v>10</v>
      </c>
      <c r="L74" s="25">
        <v>1700</v>
      </c>
      <c r="M74" s="113">
        <f>L74-M82*2</f>
        <v>1600</v>
      </c>
      <c r="N74" s="18"/>
      <c r="O74" s="356" t="s">
        <v>924</v>
      </c>
      <c r="P74" s="357"/>
      <c r="Q74" s="16" t="s">
        <v>1020</v>
      </c>
      <c r="R74" s="529" t="s">
        <v>1067</v>
      </c>
      <c r="S74" s="530" t="s">
        <v>1086</v>
      </c>
    </row>
    <row r="75" spans="1:19" ht="14.25" x14ac:dyDescent="0.2">
      <c r="A75" s="21"/>
      <c r="B75" s="22"/>
      <c r="C75" s="22"/>
      <c r="D75" s="22"/>
      <c r="E75" s="22"/>
      <c r="F75" s="23"/>
      <c r="G75" s="23"/>
      <c r="H75" s="18"/>
      <c r="I75" s="18"/>
      <c r="J75" s="24" t="s">
        <v>12</v>
      </c>
      <c r="K75" s="16" t="s">
        <v>10</v>
      </c>
      <c r="L75" s="26"/>
      <c r="M75" s="113">
        <f>M73</f>
        <v>1300</v>
      </c>
      <c r="N75" s="18"/>
      <c r="O75" s="356" t="s">
        <v>925</v>
      </c>
      <c r="P75" s="357"/>
      <c r="Q75" s="16" t="s">
        <v>1021</v>
      </c>
      <c r="R75" s="529"/>
      <c r="S75" s="530"/>
    </row>
    <row r="76" spans="1:19" ht="14.25" x14ac:dyDescent="0.2">
      <c r="A76" s="21"/>
      <c r="B76" s="22"/>
      <c r="C76" s="22"/>
      <c r="D76" s="22"/>
      <c r="E76" s="22"/>
      <c r="F76" s="23"/>
      <c r="G76" s="23"/>
      <c r="H76" s="18"/>
      <c r="I76" s="18"/>
      <c r="J76" s="24" t="s">
        <v>13</v>
      </c>
      <c r="K76" s="16" t="s">
        <v>10</v>
      </c>
      <c r="L76" s="26"/>
      <c r="M76" s="113"/>
      <c r="N76" s="18"/>
      <c r="O76" s="356" t="s">
        <v>926</v>
      </c>
      <c r="P76" s="357"/>
      <c r="Q76" s="16" t="s">
        <v>1022</v>
      </c>
      <c r="R76" s="27"/>
      <c r="S76" s="28"/>
    </row>
    <row r="77" spans="1:19" ht="14.25" x14ac:dyDescent="0.2">
      <c r="A77" s="21"/>
      <c r="B77" s="22"/>
      <c r="C77" s="22"/>
      <c r="D77" s="22"/>
      <c r="E77" s="22"/>
      <c r="F77" s="23"/>
      <c r="G77" s="23"/>
      <c r="H77" s="18"/>
      <c r="I77" s="18"/>
      <c r="J77" s="24" t="s">
        <v>14</v>
      </c>
      <c r="K77" s="16" t="s">
        <v>10</v>
      </c>
      <c r="L77" s="26"/>
      <c r="M77" s="113"/>
      <c r="N77" s="18"/>
      <c r="O77" s="356" t="s">
        <v>927</v>
      </c>
      <c r="P77" s="357"/>
      <c r="Q77" s="16" t="s">
        <v>1023</v>
      </c>
      <c r="R77" s="27"/>
      <c r="S77" s="28"/>
    </row>
    <row r="78" spans="1:19" ht="14.25" x14ac:dyDescent="0.2">
      <c r="A78" s="21"/>
      <c r="B78" s="22"/>
      <c r="C78" s="22"/>
      <c r="D78" s="22"/>
      <c r="E78" s="22"/>
      <c r="F78" s="23"/>
      <c r="G78" s="23"/>
      <c r="H78" s="18"/>
      <c r="I78" s="18"/>
      <c r="J78" s="24" t="s">
        <v>15</v>
      </c>
      <c r="K78" s="16" t="s">
        <v>10</v>
      </c>
      <c r="L78" s="26"/>
      <c r="M78" s="113">
        <f>IF(L74&lt;1501,M74/2,IF(AND(L74&lt;2001,L74&gt;1599),750))</f>
        <v>750</v>
      </c>
      <c r="N78" s="115"/>
      <c r="O78" s="356" t="s">
        <v>928</v>
      </c>
      <c r="P78" s="357"/>
      <c r="Q78" s="16" t="s">
        <v>1005</v>
      </c>
      <c r="R78" s="27"/>
      <c r="S78" s="28"/>
    </row>
    <row r="79" spans="1:19" ht="14.25" x14ac:dyDescent="0.2">
      <c r="A79" s="21"/>
      <c r="B79" s="22"/>
      <c r="C79" s="22"/>
      <c r="D79" s="22"/>
      <c r="E79" s="22"/>
      <c r="F79" s="23"/>
      <c r="G79" s="23"/>
      <c r="H79" s="18"/>
      <c r="I79" s="18"/>
      <c r="J79" s="24" t="s">
        <v>16</v>
      </c>
      <c r="K79" s="16" t="s">
        <v>10</v>
      </c>
      <c r="L79" s="26"/>
      <c r="M79" s="113">
        <f>M74-M78</f>
        <v>850</v>
      </c>
      <c r="N79" s="18"/>
      <c r="O79" s="356" t="s">
        <v>929</v>
      </c>
      <c r="P79" s="357"/>
      <c r="Q79" s="16" t="s">
        <v>1024</v>
      </c>
      <c r="R79" s="27"/>
      <c r="S79" s="28"/>
    </row>
    <row r="80" spans="1:19" ht="14.25" x14ac:dyDescent="0.2">
      <c r="A80" s="21"/>
      <c r="B80" s="22"/>
      <c r="C80" s="22"/>
      <c r="D80" s="22"/>
      <c r="E80" s="22"/>
      <c r="F80" s="23"/>
      <c r="G80" s="23"/>
      <c r="H80" s="18"/>
      <c r="I80" s="18"/>
      <c r="J80" s="24" t="s">
        <v>17</v>
      </c>
      <c r="K80" s="16" t="s">
        <v>10</v>
      </c>
      <c r="L80" s="26"/>
      <c r="M80" s="113"/>
      <c r="N80" s="18"/>
      <c r="O80" s="356" t="s">
        <v>930</v>
      </c>
      <c r="P80" s="357"/>
      <c r="Q80" s="16" t="s">
        <v>931</v>
      </c>
      <c r="R80" s="27"/>
      <c r="S80" s="28"/>
    </row>
    <row r="81" spans="1:35" ht="14.25" x14ac:dyDescent="0.2">
      <c r="A81" s="21"/>
      <c r="B81" s="22"/>
      <c r="C81" s="22"/>
      <c r="D81" s="22"/>
      <c r="E81" s="22"/>
      <c r="F81" s="23"/>
      <c r="G81" s="23"/>
      <c r="H81" s="18"/>
      <c r="I81" s="18"/>
      <c r="J81" s="24" t="s">
        <v>18</v>
      </c>
      <c r="K81" s="16" t="s">
        <v>10</v>
      </c>
      <c r="L81" s="26"/>
      <c r="M81" s="113"/>
      <c r="N81" s="18"/>
      <c r="O81" s="356" t="s">
        <v>932</v>
      </c>
      <c r="P81" s="357"/>
      <c r="Q81" s="16" t="s">
        <v>933</v>
      </c>
      <c r="R81" s="27"/>
      <c r="S81" s="28"/>
    </row>
    <row r="82" spans="1:35" ht="14.25" x14ac:dyDescent="0.2">
      <c r="A82" s="21"/>
      <c r="B82" s="22"/>
      <c r="C82" s="22"/>
      <c r="D82" s="22"/>
      <c r="E82" s="22"/>
      <c r="F82" s="23"/>
      <c r="G82" s="23"/>
      <c r="H82" s="18"/>
      <c r="I82" s="18"/>
      <c r="J82" s="24" t="s">
        <v>19</v>
      </c>
      <c r="K82" s="16" t="s">
        <v>10</v>
      </c>
      <c r="L82" s="26"/>
      <c r="M82" s="25">
        <v>50</v>
      </c>
      <c r="N82" s="18"/>
      <c r="O82" s="356" t="s">
        <v>934</v>
      </c>
      <c r="P82" s="357"/>
      <c r="Q82" s="16" t="s">
        <v>935</v>
      </c>
      <c r="R82" s="27"/>
      <c r="S82" s="28"/>
    </row>
    <row r="83" spans="1:35" ht="14.25" x14ac:dyDescent="0.2">
      <c r="A83" s="21"/>
      <c r="B83" s="22"/>
      <c r="C83" s="22"/>
      <c r="D83" s="22"/>
      <c r="E83" s="22"/>
      <c r="F83" s="23"/>
      <c r="G83" s="23"/>
      <c r="H83" s="18"/>
      <c r="I83" s="18"/>
      <c r="J83" s="29" t="s">
        <v>20</v>
      </c>
      <c r="K83" s="16" t="s">
        <v>21</v>
      </c>
      <c r="L83" s="30"/>
      <c r="M83" s="31">
        <f>L73*L74/1000000</f>
        <v>2.38</v>
      </c>
      <c r="N83" s="18"/>
      <c r="O83" s="356" t="s">
        <v>936</v>
      </c>
      <c r="P83" s="357"/>
      <c r="Q83" s="16" t="s">
        <v>937</v>
      </c>
      <c r="R83" s="27"/>
      <c r="S83" s="28"/>
    </row>
    <row r="84" spans="1:35" ht="14.25" x14ac:dyDescent="0.2">
      <c r="A84" s="32"/>
      <c r="B84" s="33"/>
      <c r="C84" s="33"/>
      <c r="D84" s="33"/>
      <c r="E84" s="33"/>
      <c r="F84" s="34"/>
      <c r="G84" s="34"/>
      <c r="H84" s="35"/>
      <c r="I84" s="35"/>
      <c r="J84" s="29" t="s">
        <v>22</v>
      </c>
      <c r="K84" s="16" t="s">
        <v>23</v>
      </c>
      <c r="L84" s="30"/>
      <c r="M84" s="36">
        <f>(L73+L74)*2/1000</f>
        <v>6.2</v>
      </c>
      <c r="N84" s="35"/>
      <c r="O84" s="356" t="s">
        <v>938</v>
      </c>
      <c r="P84" s="357"/>
      <c r="Q84" s="16" t="s">
        <v>939</v>
      </c>
      <c r="R84" s="37"/>
      <c r="S84" s="38"/>
    </row>
    <row r="85" spans="1:35" ht="36" x14ac:dyDescent="0.15">
      <c r="A85" s="39" t="s">
        <v>24</v>
      </c>
      <c r="B85" s="560" t="s">
        <v>25</v>
      </c>
      <c r="C85" s="561"/>
      <c r="D85" s="561"/>
      <c r="E85" s="562"/>
      <c r="F85" s="40" t="s">
        <v>26</v>
      </c>
      <c r="G85" s="40" t="s">
        <v>27</v>
      </c>
      <c r="H85" s="40" t="s">
        <v>28</v>
      </c>
      <c r="I85" s="40" t="s">
        <v>898</v>
      </c>
      <c r="J85" s="40" t="s">
        <v>29</v>
      </c>
      <c r="K85" s="40" t="s">
        <v>30</v>
      </c>
      <c r="L85" s="41" t="s">
        <v>31</v>
      </c>
      <c r="M85" s="40" t="s">
        <v>32</v>
      </c>
      <c r="N85" s="40" t="s">
        <v>33</v>
      </c>
      <c r="O85" s="40" t="s">
        <v>34</v>
      </c>
      <c r="P85" s="42" t="s">
        <v>35</v>
      </c>
      <c r="Q85" s="338" t="s">
        <v>875</v>
      </c>
      <c r="R85" s="43" t="s">
        <v>36</v>
      </c>
      <c r="S85" s="43" t="s">
        <v>37</v>
      </c>
      <c r="V85" s="261" t="s">
        <v>127</v>
      </c>
      <c r="W85" s="261"/>
      <c r="X85" s="273" t="s">
        <v>128</v>
      </c>
      <c r="Y85" s="261"/>
      <c r="Z85" s="273" t="s">
        <v>443</v>
      </c>
      <c r="AA85" s="261"/>
      <c r="AB85" s="273" t="s">
        <v>439</v>
      </c>
      <c r="AC85" s="261"/>
      <c r="AD85" s="273" t="s">
        <v>440</v>
      </c>
      <c r="AE85" s="261"/>
      <c r="AF85" s="273" t="s">
        <v>441</v>
      </c>
      <c r="AG85" s="261"/>
      <c r="AH85" s="273" t="s">
        <v>442</v>
      </c>
      <c r="AI85" s="261"/>
    </row>
    <row r="86" spans="1:35" x14ac:dyDescent="0.15">
      <c r="A86" s="44">
        <v>1</v>
      </c>
      <c r="B86" s="531" t="s">
        <v>38</v>
      </c>
      <c r="C86" s="532"/>
      <c r="D86" s="532"/>
      <c r="E86" s="533"/>
      <c r="F86" s="47" t="str">
        <f>VLOOKUP($H:$H,型材表!$B$5:$I$45,2,0)</f>
        <v>窗框</v>
      </c>
      <c r="G86" s="45" t="s">
        <v>39</v>
      </c>
      <c r="H86" s="45" t="str">
        <f>IF(G71=65,"SN65AK001",IF(G71=55,"SN55K001",IF(G71=551,"SN55BK001",IF(G71=60,"SN60K001",IF(G71=601,"SN60AK001",IF(G71=70,"SN70K001",IF(G71=75,"SN75K001")))))))</f>
        <v>SN65AK001</v>
      </c>
      <c r="I86" s="45" t="s">
        <v>998</v>
      </c>
      <c r="J86" s="46">
        <f>M73</f>
        <v>1300</v>
      </c>
      <c r="K86" s="45">
        <v>2</v>
      </c>
      <c r="L86" s="47">
        <f>VLOOKUP($H:$H,型材表!$B$5:$I$45,4,0)</f>
        <v>1.02</v>
      </c>
      <c r="M86" s="46">
        <f>J86*K86*L86/1000</f>
        <v>2.6520000000000001</v>
      </c>
      <c r="N86" s="72">
        <f>VLOOKUP($H:$H,型材表!$B$5:$I$45,7,0)</f>
        <v>0</v>
      </c>
      <c r="O86" s="46">
        <f>N86*M86</f>
        <v>0</v>
      </c>
      <c r="P86" s="100">
        <f>VLOOKUP($H:$H,型材表!$B$5:$I$45,5,0)</f>
        <v>0.125</v>
      </c>
      <c r="Q86" s="100" t="str">
        <f>VLOOKUP($H:$H,型材表!$B$5:$I$468,6,0)</f>
        <v>断桥隔热铝型材</v>
      </c>
      <c r="R86" s="49"/>
      <c r="S86" s="50"/>
      <c r="X86" s="264"/>
      <c r="Z86" s="264"/>
      <c r="AA86" s="259"/>
      <c r="AB86" s="264"/>
      <c r="AC86" s="259"/>
      <c r="AD86" s="264"/>
      <c r="AE86" s="259"/>
      <c r="AF86" s="264"/>
      <c r="AG86" s="259"/>
      <c r="AH86" s="264"/>
      <c r="AI86" s="259"/>
    </row>
    <row r="87" spans="1:35" x14ac:dyDescent="0.15">
      <c r="A87" s="44">
        <v>2</v>
      </c>
      <c r="B87" s="537"/>
      <c r="C87" s="538"/>
      <c r="D87" s="538"/>
      <c r="E87" s="539"/>
      <c r="F87" s="47" t="str">
        <f>VLOOKUP($H:$H,型材表!$B$5:$I$45,2,0)</f>
        <v>窗框</v>
      </c>
      <c r="G87" s="45" t="s">
        <v>40</v>
      </c>
      <c r="H87" s="45" t="str">
        <f>H86</f>
        <v>SN65AK001</v>
      </c>
      <c r="I87" s="45" t="s">
        <v>899</v>
      </c>
      <c r="J87" s="46">
        <f>M74</f>
        <v>1600</v>
      </c>
      <c r="K87" s="45">
        <v>2</v>
      </c>
      <c r="L87" s="47">
        <f>VLOOKUP($H:$H,型材表!$B$5:$I$45,4,0)</f>
        <v>1.02</v>
      </c>
      <c r="M87" s="46">
        <f t="shared" ref="M87:M90" si="8">J87*K87*L87/1000</f>
        <v>3.2639999999999998</v>
      </c>
      <c r="N87" s="72">
        <f>VLOOKUP($H:$H,型材表!$B$5:$I$45,7,0)</f>
        <v>0</v>
      </c>
      <c r="O87" s="46">
        <f t="shared" ref="O87:O88" si="9">N87*M87</f>
        <v>0</v>
      </c>
      <c r="P87" s="100">
        <f>VLOOKUP($H:$H,型材表!$B$5:$I$45,5,0)</f>
        <v>0.125</v>
      </c>
      <c r="Q87" s="100" t="str">
        <f>VLOOKUP($H:$H,型材表!$B$5:$I$468,6,0)</f>
        <v>断桥隔热铝型材</v>
      </c>
      <c r="R87" s="49"/>
      <c r="S87" s="50"/>
      <c r="X87" s="264"/>
      <c r="Z87" s="264"/>
      <c r="AA87" s="259"/>
      <c r="AB87" s="264"/>
      <c r="AC87" s="259"/>
      <c r="AD87" s="264"/>
      <c r="AE87" s="259"/>
      <c r="AF87" s="264"/>
      <c r="AG87" s="259"/>
      <c r="AH87" s="264"/>
      <c r="AI87" s="259"/>
    </row>
    <row r="88" spans="1:35" x14ac:dyDescent="0.15">
      <c r="A88" s="395">
        <v>3</v>
      </c>
      <c r="B88" s="531" t="s">
        <v>41</v>
      </c>
      <c r="C88" s="532"/>
      <c r="D88" s="532"/>
      <c r="E88" s="533"/>
      <c r="F88" s="47" t="str">
        <f>VLOOKUP($H:$H,型材表!$B$5:$I$45,2,0)</f>
        <v>窗扇</v>
      </c>
      <c r="G88" s="45" t="s">
        <v>39</v>
      </c>
      <c r="H88" s="45" t="str">
        <f>IF(G71=65,"SN65AS001",IF(G71=55,"SN55S001",IF(G71=551,"SN55BS001",IF(G71=60,"SN60S001",IF(G71=601,"SN60AS001",IF(G71=70,"SN70S001",IF(G71=75,"SN75S001")))))))</f>
        <v>SN65AS001</v>
      </c>
      <c r="I88" s="45" t="s">
        <v>1000</v>
      </c>
      <c r="J88" s="46">
        <f>IF(G71=65,M75-V88,IF(G71=55,M75-X88,IF(G71=551,M75-Z88,IF(G71=60,M75-AB88,IF(G71=601,M75-AD88,IF(G71=70,M75-AF88,IF(G71=75,M75-AH88)))))))</f>
        <v>1256</v>
      </c>
      <c r="K88" s="45">
        <v>2</v>
      </c>
      <c r="L88" s="47">
        <f>VLOOKUP($H:$H,型材表!$B$5:$I$45,4,0)</f>
        <v>1.292</v>
      </c>
      <c r="M88" s="46">
        <f t="shared" si="8"/>
        <v>3.2455039999999999</v>
      </c>
      <c r="N88" s="72">
        <f>VLOOKUP($H:$H,型材表!$B$5:$I$45,7,0)</f>
        <v>0</v>
      </c>
      <c r="O88" s="46">
        <f t="shared" si="9"/>
        <v>0</v>
      </c>
      <c r="P88" s="100">
        <f>VLOOKUP($H:$H,型材表!$B$5:$I$45,5,0)</f>
        <v>0.125</v>
      </c>
      <c r="Q88" s="100" t="str">
        <f>VLOOKUP($H:$H,型材表!$B$5:$I$468,6,0)</f>
        <v>断桥隔热铝型材</v>
      </c>
      <c r="R88" s="49"/>
      <c r="S88" s="50"/>
      <c r="U88" s="374" t="s">
        <v>1563</v>
      </c>
      <c r="V88" s="259">
        <f>22*2</f>
        <v>44</v>
      </c>
      <c r="X88" s="264">
        <f>22*2</f>
        <v>44</v>
      </c>
      <c r="Z88" s="264">
        <f>22*2</f>
        <v>44</v>
      </c>
      <c r="AA88" s="259"/>
      <c r="AB88" s="264">
        <f>22*2</f>
        <v>44</v>
      </c>
      <c r="AC88" s="259"/>
      <c r="AD88" s="264">
        <f>22*2</f>
        <v>44</v>
      </c>
      <c r="AE88" s="259"/>
      <c r="AF88" s="264">
        <f>22*2</f>
        <v>44</v>
      </c>
      <c r="AG88" s="259"/>
      <c r="AH88" s="264">
        <f>22*2</f>
        <v>44</v>
      </c>
      <c r="AI88" s="259"/>
    </row>
    <row r="89" spans="1:35" x14ac:dyDescent="0.15">
      <c r="A89" s="395">
        <v>4</v>
      </c>
      <c r="B89" s="534"/>
      <c r="C89" s="535"/>
      <c r="D89" s="535"/>
      <c r="E89" s="536"/>
      <c r="F89" s="47" t="str">
        <f>VLOOKUP($H:$H,型材表!$B$5:$I$45,2,0)</f>
        <v>窗扇</v>
      </c>
      <c r="G89" s="45" t="s">
        <v>40</v>
      </c>
      <c r="H89" s="45" t="str">
        <f>H88</f>
        <v>SN65AS001</v>
      </c>
      <c r="I89" s="45" t="s">
        <v>1011</v>
      </c>
      <c r="J89" s="46">
        <f>IF(G71=65,M78-V89,IF(G71=55,M78-X89,IF(G71=551,M78-Z89,IF(G71=60,M78-AB89,IF(G71=601,M78-AD89,IF(G71=70,M78-AF89,IF(G71=75,M78-AH89)))))))</f>
        <v>721</v>
      </c>
      <c r="K89" s="45">
        <v>2</v>
      </c>
      <c r="L89" s="47">
        <f>VLOOKUP($H:$H,型材表!$B$5:$I$45,4,0)</f>
        <v>1.292</v>
      </c>
      <c r="M89" s="46">
        <f t="shared" si="8"/>
        <v>1.8630640000000001</v>
      </c>
      <c r="N89" s="72">
        <f>VLOOKUP($H:$H,型材表!$B$5:$I$45,7,0)</f>
        <v>0</v>
      </c>
      <c r="O89" s="46">
        <f>N89*M89</f>
        <v>0</v>
      </c>
      <c r="P89" s="100">
        <f>VLOOKUP($H:$H,型材表!$B$5:$I$45,5,0)</f>
        <v>0.125</v>
      </c>
      <c r="Q89" s="100" t="str">
        <f>VLOOKUP($H:$H,型材表!$B$5:$I$468,6,0)</f>
        <v>断桥隔热铝型材</v>
      </c>
      <c r="R89" s="49"/>
      <c r="S89" s="50"/>
      <c r="U89" s="374" t="s">
        <v>1567</v>
      </c>
      <c r="V89" s="259">
        <f>22+7</f>
        <v>29</v>
      </c>
      <c r="X89" s="264">
        <f>22+7</f>
        <v>29</v>
      </c>
      <c r="Z89" s="264">
        <f>22+7</f>
        <v>29</v>
      </c>
      <c r="AA89" s="259"/>
      <c r="AB89" s="264">
        <f>22+7</f>
        <v>29</v>
      </c>
      <c r="AC89" s="259"/>
      <c r="AD89" s="264">
        <f>22+7</f>
        <v>29</v>
      </c>
      <c r="AE89" s="259"/>
      <c r="AF89" s="264">
        <f>22+7</f>
        <v>29</v>
      </c>
      <c r="AG89" s="259"/>
      <c r="AH89" s="264">
        <f>22+7</f>
        <v>29</v>
      </c>
      <c r="AI89" s="259"/>
    </row>
    <row r="90" spans="1:35" x14ac:dyDescent="0.15">
      <c r="A90" s="395">
        <v>5</v>
      </c>
      <c r="B90" s="534"/>
      <c r="C90" s="535"/>
      <c r="D90" s="535"/>
      <c r="E90" s="536"/>
      <c r="F90" s="47" t="str">
        <f>VLOOKUP($H:$H,型材表!$B$5:$I$45,2,0)</f>
        <v>中梃</v>
      </c>
      <c r="G90" s="45"/>
      <c r="H90" s="116" t="str">
        <f>IF(G71=65,"SN65AT001",IF(G71=55,"SN55T001",IF(G71=551,"SN55BT001",IF(G71=60,"SN60T001",IF(G71=601,"SN60AT001",IF(G71=70,"SN70T001",IF(G71=75,"SN75T001")))))))</f>
        <v>SN65AT001</v>
      </c>
      <c r="I90" s="45" t="s">
        <v>1012</v>
      </c>
      <c r="J90" s="46">
        <f>IF(G71=65,M75-V90,IF(G71=55,M75-X90,IF(G71=551,M75-Z90,IF(G71=60,M75-AB90,IF(G71=601,M75-AD90,IF(G71=70,M75-AF90,IF(G71=75,M75-AH90)))))))</f>
        <v>1254</v>
      </c>
      <c r="K90" s="45">
        <v>1</v>
      </c>
      <c r="L90" s="47">
        <f>VLOOKUP($H:$H,型材表!$B$5:$I$45,4,0)</f>
        <v>1.214</v>
      </c>
      <c r="M90" s="46">
        <f t="shared" si="8"/>
        <v>1.522356</v>
      </c>
      <c r="N90" s="72">
        <f>VLOOKUP($H:$H,型材表!$B$5:$I$45,7,0)</f>
        <v>0</v>
      </c>
      <c r="O90" s="46">
        <f>N90*M90</f>
        <v>0</v>
      </c>
      <c r="P90" s="100">
        <f>VLOOKUP($H:$H,型材表!$B$5:$I$45,5,0)</f>
        <v>0.125</v>
      </c>
      <c r="Q90" s="100" t="str">
        <f>VLOOKUP($H:$H,型材表!$B$5:$I$468,6,0)</f>
        <v>断桥隔热铝型材</v>
      </c>
      <c r="R90" s="49"/>
      <c r="S90" s="50"/>
      <c r="U90" s="374" t="s">
        <v>1568</v>
      </c>
      <c r="V90" s="259">
        <f>23*2</f>
        <v>46</v>
      </c>
      <c r="X90" s="264">
        <f>23*2</f>
        <v>46</v>
      </c>
      <c r="Z90" s="264">
        <f>23*2</f>
        <v>46</v>
      </c>
      <c r="AA90" s="259"/>
      <c r="AB90" s="264">
        <f>23*2</f>
        <v>46</v>
      </c>
      <c r="AC90" s="259"/>
      <c r="AD90" s="264">
        <f>23*2</f>
        <v>46</v>
      </c>
      <c r="AE90" s="259"/>
      <c r="AF90" s="264">
        <f>23*2</f>
        <v>46</v>
      </c>
      <c r="AG90" s="259"/>
      <c r="AH90" s="264">
        <f>23*2</f>
        <v>46</v>
      </c>
      <c r="AI90" s="259"/>
    </row>
    <row r="91" spans="1:35" x14ac:dyDescent="0.15">
      <c r="A91" s="395">
        <v>6</v>
      </c>
      <c r="B91" s="537"/>
      <c r="C91" s="538"/>
      <c r="D91" s="538"/>
      <c r="E91" s="539"/>
      <c r="F91" s="47"/>
      <c r="G91" s="45"/>
      <c r="H91" s="45"/>
      <c r="I91" s="45"/>
      <c r="J91" s="46"/>
      <c r="K91" s="45"/>
      <c r="L91" s="47"/>
      <c r="M91" s="46"/>
      <c r="N91" s="72"/>
      <c r="O91" s="46"/>
      <c r="P91" s="100"/>
      <c r="Q91" s="100"/>
      <c r="R91" s="49"/>
      <c r="S91" s="50"/>
      <c r="X91" s="264"/>
      <c r="Z91" s="264"/>
      <c r="AA91" s="259"/>
      <c r="AB91" s="264"/>
      <c r="AC91" s="259"/>
      <c r="AD91" s="264"/>
      <c r="AE91" s="259"/>
      <c r="AF91" s="264"/>
      <c r="AG91" s="259"/>
      <c r="AH91" s="264"/>
      <c r="AI91" s="259"/>
    </row>
    <row r="92" spans="1:35" x14ac:dyDescent="0.15">
      <c r="A92" s="395">
        <v>7</v>
      </c>
      <c r="B92" s="531" t="s">
        <v>42</v>
      </c>
      <c r="C92" s="532"/>
      <c r="D92" s="532"/>
      <c r="E92" s="533"/>
      <c r="F92" s="47" t="str">
        <f>VLOOKUP($H:$H,型材表!$B$5:$I$45,2,0)</f>
        <v>压线</v>
      </c>
      <c r="G92" s="45" t="s">
        <v>39</v>
      </c>
      <c r="H92" s="45" t="str">
        <f>IF(G71=65,"SN65AY002",IF(G71=55,"SN55Y002",IF(G71=551,"SN55BY002",IF(G71=60,"SN60Y002",IF(G71=601,"SN60Y002",IF(G71=70,"SN70Y002",IF(G71=75,"SN75Y002")))))))</f>
        <v>SN65AY002</v>
      </c>
      <c r="I92" s="45" t="s">
        <v>1003</v>
      </c>
      <c r="J92" s="46">
        <f>IF(G71=65,M75-V92,IF(G71=55,M75-X92,IF(G71=551,M75-Z92,IF(G71=60,M75-AB92,IF(G71=601,M75-AD92,IF(G71=70,M75-AF92,IF(G71=75,M75-AH92)))))))</f>
        <v>1180.4000000000001</v>
      </c>
      <c r="K92" s="45">
        <v>2</v>
      </c>
      <c r="L92" s="47">
        <f>VLOOKUP($H:$H,型材表!$B$5:$I$45,4,0)</f>
        <v>0.20399999999999999</v>
      </c>
      <c r="M92" s="46">
        <f t="shared" ref="M92:M100" si="10">J92*K92*L92/1000</f>
        <v>0.48160320000000001</v>
      </c>
      <c r="N92" s="72">
        <f>VLOOKUP($H:$H,型材表!$B$5:$I$45,7,0)</f>
        <v>0</v>
      </c>
      <c r="O92" s="46">
        <f t="shared" ref="O92:O100" si="11">N92*M92</f>
        <v>0</v>
      </c>
      <c r="P92" s="100">
        <f>VLOOKUP($H:$H,型材表!$B$5:$I$45,5,0)</f>
        <v>0.125</v>
      </c>
      <c r="Q92" s="100" t="str">
        <f>VLOOKUP($H:$H,型材表!$B$5:$I$468,6,0)</f>
        <v>非断桥隔热铝型材</v>
      </c>
      <c r="R92" s="49"/>
      <c r="S92" s="50"/>
      <c r="U92" s="374" t="s">
        <v>989</v>
      </c>
      <c r="V92" s="259">
        <f>59.8*2</f>
        <v>119.6</v>
      </c>
      <c r="X92" s="286">
        <f>59.8*2</f>
        <v>119.6</v>
      </c>
      <c r="Z92" s="286">
        <f>59.8*2</f>
        <v>119.6</v>
      </c>
      <c r="AA92" s="259"/>
      <c r="AB92" s="286">
        <f>59.8*2</f>
        <v>119.6</v>
      </c>
      <c r="AC92" s="259"/>
      <c r="AD92" s="286">
        <f>59.8*2</f>
        <v>119.6</v>
      </c>
      <c r="AE92" s="259"/>
      <c r="AF92" s="286">
        <f>59.8*2</f>
        <v>119.6</v>
      </c>
      <c r="AG92" s="259"/>
      <c r="AH92" s="286">
        <f>59.8*2</f>
        <v>119.6</v>
      </c>
      <c r="AI92" s="259"/>
    </row>
    <row r="93" spans="1:35" x14ac:dyDescent="0.15">
      <c r="A93" s="395">
        <v>8</v>
      </c>
      <c r="B93" s="534"/>
      <c r="C93" s="535"/>
      <c r="D93" s="535"/>
      <c r="E93" s="536"/>
      <c r="F93" s="47" t="str">
        <f>VLOOKUP($H:$H,型材表!$B$5:$I$45,2,0)</f>
        <v>压线</v>
      </c>
      <c r="G93" s="45" t="s">
        <v>39</v>
      </c>
      <c r="H93" s="207" t="str">
        <f>H92</f>
        <v>SN65AY002</v>
      </c>
      <c r="I93" s="45" t="s">
        <v>1013</v>
      </c>
      <c r="J93" s="208">
        <f>IF(G71=65,M75-V93,IF(G71=55,M75-X93,IF(G71=551,M75-Z93,IF(G71=60,M75-AB93,IF(G71=601,M75-AD93,IF(G71=70,M75-AF93,IF(G71=75,M75-AH93)))))))</f>
        <v>1254</v>
      </c>
      <c r="K93" s="45">
        <v>2</v>
      </c>
      <c r="L93" s="47">
        <f>VLOOKUP($H:$H,型材表!$B$5:$I$45,4,0)</f>
        <v>0.20399999999999999</v>
      </c>
      <c r="M93" s="46">
        <f t="shared" ref="M93:M94" si="12">J93*K93*L93/1000</f>
        <v>0.51163199999999998</v>
      </c>
      <c r="N93" s="72">
        <f>VLOOKUP($H:$H,型材表!$B$5:$I$45,7,0)</f>
        <v>0</v>
      </c>
      <c r="O93" s="46">
        <f t="shared" ref="O93:O94" si="13">N93*M93</f>
        <v>0</v>
      </c>
      <c r="P93" s="100">
        <f>VLOOKUP($H:$H,型材表!$B$5:$I$45,5,0)</f>
        <v>0.125</v>
      </c>
      <c r="Q93" s="100" t="str">
        <f>VLOOKUP($H:$H,型材表!$B$5:$I$468,6,0)</f>
        <v>非断桥隔热铝型材</v>
      </c>
      <c r="R93" s="210"/>
      <c r="S93" s="50"/>
      <c r="U93" s="374" t="s">
        <v>990</v>
      </c>
      <c r="V93" s="259">
        <f>23*2</f>
        <v>46</v>
      </c>
      <c r="X93" s="286">
        <f>23*2</f>
        <v>46</v>
      </c>
      <c r="Z93" s="286">
        <f>23*2</f>
        <v>46</v>
      </c>
      <c r="AA93" s="259"/>
      <c r="AB93" s="286">
        <f>23*2</f>
        <v>46</v>
      </c>
      <c r="AC93" s="259"/>
      <c r="AD93" s="286">
        <f>23*2</f>
        <v>46</v>
      </c>
      <c r="AE93" s="259"/>
      <c r="AF93" s="286">
        <f>23*2</f>
        <v>46</v>
      </c>
      <c r="AG93" s="259"/>
      <c r="AH93" s="286">
        <f>23*2</f>
        <v>46</v>
      </c>
      <c r="AI93" s="259"/>
    </row>
    <row r="94" spans="1:35" x14ac:dyDescent="0.15">
      <c r="A94" s="395">
        <v>9</v>
      </c>
      <c r="B94" s="534"/>
      <c r="C94" s="535"/>
      <c r="D94" s="535"/>
      <c r="E94" s="536"/>
      <c r="F94" s="47" t="str">
        <f>VLOOKUP($H:$H,型材表!$B$5:$I$45,2,0)</f>
        <v>压线</v>
      </c>
      <c r="G94" s="45" t="s">
        <v>40</v>
      </c>
      <c r="H94" s="207" t="str">
        <f>H93</f>
        <v>SN65AY002</v>
      </c>
      <c r="I94" s="45" t="s">
        <v>1016</v>
      </c>
      <c r="J94" s="208">
        <f>IF(G71=65,M78-V94,IF(G71=55,M78-X94,IF(G71=551,M78-Z94,IF(G71=60,M78-AB94,IF(G71=601,M78-AD94,IF(G71=70,M78-AF94,IF(G71=75,M78-AH94)))))))</f>
        <v>645.4</v>
      </c>
      <c r="K94" s="45">
        <v>2</v>
      </c>
      <c r="L94" s="47">
        <f>VLOOKUP($H:$H,型材表!$B$5:$I$45,4,0)</f>
        <v>0.20399999999999999</v>
      </c>
      <c r="M94" s="46">
        <f t="shared" si="12"/>
        <v>0.26332319999999998</v>
      </c>
      <c r="N94" s="72">
        <f>VLOOKUP($H:$H,型材表!$B$5:$I$45,7,0)</f>
        <v>0</v>
      </c>
      <c r="O94" s="46">
        <f t="shared" si="13"/>
        <v>0</v>
      </c>
      <c r="P94" s="100">
        <f>VLOOKUP($H:$H,型材表!$B$5:$I$45,5,0)</f>
        <v>0.125</v>
      </c>
      <c r="Q94" s="100" t="str">
        <f>VLOOKUP($H:$H,型材表!$B$5:$I$468,6,0)</f>
        <v>非断桥隔热铝型材</v>
      </c>
      <c r="R94" s="210"/>
      <c r="S94" s="50"/>
      <c r="U94" s="374" t="s">
        <v>1030</v>
      </c>
      <c r="V94" s="259">
        <f>59.8+44.8</f>
        <v>104.6</v>
      </c>
      <c r="X94" s="286">
        <f>59.8+44.8</f>
        <v>104.6</v>
      </c>
      <c r="Z94" s="286">
        <f>59.8+44.8</f>
        <v>104.6</v>
      </c>
      <c r="AA94" s="259"/>
      <c r="AB94" s="286">
        <f>59.8+44.8</f>
        <v>104.6</v>
      </c>
      <c r="AC94" s="259"/>
      <c r="AD94" s="286">
        <f>59.8+44.8</f>
        <v>104.6</v>
      </c>
      <c r="AE94" s="259"/>
      <c r="AF94" s="286">
        <f>59.8+44.8</f>
        <v>104.6</v>
      </c>
      <c r="AG94" s="259"/>
      <c r="AH94" s="286">
        <f>59.8+44.8</f>
        <v>104.6</v>
      </c>
      <c r="AI94" s="259"/>
    </row>
    <row r="95" spans="1:35" x14ac:dyDescent="0.15">
      <c r="A95" s="395">
        <v>10</v>
      </c>
      <c r="B95" s="537"/>
      <c r="C95" s="538"/>
      <c r="D95" s="538"/>
      <c r="E95" s="539"/>
      <c r="F95" s="47" t="str">
        <f>VLOOKUP($H:$H,型材表!$B$5:$I$45,2,0)</f>
        <v>压线</v>
      </c>
      <c r="G95" s="45" t="s">
        <v>40</v>
      </c>
      <c r="H95" s="45" t="str">
        <f>H92</f>
        <v>SN65AY002</v>
      </c>
      <c r="I95" s="45" t="s">
        <v>1017</v>
      </c>
      <c r="J95" s="46">
        <f>IF(G71=65,M79-V95,IF(G71=55,M79-X95,IF(G71=551,M79-Z95,IF(G71=60,M79-AB95,IF(G71=601,M79-AD95,IF(G71=70,M79-AF95,IF(G71=75,M79-AH95)))))))</f>
        <v>819</v>
      </c>
      <c r="K95" s="45">
        <v>2</v>
      </c>
      <c r="L95" s="47">
        <f>VLOOKUP($H:$H,型材表!$B$5:$I$45,4,0)</f>
        <v>0.20399999999999999</v>
      </c>
      <c r="M95" s="46">
        <f t="shared" si="10"/>
        <v>0.334152</v>
      </c>
      <c r="N95" s="72">
        <f>VLOOKUP($H:$H,型材表!$B$5:$I$45,7,0)</f>
        <v>0</v>
      </c>
      <c r="O95" s="46">
        <f t="shared" si="11"/>
        <v>0</v>
      </c>
      <c r="P95" s="100">
        <f>VLOOKUP($H:$H,型材表!$B$5:$I$45,5,0)</f>
        <v>0.125</v>
      </c>
      <c r="Q95" s="100" t="str">
        <f>VLOOKUP($H:$H,型材表!$B$5:$I$468,6,0)</f>
        <v>非断桥隔热铝型材</v>
      </c>
      <c r="R95" s="49"/>
      <c r="S95" s="50"/>
      <c r="U95" s="374" t="s">
        <v>993</v>
      </c>
      <c r="V95" s="275">
        <f>8+23</f>
        <v>31</v>
      </c>
      <c r="X95" s="276">
        <f>8+23</f>
        <v>31</v>
      </c>
      <c r="Z95" s="276">
        <f>8+23</f>
        <v>31</v>
      </c>
      <c r="AA95" s="259"/>
      <c r="AB95" s="276">
        <f>8+23</f>
        <v>31</v>
      </c>
      <c r="AC95" s="259"/>
      <c r="AD95" s="276">
        <f>8+23</f>
        <v>31</v>
      </c>
      <c r="AE95" s="259"/>
      <c r="AF95" s="276">
        <f>8+23</f>
        <v>31</v>
      </c>
      <c r="AG95" s="259"/>
      <c r="AH95" s="276">
        <f>8+23</f>
        <v>31</v>
      </c>
      <c r="AI95" s="259"/>
    </row>
    <row r="96" spans="1:35" x14ac:dyDescent="0.15">
      <c r="A96" s="395">
        <v>11</v>
      </c>
      <c r="B96" s="531" t="s">
        <v>44</v>
      </c>
      <c r="C96" s="532"/>
      <c r="D96" s="532"/>
      <c r="E96" s="533"/>
      <c r="F96" s="47" t="str">
        <f>VLOOKUP($H:$H,型材表!$B$5:$I$45,2,0)</f>
        <v>角码</v>
      </c>
      <c r="G96" s="51" t="s">
        <v>446</v>
      </c>
      <c r="H96" s="45" t="str">
        <f>IF(G71=65,"SW55F001","SN55F003")</f>
        <v>SW55F001</v>
      </c>
      <c r="I96" s="45" t="s">
        <v>1006</v>
      </c>
      <c r="J96" s="52">
        <f>IF(G71=65,V96,IF(G71=55,X96,IF(G71=551,Z96,IF(G71=60,AB96,IF(G71=601,AD96,IF(G71=70,AF96,IF(G71=75,AH96)))))))</f>
        <v>32.200000000000003</v>
      </c>
      <c r="K96" s="45">
        <f>K86*2</f>
        <v>4</v>
      </c>
      <c r="L96" s="47">
        <f>VLOOKUP($H:$H,型材表!$B$5:$I$45,4,0)</f>
        <v>2.0950000000000002</v>
      </c>
      <c r="M96" s="46">
        <f t="shared" si="10"/>
        <v>0.26983600000000008</v>
      </c>
      <c r="N96" s="72">
        <f>VLOOKUP($H:$H,型材表!$B$5:$I$45,7,0)</f>
        <v>0</v>
      </c>
      <c r="O96" s="46">
        <f t="shared" si="11"/>
        <v>0</v>
      </c>
      <c r="P96" s="100">
        <f>VLOOKUP($H:$H,型材表!$B$5:$I$45,5,0)</f>
        <v>0.125</v>
      </c>
      <c r="Q96" s="100" t="str">
        <f>VLOOKUP($H:$H,型材表!$B$5:$I$468,6,0)</f>
        <v>阳极氧化铝型材</v>
      </c>
      <c r="R96" s="49"/>
      <c r="S96" s="50"/>
      <c r="U96" s="374" t="s">
        <v>994</v>
      </c>
      <c r="V96" s="259">
        <f>19.5-1+14.7-1</f>
        <v>32.200000000000003</v>
      </c>
      <c r="X96" s="264">
        <f>19.5-1+14.7-1</f>
        <v>32.200000000000003</v>
      </c>
      <c r="Y96" s="265"/>
      <c r="Z96" s="264">
        <f>19.5-1+10.9-1</f>
        <v>28.4</v>
      </c>
      <c r="AA96" s="277"/>
      <c r="AB96" s="264">
        <f>19.5-1+14.7-1</f>
        <v>32.200000000000003</v>
      </c>
      <c r="AC96" s="277"/>
      <c r="AD96" s="264">
        <f>19.5-1+10.9-1</f>
        <v>28.4</v>
      </c>
      <c r="AE96" s="277"/>
      <c r="AF96" s="264">
        <f>19.5-1+14.7-1</f>
        <v>32.200000000000003</v>
      </c>
      <c r="AG96" s="277"/>
      <c r="AH96" s="264">
        <f>19.5-1+14.7-1</f>
        <v>32.200000000000003</v>
      </c>
      <c r="AI96" s="259"/>
    </row>
    <row r="97" spans="1:35" x14ac:dyDescent="0.15">
      <c r="A97" s="395">
        <v>12</v>
      </c>
      <c r="B97" s="534"/>
      <c r="C97" s="535"/>
      <c r="D97" s="535"/>
      <c r="E97" s="536"/>
      <c r="F97" s="47" t="str">
        <f>VLOOKUP($H:$H,型材表!$B$5:$I$45,2,0)</f>
        <v>角码</v>
      </c>
      <c r="G97" s="51" t="s">
        <v>447</v>
      </c>
      <c r="H97" s="45" t="str">
        <f>IF(G71=65,"SN55F003","SN55F003")</f>
        <v>SN55F003</v>
      </c>
      <c r="I97" s="45" t="s">
        <v>995</v>
      </c>
      <c r="J97" s="52">
        <f>V97</f>
        <v>27.1</v>
      </c>
      <c r="K97" s="45">
        <f>K88*2</f>
        <v>4</v>
      </c>
      <c r="L97" s="47">
        <f>VLOOKUP($H:$H,型材表!$B$5:$I$45,4,0)</f>
        <v>1.7490000000000001</v>
      </c>
      <c r="M97" s="46">
        <f t="shared" si="10"/>
        <v>0.18959160000000003</v>
      </c>
      <c r="N97" s="72">
        <f>VLOOKUP($H:$H,型材表!$B$5:$I$45,7,0)</f>
        <v>0</v>
      </c>
      <c r="O97" s="46">
        <f t="shared" si="11"/>
        <v>0</v>
      </c>
      <c r="P97" s="100">
        <f>VLOOKUP($H:$H,型材表!$B$5:$I$45,5,0)</f>
        <v>0.125</v>
      </c>
      <c r="Q97" s="100" t="str">
        <f>VLOOKUP($H:$H,型材表!$B$5:$I$468,6,0)</f>
        <v>阳极氧化铝型材</v>
      </c>
      <c r="R97" s="49"/>
      <c r="S97" s="50"/>
      <c r="U97" s="374" t="s">
        <v>995</v>
      </c>
      <c r="V97" s="259">
        <f>28.1-1</f>
        <v>27.1</v>
      </c>
      <c r="X97" s="264"/>
      <c r="Z97" s="264"/>
      <c r="AA97" s="259"/>
      <c r="AB97" s="264"/>
      <c r="AC97" s="259"/>
      <c r="AD97" s="264"/>
      <c r="AE97" s="259"/>
      <c r="AF97" s="264"/>
      <c r="AG97" s="259"/>
      <c r="AH97" s="264"/>
      <c r="AI97" s="259"/>
    </row>
    <row r="98" spans="1:35" x14ac:dyDescent="0.15">
      <c r="A98" s="395">
        <v>13</v>
      </c>
      <c r="B98" s="534"/>
      <c r="C98" s="535"/>
      <c r="D98" s="535"/>
      <c r="E98" s="536"/>
      <c r="F98" s="47" t="str">
        <f>VLOOKUP($H:$H,型材表!$B$5:$I$45,2,0)</f>
        <v>角码</v>
      </c>
      <c r="G98" s="51" t="s">
        <v>447</v>
      </c>
      <c r="H98" s="45" t="str">
        <f>IF(G71=70,"SW50F002",IF(G71=75,"SW50F002","SN55F003"))</f>
        <v>SN55F003</v>
      </c>
      <c r="I98" s="45" t="s">
        <v>996</v>
      </c>
      <c r="J98" s="52">
        <f>IF(G71=65,V98,IF(G71=55,X98,IF(G71=551,Z98,IF(G71=60,AB98,IF(G71=601,AD98,IF(G71=70,AF98,IF(G71=75,AH98)))))))</f>
        <v>8</v>
      </c>
      <c r="K98" s="45">
        <f>K97</f>
        <v>4</v>
      </c>
      <c r="L98" s="47">
        <f>VLOOKUP($H:$H,型材表!$B$5:$I$45,4,0)</f>
        <v>1.7490000000000001</v>
      </c>
      <c r="M98" s="46">
        <f t="shared" ref="M98" si="14">J98*K98*L98/1000</f>
        <v>5.5968000000000004E-2</v>
      </c>
      <c r="N98" s="72">
        <f>VLOOKUP($H:$H,型材表!$B$5:$I$45,7,0)</f>
        <v>0</v>
      </c>
      <c r="O98" s="46">
        <f t="shared" ref="O98" si="15">N98*M98</f>
        <v>0</v>
      </c>
      <c r="P98" s="100">
        <f>VLOOKUP($H:$H,型材表!$B$5:$I$45,5,0)</f>
        <v>0.125</v>
      </c>
      <c r="Q98" s="100" t="str">
        <f>VLOOKUP($H:$H,型材表!$B$5:$I$468,6,0)</f>
        <v>阳极氧化铝型材</v>
      </c>
      <c r="R98" s="49"/>
      <c r="S98" s="50"/>
      <c r="U98" s="374" t="s">
        <v>996</v>
      </c>
      <c r="V98" s="259">
        <f>9-1</f>
        <v>8</v>
      </c>
      <c r="X98" s="264">
        <f>9-1</f>
        <v>8</v>
      </c>
      <c r="Y98" s="265"/>
      <c r="Z98" s="264">
        <f>5.2-1</f>
        <v>4.2</v>
      </c>
      <c r="AA98" s="277"/>
      <c r="AB98" s="264">
        <f>9-1</f>
        <v>8</v>
      </c>
      <c r="AC98" s="277"/>
      <c r="AD98" s="264">
        <f>5.2-1</f>
        <v>4.2</v>
      </c>
      <c r="AE98" s="277"/>
      <c r="AF98" s="264">
        <f>9-1</f>
        <v>8</v>
      </c>
      <c r="AG98" s="277"/>
      <c r="AH98" s="264">
        <f>9-1</f>
        <v>8</v>
      </c>
      <c r="AI98" s="259"/>
    </row>
    <row r="99" spans="1:35" x14ac:dyDescent="0.15">
      <c r="A99" s="395">
        <v>14</v>
      </c>
      <c r="B99" s="534"/>
      <c r="C99" s="535"/>
      <c r="D99" s="535"/>
      <c r="E99" s="536"/>
      <c r="F99" s="47" t="str">
        <f>VLOOKUP($H:$H,型材表!$B$5:$I$45,2,0)</f>
        <v>中梃角码</v>
      </c>
      <c r="G99" s="51"/>
      <c r="H99" s="45" t="str">
        <f>IF(G71=65,"SN55F001","SN55F001")</f>
        <v>SN55F001</v>
      </c>
      <c r="I99" s="45" t="s">
        <v>997</v>
      </c>
      <c r="J99" s="52">
        <f>V99</f>
        <v>18.5</v>
      </c>
      <c r="K99" s="45">
        <v>2</v>
      </c>
      <c r="L99" s="47">
        <f>VLOOKUP($H:$H,型材表!$B$5:$I$45,4,0)</f>
        <v>1.4730000000000001</v>
      </c>
      <c r="M99" s="46">
        <f t="shared" si="10"/>
        <v>5.4501000000000008E-2</v>
      </c>
      <c r="N99" s="72">
        <f>VLOOKUP($H:$H,型材表!$B$5:$I$45,7,0)</f>
        <v>0</v>
      </c>
      <c r="O99" s="46">
        <f t="shared" si="11"/>
        <v>0</v>
      </c>
      <c r="P99" s="100">
        <f>VLOOKUP($H:$H,型材表!$B$5:$I$45,5,0)</f>
        <v>0.125</v>
      </c>
      <c r="Q99" s="100" t="str">
        <f>VLOOKUP($H:$H,型材表!$B$5:$I$468,6,0)</f>
        <v>阳极氧化铝型材</v>
      </c>
      <c r="R99" s="49"/>
      <c r="S99" s="50"/>
      <c r="U99" s="374" t="s">
        <v>997</v>
      </c>
      <c r="V99" s="259">
        <f>19.5-1</f>
        <v>18.5</v>
      </c>
      <c r="X99" s="264"/>
      <c r="Z99" s="264"/>
      <c r="AA99" s="259"/>
      <c r="AB99" s="264"/>
      <c r="AC99" s="259"/>
      <c r="AD99" s="264"/>
      <c r="AE99" s="259"/>
      <c r="AF99" s="264"/>
      <c r="AG99" s="259"/>
      <c r="AH99" s="264"/>
      <c r="AI99" s="259"/>
    </row>
    <row r="100" spans="1:35" x14ac:dyDescent="0.15">
      <c r="A100" s="395">
        <v>15</v>
      </c>
      <c r="B100" s="537"/>
      <c r="C100" s="538"/>
      <c r="D100" s="538"/>
      <c r="E100" s="539"/>
      <c r="F100" s="47" t="str">
        <f>VLOOKUP($H:$H,型材表!$B$5:$I$45,2,0)</f>
        <v>中梃角码</v>
      </c>
      <c r="G100" s="53"/>
      <c r="H100" s="45" t="str">
        <f>IF(G71=70,"SN70F001",IF(G71=75,"SN70F001",IF(G71=551,"SN55BF001",IF(G71=601,"SN55BF001","SN55F002"))))</f>
        <v>SN55F002</v>
      </c>
      <c r="I100" s="45" t="s">
        <v>939</v>
      </c>
      <c r="J100" s="52">
        <f>V100</f>
        <v>13.5</v>
      </c>
      <c r="K100" s="55">
        <f>K99</f>
        <v>2</v>
      </c>
      <c r="L100" s="47">
        <f>VLOOKUP($H:$H,型材表!$B$5:$I$45,4,0)</f>
        <v>0.90400000000000003</v>
      </c>
      <c r="M100" s="46">
        <f t="shared" si="10"/>
        <v>2.4408000000000003E-2</v>
      </c>
      <c r="N100" s="72">
        <f>VLOOKUP($H:$H,型材表!$B$5:$I$45,7,0)</f>
        <v>0</v>
      </c>
      <c r="O100" s="46">
        <f t="shared" si="11"/>
        <v>0</v>
      </c>
      <c r="P100" s="100">
        <f>VLOOKUP($H:$H,型材表!$B$5:$I$45,5,0)</f>
        <v>0.125</v>
      </c>
      <c r="Q100" s="100" t="str">
        <f>VLOOKUP($H:$H,型材表!$B$5:$I$468,6,0)</f>
        <v>阳极氧化铝型材</v>
      </c>
      <c r="R100" s="49"/>
      <c r="S100" s="50"/>
      <c r="U100" s="374" t="s">
        <v>939</v>
      </c>
      <c r="V100" s="259">
        <f>14.5-1</f>
        <v>13.5</v>
      </c>
      <c r="X100" s="264"/>
      <c r="Z100" s="264"/>
      <c r="AA100" s="259"/>
      <c r="AB100" s="264"/>
      <c r="AC100" s="259"/>
      <c r="AD100" s="264"/>
      <c r="AE100" s="259"/>
      <c r="AF100" s="264"/>
      <c r="AG100" s="259"/>
      <c r="AH100" s="264"/>
      <c r="AI100" s="259"/>
    </row>
    <row r="101" spans="1:35" x14ac:dyDescent="0.15">
      <c r="A101" s="395">
        <v>16</v>
      </c>
      <c r="B101" s="387"/>
      <c r="C101" s="388"/>
      <c r="D101" s="388"/>
      <c r="E101" s="389"/>
      <c r="F101" s="306"/>
      <c r="G101" s="53"/>
      <c r="H101" s="207"/>
      <c r="I101" s="207"/>
      <c r="J101" s="214"/>
      <c r="K101" s="55"/>
      <c r="L101" s="306"/>
      <c r="M101" s="208"/>
      <c r="N101" s="432"/>
      <c r="O101" s="208"/>
      <c r="P101" s="433"/>
      <c r="Q101" s="360"/>
      <c r="R101" s="60"/>
      <c r="S101" s="50"/>
      <c r="X101" s="264"/>
      <c r="Z101" s="264"/>
      <c r="AA101" s="259"/>
      <c r="AB101" s="264"/>
      <c r="AC101" s="259"/>
      <c r="AD101" s="264"/>
      <c r="AE101" s="259"/>
      <c r="AF101" s="264"/>
      <c r="AG101" s="259"/>
      <c r="AH101" s="264"/>
      <c r="AI101" s="259"/>
    </row>
    <row r="102" spans="1:35" x14ac:dyDescent="0.15">
      <c r="A102" s="395">
        <v>17</v>
      </c>
      <c r="B102" s="387"/>
      <c r="C102" s="388"/>
      <c r="D102" s="388"/>
      <c r="E102" s="389"/>
      <c r="F102" s="306"/>
      <c r="G102" s="53"/>
      <c r="H102" s="207"/>
      <c r="I102" s="207"/>
      <c r="J102" s="214"/>
      <c r="K102" s="55"/>
      <c r="L102" s="306"/>
      <c r="M102" s="208"/>
      <c r="N102" s="432"/>
      <c r="O102" s="208"/>
      <c r="P102" s="433"/>
      <c r="Q102" s="360"/>
      <c r="R102" s="60"/>
      <c r="S102" s="50"/>
      <c r="X102" s="264"/>
      <c r="Z102" s="264"/>
      <c r="AA102" s="259"/>
      <c r="AB102" s="264"/>
      <c r="AC102" s="259"/>
      <c r="AD102" s="264"/>
      <c r="AE102" s="259"/>
      <c r="AF102" s="264"/>
      <c r="AG102" s="259"/>
      <c r="AH102" s="264"/>
      <c r="AI102" s="259"/>
    </row>
    <row r="103" spans="1:35" x14ac:dyDescent="0.15">
      <c r="A103" s="395">
        <v>18</v>
      </c>
      <c r="B103" s="387"/>
      <c r="C103" s="388"/>
      <c r="D103" s="388"/>
      <c r="E103" s="389"/>
      <c r="F103" s="306"/>
      <c r="G103" s="53"/>
      <c r="H103" s="207"/>
      <c r="I103" s="207"/>
      <c r="J103" s="214"/>
      <c r="K103" s="55"/>
      <c r="L103" s="306"/>
      <c r="M103" s="208"/>
      <c r="N103" s="432"/>
      <c r="O103" s="208"/>
      <c r="P103" s="433"/>
      <c r="Q103" s="360"/>
      <c r="R103" s="60"/>
      <c r="S103" s="50"/>
      <c r="X103" s="264"/>
      <c r="Z103" s="264"/>
      <c r="AA103" s="259"/>
      <c r="AB103" s="264"/>
      <c r="AC103" s="259"/>
      <c r="AD103" s="264"/>
      <c r="AE103" s="259"/>
      <c r="AF103" s="264"/>
      <c r="AG103" s="259"/>
      <c r="AH103" s="264"/>
      <c r="AI103" s="259"/>
    </row>
    <row r="104" spans="1:35" x14ac:dyDescent="0.15">
      <c r="A104" s="395">
        <v>19</v>
      </c>
      <c r="B104" s="387"/>
      <c r="C104" s="388"/>
      <c r="D104" s="388"/>
      <c r="E104" s="389"/>
      <c r="F104" s="306"/>
      <c r="G104" s="53"/>
      <c r="H104" s="207"/>
      <c r="I104" s="207"/>
      <c r="J104" s="214"/>
      <c r="K104" s="55"/>
      <c r="L104" s="306"/>
      <c r="M104" s="208"/>
      <c r="N104" s="432"/>
      <c r="O104" s="208"/>
      <c r="P104" s="433"/>
      <c r="Q104" s="360"/>
      <c r="R104" s="60"/>
      <c r="S104" s="50"/>
      <c r="X104" s="264"/>
      <c r="Z104" s="264"/>
      <c r="AA104" s="259"/>
      <c r="AB104" s="264"/>
      <c r="AC104" s="259"/>
      <c r="AD104" s="264"/>
      <c r="AE104" s="259"/>
      <c r="AF104" s="264"/>
      <c r="AG104" s="259"/>
      <c r="AH104" s="264"/>
      <c r="AI104" s="259"/>
    </row>
    <row r="105" spans="1:35" x14ac:dyDescent="0.15">
      <c r="A105" s="395">
        <v>20</v>
      </c>
      <c r="B105" s="387"/>
      <c r="C105" s="388"/>
      <c r="D105" s="388"/>
      <c r="E105" s="389"/>
      <c r="F105" s="306"/>
      <c r="G105" s="53"/>
      <c r="H105" s="207"/>
      <c r="I105" s="207"/>
      <c r="J105" s="214"/>
      <c r="K105" s="55"/>
      <c r="L105" s="306"/>
      <c r="M105" s="208"/>
      <c r="N105" s="432"/>
      <c r="O105" s="208"/>
      <c r="P105" s="433"/>
      <c r="Q105" s="360"/>
      <c r="R105" s="60"/>
      <c r="S105" s="50"/>
      <c r="X105" s="264"/>
      <c r="Z105" s="264"/>
      <c r="AA105" s="259"/>
      <c r="AB105" s="264"/>
      <c r="AC105" s="259"/>
      <c r="AD105" s="264"/>
      <c r="AE105" s="259"/>
      <c r="AF105" s="264"/>
      <c r="AG105" s="259"/>
      <c r="AH105" s="264"/>
      <c r="AI105" s="259"/>
    </row>
    <row r="106" spans="1:35" x14ac:dyDescent="0.15">
      <c r="A106" s="395">
        <v>21</v>
      </c>
      <c r="B106" s="387"/>
      <c r="C106" s="388"/>
      <c r="D106" s="388"/>
      <c r="E106" s="389"/>
      <c r="F106" s="306"/>
      <c r="G106" s="53"/>
      <c r="H106" s="207"/>
      <c r="I106" s="207"/>
      <c r="J106" s="214"/>
      <c r="K106" s="55"/>
      <c r="L106" s="306"/>
      <c r="M106" s="208"/>
      <c r="N106" s="432"/>
      <c r="O106" s="208"/>
      <c r="P106" s="433"/>
      <c r="Q106" s="360"/>
      <c r="R106" s="60"/>
      <c r="S106" s="50"/>
      <c r="X106" s="264"/>
      <c r="Z106" s="264"/>
      <c r="AA106" s="259"/>
      <c r="AB106" s="264"/>
      <c r="AC106" s="259"/>
      <c r="AD106" s="264"/>
      <c r="AE106" s="259"/>
      <c r="AF106" s="264"/>
      <c r="AG106" s="259"/>
      <c r="AH106" s="264"/>
      <c r="AI106" s="259"/>
    </row>
    <row r="107" spans="1:35" x14ac:dyDescent="0.15">
      <c r="A107" s="563" t="s">
        <v>877</v>
      </c>
      <c r="B107" s="563"/>
      <c r="C107" s="563"/>
      <c r="D107" s="564"/>
      <c r="E107" s="564"/>
      <c r="F107" s="563"/>
      <c r="G107" s="563"/>
      <c r="H107" s="563"/>
      <c r="I107" s="563"/>
      <c r="J107" s="563"/>
      <c r="K107" s="563"/>
      <c r="L107" s="563"/>
      <c r="M107" s="46">
        <f>SUMIF($Q$86:$Q$100,A107,$M$86:$M$100)</f>
        <v>12.546924000000001</v>
      </c>
      <c r="N107" s="58"/>
      <c r="O107" s="46"/>
      <c r="P107" s="59"/>
      <c r="Q107" s="336"/>
      <c r="R107" s="60"/>
      <c r="S107" s="50"/>
      <c r="X107" s="264"/>
      <c r="Z107" s="264"/>
      <c r="AA107" s="259"/>
      <c r="AB107" s="264"/>
      <c r="AC107" s="259"/>
      <c r="AD107" s="264"/>
      <c r="AE107" s="259"/>
      <c r="AF107" s="264"/>
      <c r="AG107" s="259"/>
      <c r="AH107" s="264"/>
      <c r="AI107" s="259"/>
    </row>
    <row r="108" spans="1:35" x14ac:dyDescent="0.15">
      <c r="A108" s="563" t="s">
        <v>879</v>
      </c>
      <c r="B108" s="563"/>
      <c r="C108" s="563"/>
      <c r="D108" s="564"/>
      <c r="E108" s="564"/>
      <c r="F108" s="563"/>
      <c r="G108" s="563"/>
      <c r="H108" s="563"/>
      <c r="I108" s="563"/>
      <c r="J108" s="563"/>
      <c r="K108" s="563"/>
      <c r="L108" s="563"/>
      <c r="M108" s="46">
        <f>SUMIF($Q$86:$Q$100,A108,$M$86:$M$100)</f>
        <v>1.5907103999999999</v>
      </c>
      <c r="N108" s="58"/>
      <c r="O108" s="46"/>
      <c r="P108" s="59"/>
      <c r="Q108" s="336"/>
      <c r="R108" s="60"/>
      <c r="S108" s="50"/>
      <c r="X108" s="264"/>
      <c r="Z108" s="264"/>
      <c r="AA108" s="259"/>
      <c r="AB108" s="264"/>
      <c r="AC108" s="259"/>
      <c r="AD108" s="264"/>
      <c r="AE108" s="259"/>
      <c r="AF108" s="264"/>
      <c r="AG108" s="259"/>
      <c r="AH108" s="264"/>
      <c r="AI108" s="259"/>
    </row>
    <row r="109" spans="1:35" x14ac:dyDescent="0.15">
      <c r="A109" s="563" t="s">
        <v>880</v>
      </c>
      <c r="B109" s="563"/>
      <c r="C109" s="563"/>
      <c r="D109" s="564"/>
      <c r="E109" s="564"/>
      <c r="F109" s="563"/>
      <c r="G109" s="563"/>
      <c r="H109" s="563"/>
      <c r="I109" s="563"/>
      <c r="J109" s="563"/>
      <c r="K109" s="563"/>
      <c r="L109" s="563"/>
      <c r="M109" s="46">
        <f>SUMIF($Q$86:$Q$100,A109,$M$86:$M$100)</f>
        <v>0.59430460000000007</v>
      </c>
      <c r="N109" s="58"/>
      <c r="O109" s="46"/>
      <c r="P109" s="59"/>
      <c r="Q109" s="336"/>
      <c r="R109" s="60"/>
      <c r="S109" s="50"/>
      <c r="X109" s="264"/>
      <c r="Z109" s="264"/>
      <c r="AA109" s="259"/>
      <c r="AB109" s="264"/>
      <c r="AC109" s="259"/>
      <c r="AD109" s="264"/>
      <c r="AE109" s="259"/>
      <c r="AF109" s="264"/>
      <c r="AG109" s="259"/>
      <c r="AH109" s="264"/>
      <c r="AI109" s="259"/>
    </row>
    <row r="110" spans="1:35" x14ac:dyDescent="0.15">
      <c r="A110" s="61"/>
      <c r="B110" s="552"/>
      <c r="C110" s="557"/>
      <c r="D110" s="557"/>
      <c r="E110" s="553"/>
      <c r="F110" s="552" t="s">
        <v>48</v>
      </c>
      <c r="G110" s="557"/>
      <c r="H110" s="557"/>
      <c r="I110" s="557"/>
      <c r="J110" s="557"/>
      <c r="K110" s="557"/>
      <c r="L110" s="553"/>
      <c r="M110" s="62">
        <f>SUM(M107:M109)</f>
        <v>14.731939000000001</v>
      </c>
      <c r="N110" s="63"/>
      <c r="O110" s="62">
        <f>SUM(O86:O100)</f>
        <v>0</v>
      </c>
      <c r="P110" s="63"/>
      <c r="Q110" s="337"/>
      <c r="R110" s="64"/>
      <c r="S110" s="64"/>
      <c r="X110" s="264"/>
      <c r="Z110" s="264"/>
      <c r="AA110" s="259"/>
      <c r="AB110" s="264"/>
      <c r="AC110" s="259"/>
      <c r="AD110" s="264"/>
      <c r="AE110" s="259"/>
      <c r="AF110" s="264"/>
      <c r="AG110" s="259"/>
      <c r="AH110" s="264"/>
      <c r="AI110" s="259"/>
    </row>
    <row r="111" spans="1:35" ht="24" x14ac:dyDescent="0.15">
      <c r="A111" s="65"/>
      <c r="B111" s="565" t="s">
        <v>49</v>
      </c>
      <c r="C111" s="561"/>
      <c r="D111" s="561"/>
      <c r="E111" s="566"/>
      <c r="F111" s="565" t="s">
        <v>26</v>
      </c>
      <c r="G111" s="566"/>
      <c r="H111" s="66" t="s">
        <v>1007</v>
      </c>
      <c r="I111" s="66" t="s">
        <v>1008</v>
      </c>
      <c r="J111" s="66" t="s">
        <v>50</v>
      </c>
      <c r="K111" s="66" t="s">
        <v>51</v>
      </c>
      <c r="L111" s="67" t="s">
        <v>30</v>
      </c>
      <c r="M111" s="66" t="s">
        <v>52</v>
      </c>
      <c r="N111" s="68" t="s">
        <v>53</v>
      </c>
      <c r="O111" s="68" t="s">
        <v>34</v>
      </c>
      <c r="P111" s="69" t="s">
        <v>35</v>
      </c>
      <c r="Q111" s="338"/>
      <c r="R111" s="67"/>
      <c r="S111" s="67"/>
      <c r="V111" s="270" t="s">
        <v>352</v>
      </c>
      <c r="W111" s="270" t="s">
        <v>353</v>
      </c>
      <c r="X111" s="271" t="s">
        <v>352</v>
      </c>
      <c r="Y111" s="272" t="s">
        <v>353</v>
      </c>
      <c r="Z111" s="271" t="s">
        <v>352</v>
      </c>
      <c r="AA111" s="272" t="s">
        <v>353</v>
      </c>
      <c r="AB111" s="271" t="s">
        <v>352</v>
      </c>
      <c r="AC111" s="272" t="s">
        <v>353</v>
      </c>
      <c r="AD111" s="271" t="s">
        <v>352</v>
      </c>
      <c r="AE111" s="272" t="s">
        <v>353</v>
      </c>
      <c r="AF111" s="271" t="s">
        <v>352</v>
      </c>
      <c r="AG111" s="272" t="s">
        <v>353</v>
      </c>
      <c r="AH111" s="271" t="s">
        <v>352</v>
      </c>
      <c r="AI111" s="272" t="s">
        <v>353</v>
      </c>
    </row>
    <row r="112" spans="1:35" ht="17.25" customHeight="1" x14ac:dyDescent="0.15">
      <c r="A112" s="44">
        <v>1</v>
      </c>
      <c r="B112" s="545" t="s">
        <v>133</v>
      </c>
      <c r="C112" s="546"/>
      <c r="D112" s="546"/>
      <c r="E112" s="547"/>
      <c r="F112" s="545" t="s">
        <v>55</v>
      </c>
      <c r="G112" s="547"/>
      <c r="H112" s="45" t="s">
        <v>1027</v>
      </c>
      <c r="I112" s="45" t="s">
        <v>1010</v>
      </c>
      <c r="J112" s="46">
        <f>IF(G71=65,M78-V112,IF(G71=55,M78-X112,IF(G71=551,M78-Z112,IF(G71=60,M78-AB112,IF(G71=601,M78-AD112,IF(G71=70,M78-AF112,IF(G71=75,AH112-X112)))))))</f>
        <v>625</v>
      </c>
      <c r="K112" s="70">
        <f>IF(G71=65,M75-W112,IF(G71=55,M75-Y112,IF(G71=551,M75-AA112,IF(G71=60,M75-AC112,IF(G71=601,M75-AE112,IF(G71=70,M75-AG112,IF(G71=75,M75-AI112)))))))</f>
        <v>1160</v>
      </c>
      <c r="L112" s="70">
        <v>1</v>
      </c>
      <c r="M112" s="46">
        <f>J112*K112*L112/1000000</f>
        <v>0.72499999999999998</v>
      </c>
      <c r="N112" s="46"/>
      <c r="O112" s="46">
        <f>N112*M112</f>
        <v>0</v>
      </c>
      <c r="P112" s="71"/>
      <c r="Q112" s="240"/>
      <c r="R112" s="72"/>
      <c r="S112" s="72"/>
      <c r="T112" s="456" t="s">
        <v>1595</v>
      </c>
      <c r="U112" s="374" t="s">
        <v>1594</v>
      </c>
      <c r="V112" s="259">
        <f>70+55</f>
        <v>125</v>
      </c>
      <c r="W112" s="259">
        <f>70*2</f>
        <v>140</v>
      </c>
      <c r="X112" s="264">
        <f>72+57</f>
        <v>129</v>
      </c>
      <c r="Y112" s="259">
        <f>72*2</f>
        <v>144</v>
      </c>
      <c r="Z112" s="264">
        <f>72+57</f>
        <v>129</v>
      </c>
      <c r="AA112" s="259">
        <f>72*2</f>
        <v>144</v>
      </c>
      <c r="AB112" s="264">
        <f>72+57</f>
        <v>129</v>
      </c>
      <c r="AC112" s="259">
        <f>72*2</f>
        <v>144</v>
      </c>
      <c r="AD112" s="264">
        <f>72+57</f>
        <v>129</v>
      </c>
      <c r="AE112" s="259">
        <f>72*2</f>
        <v>144</v>
      </c>
      <c r="AF112" s="264">
        <f>72+57</f>
        <v>129</v>
      </c>
      <c r="AG112" s="259">
        <f>72*2</f>
        <v>144</v>
      </c>
      <c r="AH112" s="264">
        <f>72+57</f>
        <v>129</v>
      </c>
      <c r="AI112" s="259">
        <f>72*2</f>
        <v>144</v>
      </c>
    </row>
    <row r="113" spans="1:35" x14ac:dyDescent="0.15">
      <c r="A113" s="44">
        <v>2</v>
      </c>
      <c r="B113" s="545" t="s">
        <v>885</v>
      </c>
      <c r="C113" s="546"/>
      <c r="D113" s="546"/>
      <c r="E113" s="547"/>
      <c r="F113" s="545" t="s">
        <v>135</v>
      </c>
      <c r="G113" s="547"/>
      <c r="H113" s="45" t="s">
        <v>1028</v>
      </c>
      <c r="I113" s="45" t="s">
        <v>1029</v>
      </c>
      <c r="J113" s="46">
        <f>IF(G71=65,M79-V113,IF(G71=55,M79-X113,IF(G71=551,M79-Z113,IF(G71=60,M79-AB113,IF(G71=601,M79-AD113,IF(G71=70,M79-AF113,IF(G71=75,M79-AH113)))))))</f>
        <v>799</v>
      </c>
      <c r="K113" s="70">
        <f>IF(G71=65,M75-W113,IF(G71=55,M75-Y113,IF(G71=551,M75-AA113,IF(G71=60,M75-AC113,IF(G71=601,M75-AE113,IF(G71=70,M75-AG113,IF(G71=75,M75-AI113)))))))</f>
        <v>1234</v>
      </c>
      <c r="L113" s="70">
        <v>1</v>
      </c>
      <c r="M113" s="46">
        <f>J113*K113*L113/1000000</f>
        <v>0.98596600000000001</v>
      </c>
      <c r="N113" s="46"/>
      <c r="O113" s="46">
        <f>N113*M113</f>
        <v>0</v>
      </c>
      <c r="P113" s="71"/>
      <c r="Q113" s="240"/>
      <c r="R113" s="72"/>
      <c r="S113" s="72"/>
      <c r="T113" s="456" t="s">
        <v>1596</v>
      </c>
      <c r="U113" s="374" t="s">
        <v>1597</v>
      </c>
      <c r="V113" s="259">
        <f>18+33</f>
        <v>51</v>
      </c>
      <c r="W113" s="259">
        <f>33*2</f>
        <v>66</v>
      </c>
      <c r="X113" s="264">
        <f>20+35</f>
        <v>55</v>
      </c>
      <c r="Y113" s="259">
        <f>35*2</f>
        <v>70</v>
      </c>
      <c r="Z113" s="264">
        <f>20+35</f>
        <v>55</v>
      </c>
      <c r="AA113" s="259">
        <f>35*2</f>
        <v>70</v>
      </c>
      <c r="AB113" s="264">
        <f>20+35</f>
        <v>55</v>
      </c>
      <c r="AC113" s="259">
        <f>35*2</f>
        <v>70</v>
      </c>
      <c r="AD113" s="264">
        <f>20+35</f>
        <v>55</v>
      </c>
      <c r="AE113" s="259">
        <f>35*2</f>
        <v>70</v>
      </c>
      <c r="AF113" s="264">
        <f>20+35</f>
        <v>55</v>
      </c>
      <c r="AG113" s="259">
        <f>35*2</f>
        <v>70</v>
      </c>
      <c r="AH113" s="264">
        <f>20+35</f>
        <v>55</v>
      </c>
      <c r="AI113" s="259">
        <f>35*2</f>
        <v>70</v>
      </c>
    </row>
    <row r="114" spans="1:35" x14ac:dyDescent="0.15">
      <c r="A114" s="44"/>
      <c r="B114" s="545"/>
      <c r="C114" s="546"/>
      <c r="D114" s="546"/>
      <c r="E114" s="547"/>
      <c r="F114" s="545"/>
      <c r="G114" s="547"/>
      <c r="H114" s="45"/>
      <c r="I114" s="45"/>
      <c r="J114" s="46"/>
      <c r="K114" s="44"/>
      <c r="L114" s="70"/>
      <c r="M114" s="46"/>
      <c r="N114" s="46"/>
      <c r="O114" s="46"/>
      <c r="P114" s="48"/>
      <c r="Q114" s="211"/>
      <c r="R114" s="73"/>
      <c r="S114" s="73"/>
    </row>
    <row r="115" spans="1:35" x14ac:dyDescent="0.15">
      <c r="A115" s="396"/>
      <c r="B115" s="434"/>
      <c r="C115" s="435"/>
      <c r="D115" s="435"/>
      <c r="E115" s="436"/>
      <c r="F115" s="434"/>
      <c r="G115" s="436"/>
      <c r="H115" s="207"/>
      <c r="I115" s="207"/>
      <c r="J115" s="208"/>
      <c r="K115" s="396"/>
      <c r="L115" s="239"/>
      <c r="M115" s="208"/>
      <c r="N115" s="208"/>
      <c r="O115" s="208"/>
      <c r="P115" s="437"/>
      <c r="Q115" s="336"/>
      <c r="R115" s="117"/>
      <c r="S115" s="117"/>
    </row>
    <row r="116" spans="1:35" x14ac:dyDescent="0.15">
      <c r="A116" s="396"/>
      <c r="B116" s="434"/>
      <c r="C116" s="435"/>
      <c r="D116" s="435"/>
      <c r="E116" s="436"/>
      <c r="F116" s="434"/>
      <c r="G116" s="436"/>
      <c r="H116" s="207"/>
      <c r="I116" s="207"/>
      <c r="J116" s="208"/>
      <c r="K116" s="396"/>
      <c r="L116" s="239"/>
      <c r="M116" s="208"/>
      <c r="N116" s="208"/>
      <c r="O116" s="208"/>
      <c r="P116" s="437"/>
      <c r="Q116" s="336"/>
      <c r="R116" s="117"/>
      <c r="S116" s="117"/>
    </row>
    <row r="117" spans="1:35" x14ac:dyDescent="0.15">
      <c r="A117" s="396"/>
      <c r="B117" s="434"/>
      <c r="C117" s="435"/>
      <c r="D117" s="435"/>
      <c r="E117" s="436"/>
      <c r="F117" s="434"/>
      <c r="G117" s="436"/>
      <c r="H117" s="207"/>
      <c r="I117" s="207"/>
      <c r="J117" s="208"/>
      <c r="K117" s="396"/>
      <c r="L117" s="239"/>
      <c r="M117" s="208"/>
      <c r="N117" s="208"/>
      <c r="O117" s="208"/>
      <c r="P117" s="437"/>
      <c r="Q117" s="336"/>
      <c r="R117" s="117"/>
      <c r="S117" s="117"/>
    </row>
    <row r="118" spans="1:35" x14ac:dyDescent="0.15">
      <c r="A118" s="74"/>
      <c r="B118" s="552"/>
      <c r="C118" s="557"/>
      <c r="D118" s="557"/>
      <c r="E118" s="553"/>
      <c r="F118" s="554" t="s">
        <v>56</v>
      </c>
      <c r="G118" s="554"/>
      <c r="H118" s="554"/>
      <c r="I118" s="554"/>
      <c r="J118" s="570"/>
      <c r="K118" s="570"/>
      <c r="L118" s="554"/>
      <c r="M118" s="62">
        <f>SUM(M112:M117)</f>
        <v>1.710966</v>
      </c>
      <c r="N118" s="75"/>
      <c r="O118" s="62">
        <f>SUM(O112:O117)</f>
        <v>0</v>
      </c>
      <c r="P118" s="63" t="s">
        <v>57</v>
      </c>
      <c r="Q118" s="337"/>
      <c r="R118" s="64"/>
      <c r="S118" s="64"/>
    </row>
    <row r="119" spans="1:35" ht="24" x14ac:dyDescent="0.15">
      <c r="A119" s="65"/>
      <c r="B119" s="565" t="s">
        <v>58</v>
      </c>
      <c r="C119" s="561"/>
      <c r="D119" s="561"/>
      <c r="E119" s="566"/>
      <c r="F119" s="565" t="s">
        <v>26</v>
      </c>
      <c r="G119" s="566"/>
      <c r="H119" s="66" t="s">
        <v>59</v>
      </c>
      <c r="I119" s="66"/>
      <c r="J119" s="66" t="s">
        <v>60</v>
      </c>
      <c r="K119" s="66" t="s">
        <v>6</v>
      </c>
      <c r="L119" s="67" t="s">
        <v>61</v>
      </c>
      <c r="M119" s="66" t="s">
        <v>30</v>
      </c>
      <c r="N119" s="68" t="s">
        <v>62</v>
      </c>
      <c r="O119" s="68" t="s">
        <v>34</v>
      </c>
      <c r="P119" s="69" t="s">
        <v>57</v>
      </c>
      <c r="Q119" s="338"/>
      <c r="R119" s="67"/>
      <c r="S119" s="67"/>
    </row>
    <row r="120" spans="1:35" ht="25.5" customHeight="1" x14ac:dyDescent="0.15">
      <c r="A120" s="44">
        <v>1</v>
      </c>
      <c r="B120" s="545"/>
      <c r="C120" s="546"/>
      <c r="D120" s="546"/>
      <c r="E120" s="547"/>
      <c r="F120" s="545" t="s">
        <v>63</v>
      </c>
      <c r="G120" s="547"/>
      <c r="H120" s="45"/>
      <c r="I120" s="45"/>
      <c r="J120" s="45"/>
      <c r="K120" s="46" t="str">
        <f>VLOOKUP($F:$F,材料单价表!$B$3:$G$42,4,0)</f>
        <v>套</v>
      </c>
      <c r="L120" s="72"/>
      <c r="M120" s="46">
        <v>1</v>
      </c>
      <c r="N120" s="46">
        <f>VLOOKUP($F:$F,材料单价表!$B$3:$G$42,5,0)</f>
        <v>0</v>
      </c>
      <c r="O120" s="46">
        <f t="shared" ref="O120" si="16">N120*M120</f>
        <v>0</v>
      </c>
      <c r="P120" s="48"/>
      <c r="Q120" s="211"/>
      <c r="R120" s="73"/>
      <c r="S120" s="73"/>
    </row>
    <row r="121" spans="1:35" x14ac:dyDescent="0.15">
      <c r="A121" s="74"/>
      <c r="B121" s="552"/>
      <c r="C121" s="557"/>
      <c r="D121" s="557"/>
      <c r="E121" s="553"/>
      <c r="F121" s="554" t="s">
        <v>64</v>
      </c>
      <c r="G121" s="554"/>
      <c r="H121" s="554"/>
      <c r="I121" s="554"/>
      <c r="J121" s="570"/>
      <c r="K121" s="570"/>
      <c r="L121" s="554"/>
      <c r="M121" s="62">
        <f>M120</f>
        <v>1</v>
      </c>
      <c r="N121" s="75"/>
      <c r="O121" s="62">
        <f>SUM(O120:O120)</f>
        <v>0</v>
      </c>
      <c r="P121" s="63" t="s">
        <v>57</v>
      </c>
      <c r="Q121" s="337"/>
      <c r="R121" s="64"/>
      <c r="S121" s="64"/>
    </row>
    <row r="122" spans="1:35" ht="24" x14ac:dyDescent="0.15">
      <c r="A122" s="65"/>
      <c r="B122" s="565" t="s">
        <v>65</v>
      </c>
      <c r="C122" s="561"/>
      <c r="D122" s="561"/>
      <c r="E122" s="566"/>
      <c r="F122" s="565" t="s">
        <v>26</v>
      </c>
      <c r="G122" s="566"/>
      <c r="H122" s="66" t="s">
        <v>59</v>
      </c>
      <c r="I122" s="66"/>
      <c r="J122" s="66" t="s">
        <v>60</v>
      </c>
      <c r="K122" s="66" t="s">
        <v>6</v>
      </c>
      <c r="L122" s="67" t="s">
        <v>61</v>
      </c>
      <c r="M122" s="66" t="s">
        <v>30</v>
      </c>
      <c r="N122" s="68" t="s">
        <v>62</v>
      </c>
      <c r="O122" s="68" t="s">
        <v>34</v>
      </c>
      <c r="P122" s="69" t="s">
        <v>57</v>
      </c>
      <c r="Q122" s="338"/>
      <c r="R122" s="67"/>
      <c r="S122" s="67"/>
    </row>
    <row r="123" spans="1:35" ht="13.5" customHeight="1" x14ac:dyDescent="0.15">
      <c r="A123" s="76">
        <v>1</v>
      </c>
      <c r="B123" s="545"/>
      <c r="C123" s="546"/>
      <c r="D123" s="546"/>
      <c r="E123" s="547"/>
      <c r="F123" s="558" t="s">
        <v>66</v>
      </c>
      <c r="G123" s="559"/>
      <c r="H123" s="78"/>
      <c r="I123" s="78"/>
      <c r="J123" s="77"/>
      <c r="K123" s="46" t="str">
        <f>VLOOKUP($F:$F,材料单价表!$B$3:$G$42,4,0)</f>
        <v>m</v>
      </c>
      <c r="L123" s="46"/>
      <c r="M123" s="80">
        <f>M84</f>
        <v>6.2</v>
      </c>
      <c r="N123" s="46">
        <f>VLOOKUP($F:$F,材料单价表!$B$3:$G$42,5,0)</f>
        <v>0</v>
      </c>
      <c r="O123" s="46">
        <f>N123*M123</f>
        <v>0</v>
      </c>
      <c r="P123" s="48"/>
      <c r="Q123" s="59"/>
      <c r="R123" s="81"/>
      <c r="S123" s="79"/>
    </row>
    <row r="124" spans="1:35" ht="15.75" customHeight="1" x14ac:dyDescent="0.15">
      <c r="A124" s="76">
        <v>2</v>
      </c>
      <c r="B124" s="545"/>
      <c r="C124" s="546"/>
      <c r="D124" s="546"/>
      <c r="E124" s="547"/>
      <c r="F124" s="558" t="s">
        <v>68</v>
      </c>
      <c r="G124" s="559"/>
      <c r="H124" s="78" t="s">
        <v>67</v>
      </c>
      <c r="I124" s="78"/>
      <c r="J124" s="77"/>
      <c r="K124" s="46" t="str">
        <f>VLOOKUP($F:$F,材料单价表!$B$3:$G$42,4,0)</f>
        <v>m</v>
      </c>
      <c r="L124" s="46"/>
      <c r="M124" s="80">
        <f>(J92*K92+J95*K95+J93*K93+J94*K94)/1000*2</f>
        <v>15.5952</v>
      </c>
      <c r="N124" s="46">
        <f>VLOOKUP($F:$F,材料单价表!$B$3:$G$42,5,0)</f>
        <v>0</v>
      </c>
      <c r="O124" s="46">
        <f t="shared" ref="O124:O130" si="17">N124*M124</f>
        <v>0</v>
      </c>
      <c r="P124" s="48"/>
      <c r="Q124" s="59"/>
      <c r="R124" s="81"/>
      <c r="S124" s="79"/>
      <c r="V124" s="104"/>
      <c r="W124" s="104"/>
    </row>
    <row r="125" spans="1:35" ht="13.5" customHeight="1" x14ac:dyDescent="0.15">
      <c r="A125" s="76">
        <v>3</v>
      </c>
      <c r="B125" s="545"/>
      <c r="C125" s="546"/>
      <c r="D125" s="546"/>
      <c r="E125" s="547"/>
      <c r="F125" s="558" t="s">
        <v>68</v>
      </c>
      <c r="G125" s="559"/>
      <c r="H125" s="78" t="s">
        <v>69</v>
      </c>
      <c r="I125" s="78"/>
      <c r="J125" s="77"/>
      <c r="K125" s="46" t="str">
        <f>VLOOKUP($F:$F,材料单价表!$B$3:$G$42,4,0)</f>
        <v>m</v>
      </c>
      <c r="L125" s="46"/>
      <c r="M125" s="80">
        <f>M84</f>
        <v>6.2</v>
      </c>
      <c r="N125" s="46">
        <f>VLOOKUP($F:$F,材料单价表!$B$3:$G$42,5,0)</f>
        <v>0</v>
      </c>
      <c r="O125" s="46">
        <f t="shared" si="17"/>
        <v>0</v>
      </c>
      <c r="P125" s="48"/>
      <c r="Q125" s="59"/>
      <c r="R125" s="81"/>
      <c r="S125" s="79"/>
      <c r="V125" s="104"/>
      <c r="W125" s="104"/>
    </row>
    <row r="126" spans="1:35" ht="13.5" customHeight="1" x14ac:dyDescent="0.15">
      <c r="A126" s="76">
        <v>4</v>
      </c>
      <c r="B126" s="545"/>
      <c r="C126" s="546"/>
      <c r="D126" s="546"/>
      <c r="E126" s="547"/>
      <c r="F126" s="558" t="s">
        <v>68</v>
      </c>
      <c r="G126" s="559"/>
      <c r="H126" s="78" t="s">
        <v>70</v>
      </c>
      <c r="I126" s="78"/>
      <c r="J126" s="77"/>
      <c r="K126" s="46" t="str">
        <f>VLOOKUP($F:$F,材料单价表!$B$3:$G$42,4,0)</f>
        <v>m</v>
      </c>
      <c r="L126" s="46"/>
      <c r="M126" s="80">
        <f>M84</f>
        <v>6.2</v>
      </c>
      <c r="N126" s="46">
        <f>VLOOKUP($F:$F,材料单价表!$B$3:$G$42,5,0)</f>
        <v>0</v>
      </c>
      <c r="O126" s="46">
        <f t="shared" si="17"/>
        <v>0</v>
      </c>
      <c r="P126" s="48"/>
      <c r="Q126" s="59"/>
      <c r="R126" s="81"/>
      <c r="S126" s="79"/>
      <c r="V126" s="104"/>
      <c r="W126" s="104"/>
    </row>
    <row r="127" spans="1:35" ht="13.5" customHeight="1" x14ac:dyDescent="0.15">
      <c r="A127" s="76">
        <v>5</v>
      </c>
      <c r="B127" s="545"/>
      <c r="C127" s="546"/>
      <c r="D127" s="546"/>
      <c r="E127" s="547"/>
      <c r="F127" s="558" t="s">
        <v>71</v>
      </c>
      <c r="G127" s="559"/>
      <c r="H127" s="78"/>
      <c r="I127" s="78"/>
      <c r="J127" s="77"/>
      <c r="K127" s="46" t="str">
        <f>VLOOKUP($F:$F,材料单价表!$B$3:$G$42,4,0)</f>
        <v>个</v>
      </c>
      <c r="L127" s="79"/>
      <c r="M127" s="80">
        <f>K96+K97+K99</f>
        <v>10</v>
      </c>
      <c r="N127" s="46">
        <f>VLOOKUP($F:$F,材料单价表!$B$3:$G$42,5,0)</f>
        <v>0</v>
      </c>
      <c r="O127" s="46">
        <f t="shared" si="17"/>
        <v>0</v>
      </c>
      <c r="P127" s="48"/>
      <c r="Q127" s="59"/>
      <c r="R127" s="81"/>
      <c r="S127" s="79"/>
    </row>
    <row r="128" spans="1:35" ht="13.5" customHeight="1" x14ac:dyDescent="0.15">
      <c r="A128" s="76">
        <v>6</v>
      </c>
      <c r="B128" s="545"/>
      <c r="C128" s="546"/>
      <c r="D128" s="546"/>
      <c r="E128" s="547"/>
      <c r="F128" s="558" t="s">
        <v>121</v>
      </c>
      <c r="G128" s="559"/>
      <c r="H128" s="78"/>
      <c r="I128" s="78"/>
      <c r="J128" s="77"/>
      <c r="K128" s="46" t="str">
        <f>VLOOKUP($F:$F,材料单价表!$B$3:$G$42,4,0)</f>
        <v>m</v>
      </c>
      <c r="L128" s="79"/>
      <c r="M128" s="80">
        <f>(J88*K88+J89*K89)/1000*2</f>
        <v>7.9080000000000004</v>
      </c>
      <c r="N128" s="46">
        <f>VLOOKUP($F:$F,材料单价表!$B$3:$G$42,5,0)</f>
        <v>0</v>
      </c>
      <c r="O128" s="46">
        <f t="shared" si="17"/>
        <v>0</v>
      </c>
      <c r="P128" s="48"/>
      <c r="Q128" s="59"/>
      <c r="R128" s="81"/>
      <c r="S128" s="46"/>
    </row>
    <row r="129" spans="1:19" ht="13.5" customHeight="1" x14ac:dyDescent="0.15">
      <c r="A129" s="76">
        <v>7</v>
      </c>
      <c r="B129" s="545"/>
      <c r="C129" s="546"/>
      <c r="D129" s="546"/>
      <c r="E129" s="547"/>
      <c r="F129" s="558" t="s">
        <v>121</v>
      </c>
      <c r="G129" s="559"/>
      <c r="H129" s="78"/>
      <c r="I129" s="78"/>
      <c r="J129" s="77"/>
      <c r="K129" s="46" t="str">
        <f>VLOOKUP($F:$F,材料单价表!$B$3:$G$42,4,0)</f>
        <v>m</v>
      </c>
      <c r="L129" s="79"/>
      <c r="M129" s="80">
        <f>(J89*K89+J88*K88)/1000*1</f>
        <v>3.9540000000000002</v>
      </c>
      <c r="N129" s="46">
        <f>VLOOKUP($F:$F,材料单价表!$B$3:$G$42,5,0)</f>
        <v>0</v>
      </c>
      <c r="O129" s="46">
        <f t="shared" si="17"/>
        <v>0</v>
      </c>
      <c r="P129" s="48"/>
      <c r="Q129" s="59"/>
      <c r="R129" s="81"/>
      <c r="S129" s="46"/>
    </row>
    <row r="130" spans="1:19" x14ac:dyDescent="0.15">
      <c r="A130" s="76">
        <v>8</v>
      </c>
      <c r="B130" s="545"/>
      <c r="C130" s="546"/>
      <c r="D130" s="546"/>
      <c r="E130" s="547"/>
      <c r="F130" s="558" t="s">
        <v>72</v>
      </c>
      <c r="G130" s="559"/>
      <c r="H130" s="45"/>
      <c r="I130" s="45"/>
      <c r="J130" s="45"/>
      <c r="K130" s="46" t="str">
        <f>VLOOKUP($F:$F,材料单价表!$B$3:$G$42,4,0)</f>
        <v>m2</v>
      </c>
      <c r="L130" s="72"/>
      <c r="M130" s="46">
        <f>M135</f>
        <v>2.38</v>
      </c>
      <c r="N130" s="46">
        <f>VLOOKUP($F:$F,材料单价表!$B$3:$G$42,5,0)</f>
        <v>0</v>
      </c>
      <c r="O130" s="46">
        <f t="shared" si="17"/>
        <v>0</v>
      </c>
      <c r="P130" s="48"/>
      <c r="Q130" s="211"/>
      <c r="R130" s="73"/>
      <c r="S130" s="73"/>
    </row>
    <row r="131" spans="1:19" x14ac:dyDescent="0.15">
      <c r="A131" s="76">
        <v>9</v>
      </c>
      <c r="B131" s="545"/>
      <c r="C131" s="546"/>
      <c r="D131" s="546"/>
      <c r="E131" s="547"/>
      <c r="F131" s="558"/>
      <c r="G131" s="559"/>
      <c r="H131" s="45"/>
      <c r="I131" s="45"/>
      <c r="J131" s="45"/>
      <c r="K131" s="45"/>
      <c r="L131" s="72"/>
      <c r="M131" s="46"/>
      <c r="N131" s="46"/>
      <c r="O131" s="82"/>
      <c r="P131" s="48"/>
      <c r="Q131" s="211"/>
      <c r="R131" s="73"/>
      <c r="S131" s="73"/>
    </row>
    <row r="132" spans="1:19" x14ac:dyDescent="0.15">
      <c r="A132" s="74"/>
      <c r="B132" s="552"/>
      <c r="C132" s="557"/>
      <c r="D132" s="557"/>
      <c r="E132" s="553"/>
      <c r="F132" s="552" t="s">
        <v>73</v>
      </c>
      <c r="G132" s="557"/>
      <c r="H132" s="557"/>
      <c r="I132" s="557"/>
      <c r="J132" s="557"/>
      <c r="K132" s="557"/>
      <c r="L132" s="557"/>
      <c r="M132" s="61"/>
      <c r="N132" s="61"/>
      <c r="O132" s="62">
        <f>SUM(O123:O131)</f>
        <v>0</v>
      </c>
      <c r="P132" s="63" t="s">
        <v>57</v>
      </c>
      <c r="Q132" s="337"/>
      <c r="R132" s="64"/>
      <c r="S132" s="64"/>
    </row>
    <row r="133" spans="1:19" x14ac:dyDescent="0.15">
      <c r="A133" s="74"/>
      <c r="B133" s="552"/>
      <c r="C133" s="557"/>
      <c r="D133" s="557"/>
      <c r="E133" s="553"/>
      <c r="F133" s="552" t="s">
        <v>74</v>
      </c>
      <c r="G133" s="557"/>
      <c r="H133" s="557"/>
      <c r="I133" s="557"/>
      <c r="J133" s="557"/>
      <c r="K133" s="557"/>
      <c r="L133" s="557"/>
      <c r="M133" s="557"/>
      <c r="N133" s="553"/>
      <c r="O133" s="62">
        <f>O132+O121+O118+O110</f>
        <v>0</v>
      </c>
      <c r="P133" s="63" t="s">
        <v>57</v>
      </c>
      <c r="Q133" s="337"/>
      <c r="R133" s="64"/>
      <c r="S133" s="64"/>
    </row>
    <row r="134" spans="1:19" ht="24" x14ac:dyDescent="0.15">
      <c r="A134" s="65"/>
      <c r="B134" s="565" t="s">
        <v>75</v>
      </c>
      <c r="C134" s="561"/>
      <c r="D134" s="561"/>
      <c r="E134" s="566"/>
      <c r="F134" s="565" t="s">
        <v>26</v>
      </c>
      <c r="G134" s="566"/>
      <c r="H134" s="66"/>
      <c r="I134" s="66"/>
      <c r="J134" s="66"/>
      <c r="K134" s="66" t="s">
        <v>6</v>
      </c>
      <c r="L134" s="83" t="s">
        <v>61</v>
      </c>
      <c r="M134" s="66" t="s">
        <v>76</v>
      </c>
      <c r="N134" s="68" t="s">
        <v>62</v>
      </c>
      <c r="O134" s="68" t="s">
        <v>34</v>
      </c>
      <c r="P134" s="84" t="s">
        <v>57</v>
      </c>
      <c r="Q134" s="84"/>
      <c r="R134" s="67"/>
      <c r="S134" s="67"/>
    </row>
    <row r="135" spans="1:19" x14ac:dyDescent="0.15">
      <c r="A135" s="44">
        <v>1</v>
      </c>
      <c r="B135" s="545"/>
      <c r="C135" s="546"/>
      <c r="D135" s="546"/>
      <c r="E135" s="547"/>
      <c r="F135" s="545" t="s">
        <v>77</v>
      </c>
      <c r="G135" s="547"/>
      <c r="H135" s="45"/>
      <c r="I135" s="45"/>
      <c r="J135" s="46"/>
      <c r="K135" s="45" t="s">
        <v>78</v>
      </c>
      <c r="L135" s="72"/>
      <c r="M135" s="85">
        <f>O71</f>
        <v>2.38</v>
      </c>
      <c r="N135" s="46">
        <f>VLOOKUP($F:$F,材料单价表!$B$3:$G$42,5,0)</f>
        <v>0</v>
      </c>
      <c r="O135" s="46">
        <f>N135*M135</f>
        <v>0</v>
      </c>
      <c r="P135" s="48"/>
      <c r="Q135" s="211"/>
      <c r="R135" s="72"/>
      <c r="S135" s="72"/>
    </row>
    <row r="136" spans="1:19" x14ac:dyDescent="0.15">
      <c r="A136" s="44">
        <v>2</v>
      </c>
      <c r="B136" s="545"/>
      <c r="C136" s="546"/>
      <c r="D136" s="546"/>
      <c r="E136" s="547"/>
      <c r="F136" s="545" t="s">
        <v>79</v>
      </c>
      <c r="G136" s="547"/>
      <c r="H136" s="45"/>
      <c r="I136" s="45"/>
      <c r="J136" s="46"/>
      <c r="K136" s="45" t="s">
        <v>78</v>
      </c>
      <c r="L136" s="72"/>
      <c r="M136" s="85">
        <f>M135</f>
        <v>2.38</v>
      </c>
      <c r="N136" s="46">
        <f>VLOOKUP($F:$F,材料单价表!$B$3:$G$42,5,0)</f>
        <v>0</v>
      </c>
      <c r="O136" s="46">
        <f>N136*M136</f>
        <v>0</v>
      </c>
      <c r="P136" s="48"/>
      <c r="Q136" s="211"/>
      <c r="R136" s="72"/>
      <c r="S136" s="72"/>
    </row>
    <row r="137" spans="1:19" ht="24.75" customHeight="1" x14ac:dyDescent="0.15">
      <c r="A137" s="74"/>
      <c r="B137" s="571"/>
      <c r="C137" s="572"/>
      <c r="D137" s="572"/>
      <c r="E137" s="573"/>
      <c r="F137" s="552" t="s">
        <v>80</v>
      </c>
      <c r="G137" s="553"/>
      <c r="H137" s="86"/>
      <c r="I137" s="325"/>
      <c r="J137" s="554" t="s">
        <v>81</v>
      </c>
      <c r="K137" s="554"/>
      <c r="L137" s="554"/>
      <c r="M137" s="554"/>
      <c r="N137" s="87"/>
      <c r="O137" s="62">
        <f>O133+O135+O136</f>
        <v>0</v>
      </c>
      <c r="P137" s="63" t="s">
        <v>57</v>
      </c>
      <c r="Q137" s="337"/>
      <c r="R137" s="64"/>
      <c r="S137" s="64"/>
    </row>
    <row r="138" spans="1:19" ht="24" customHeight="1" x14ac:dyDescent="0.15">
      <c r="A138" s="74"/>
      <c r="B138" s="571"/>
      <c r="C138" s="572"/>
      <c r="D138" s="572"/>
      <c r="E138" s="573"/>
      <c r="F138" s="555" t="s">
        <v>82</v>
      </c>
      <c r="G138" s="556"/>
      <c r="H138" s="88"/>
      <c r="I138" s="324"/>
      <c r="J138" s="552" t="s">
        <v>81</v>
      </c>
      <c r="K138" s="557"/>
      <c r="L138" s="557"/>
      <c r="M138" s="557"/>
      <c r="N138" s="62"/>
      <c r="O138" s="62">
        <f>O137/O71</f>
        <v>0</v>
      </c>
      <c r="P138" s="89" t="s">
        <v>57</v>
      </c>
      <c r="Q138" s="89"/>
      <c r="R138" s="90"/>
      <c r="S138" s="90"/>
    </row>
    <row r="139" spans="1:19" ht="18.75" customHeight="1" x14ac:dyDescent="0.15">
      <c r="A139" s="549" t="s">
        <v>0</v>
      </c>
      <c r="B139" s="549"/>
      <c r="C139" s="549"/>
      <c r="D139" s="549"/>
      <c r="E139" s="549"/>
      <c r="F139" s="549"/>
      <c r="G139" s="549"/>
      <c r="H139" s="549"/>
      <c r="I139" s="549"/>
      <c r="J139" s="549"/>
      <c r="K139" s="549"/>
      <c r="L139" s="550"/>
      <c r="M139" s="549"/>
      <c r="N139" s="549"/>
      <c r="O139" s="549"/>
      <c r="P139" s="549"/>
      <c r="Q139" s="549"/>
      <c r="R139" s="551"/>
      <c r="S139" s="551"/>
    </row>
    <row r="140" spans="1:19" x14ac:dyDescent="0.15">
      <c r="A140" s="2" t="s">
        <v>1</v>
      </c>
      <c r="B140" s="339" t="str">
        <f>$B$2</f>
        <v>NC</v>
      </c>
      <c r="C140" s="339">
        <v>3</v>
      </c>
      <c r="D140" s="340"/>
      <c r="E140" s="3"/>
      <c r="F140" s="4" t="s">
        <v>2</v>
      </c>
      <c r="G140" s="5">
        <v>65</v>
      </c>
      <c r="H140" s="106" t="s">
        <v>126</v>
      </c>
      <c r="I140" s="106"/>
      <c r="J140" s="4" t="s">
        <v>3</v>
      </c>
      <c r="K140" s="6">
        <f>L143</f>
        <v>1300</v>
      </c>
      <c r="L140" s="7" t="s">
        <v>83</v>
      </c>
      <c r="M140" s="6">
        <f>L142</f>
        <v>1400</v>
      </c>
      <c r="N140" s="8" t="s">
        <v>4</v>
      </c>
      <c r="O140" s="9">
        <f>M152</f>
        <v>1.82</v>
      </c>
      <c r="P140" s="10"/>
      <c r="Q140" s="10"/>
      <c r="R140" s="10" t="s">
        <v>5</v>
      </c>
      <c r="S140" s="11"/>
    </row>
    <row r="141" spans="1:19" ht="14.25" x14ac:dyDescent="0.2">
      <c r="A141" s="12"/>
      <c r="B141" s="13"/>
      <c r="C141" s="13"/>
      <c r="D141" s="13"/>
      <c r="E141" s="13"/>
      <c r="F141" s="14"/>
      <c r="G141" s="14"/>
      <c r="H141" s="15"/>
      <c r="I141" s="15"/>
      <c r="J141" s="16"/>
      <c r="K141" s="16" t="s">
        <v>6</v>
      </c>
      <c r="L141" s="17" t="s">
        <v>7</v>
      </c>
      <c r="M141" s="16" t="s">
        <v>8</v>
      </c>
      <c r="N141" s="18"/>
      <c r="O141" s="548" t="s">
        <v>940</v>
      </c>
      <c r="P141" s="548"/>
      <c r="Q141" s="16" t="s">
        <v>1018</v>
      </c>
      <c r="R141" s="529" t="s">
        <v>1066</v>
      </c>
      <c r="S141" s="530" t="s">
        <v>1592</v>
      </c>
    </row>
    <row r="142" spans="1:19" ht="14.25" x14ac:dyDescent="0.2">
      <c r="A142" s="398" t="s">
        <v>881</v>
      </c>
      <c r="B142" s="400" t="s">
        <v>1455</v>
      </c>
      <c r="C142" s="343"/>
      <c r="D142" s="343"/>
      <c r="E142" s="22"/>
      <c r="F142" s="23"/>
      <c r="G142" s="23"/>
      <c r="H142" s="107"/>
      <c r="I142" s="107"/>
      <c r="J142" s="24" t="s">
        <v>9</v>
      </c>
      <c r="K142" s="16" t="s">
        <v>10</v>
      </c>
      <c r="L142" s="25">
        <v>1400</v>
      </c>
      <c r="M142" s="113">
        <f>L142-M151*2</f>
        <v>1300</v>
      </c>
      <c r="N142" s="18"/>
      <c r="O142" s="356" t="s">
        <v>941</v>
      </c>
      <c r="P142" s="357"/>
      <c r="Q142" s="16" t="s">
        <v>1019</v>
      </c>
      <c r="R142" s="529"/>
      <c r="S142" s="530"/>
    </row>
    <row r="143" spans="1:19" ht="14.25" x14ac:dyDescent="0.2">
      <c r="A143" s="21"/>
      <c r="B143" s="22"/>
      <c r="C143" s="22"/>
      <c r="D143" s="22"/>
      <c r="E143" s="22"/>
      <c r="F143" s="23"/>
      <c r="G143" s="23"/>
      <c r="H143" s="18"/>
      <c r="I143" s="18"/>
      <c r="J143" s="24" t="s">
        <v>11</v>
      </c>
      <c r="K143" s="16" t="s">
        <v>10</v>
      </c>
      <c r="L143" s="25">
        <v>1300</v>
      </c>
      <c r="M143" s="113">
        <f>L143-M151*2</f>
        <v>1200</v>
      </c>
      <c r="N143" s="18"/>
      <c r="O143" s="356" t="s">
        <v>924</v>
      </c>
      <c r="P143" s="357"/>
      <c r="Q143" s="16" t="s">
        <v>1020</v>
      </c>
      <c r="R143" s="529" t="s">
        <v>1067</v>
      </c>
      <c r="S143" s="530" t="s">
        <v>1086</v>
      </c>
    </row>
    <row r="144" spans="1:19" ht="14.25" x14ac:dyDescent="0.2">
      <c r="A144" s="21"/>
      <c r="B144" s="22"/>
      <c r="C144" s="22"/>
      <c r="D144" s="22"/>
      <c r="E144" s="22"/>
      <c r="F144" s="23"/>
      <c r="G144" s="23"/>
      <c r="H144" s="18"/>
      <c r="I144" s="18"/>
      <c r="J144" s="24" t="s">
        <v>12</v>
      </c>
      <c r="K144" s="16" t="s">
        <v>10</v>
      </c>
      <c r="L144" s="26"/>
      <c r="M144" s="113">
        <f>M142</f>
        <v>1300</v>
      </c>
      <c r="N144" s="18"/>
      <c r="O144" s="356" t="s">
        <v>925</v>
      </c>
      <c r="P144" s="357"/>
      <c r="Q144" s="16" t="s">
        <v>1021</v>
      </c>
      <c r="R144" s="529"/>
      <c r="S144" s="530"/>
    </row>
    <row r="145" spans="1:35" ht="14.25" x14ac:dyDescent="0.2">
      <c r="A145" s="21"/>
      <c r="B145" s="22"/>
      <c r="C145" s="22"/>
      <c r="D145" s="22"/>
      <c r="E145" s="22"/>
      <c r="F145" s="23"/>
      <c r="G145" s="23"/>
      <c r="H145" s="18"/>
      <c r="I145" s="18"/>
      <c r="J145" s="24" t="s">
        <v>13</v>
      </c>
      <c r="K145" s="16" t="s">
        <v>10</v>
      </c>
      <c r="L145" s="26"/>
      <c r="M145" s="113"/>
      <c r="N145" s="18"/>
      <c r="O145" s="356" t="s">
        <v>926</v>
      </c>
      <c r="P145" s="357"/>
      <c r="Q145" s="16" t="s">
        <v>1022</v>
      </c>
      <c r="R145" s="27"/>
      <c r="S145" s="28"/>
    </row>
    <row r="146" spans="1:35" ht="14.25" x14ac:dyDescent="0.2">
      <c r="A146" s="21"/>
      <c r="B146" s="22"/>
      <c r="C146" s="22"/>
      <c r="D146" s="22"/>
      <c r="E146" s="22"/>
      <c r="F146" s="23"/>
      <c r="G146" s="23"/>
      <c r="H146" s="18"/>
      <c r="I146" s="18"/>
      <c r="J146" s="24" t="s">
        <v>14</v>
      </c>
      <c r="K146" s="16" t="s">
        <v>10</v>
      </c>
      <c r="L146" s="26"/>
      <c r="M146" s="113"/>
      <c r="N146" s="18"/>
      <c r="O146" s="356" t="s">
        <v>927</v>
      </c>
      <c r="P146" s="357"/>
      <c r="Q146" s="16" t="s">
        <v>1023</v>
      </c>
      <c r="R146" s="27"/>
      <c r="S146" s="28"/>
    </row>
    <row r="147" spans="1:35" ht="14.25" x14ac:dyDescent="0.2">
      <c r="A147" s="21"/>
      <c r="B147" s="22"/>
      <c r="C147" s="22"/>
      <c r="D147" s="22"/>
      <c r="E147" s="22"/>
      <c r="F147" s="23"/>
      <c r="G147" s="23"/>
      <c r="H147" s="18"/>
      <c r="I147" s="18"/>
      <c r="J147" s="24" t="s">
        <v>15</v>
      </c>
      <c r="K147" s="16" t="s">
        <v>10</v>
      </c>
      <c r="L147" s="26"/>
      <c r="M147" s="113">
        <f>M143/2</f>
        <v>600</v>
      </c>
      <c r="N147" s="18"/>
      <c r="O147" s="356" t="s">
        <v>928</v>
      </c>
      <c r="P147" s="357"/>
      <c r="Q147" s="16" t="s">
        <v>1005</v>
      </c>
      <c r="R147" s="27"/>
      <c r="S147" s="28"/>
    </row>
    <row r="148" spans="1:35" ht="14.25" x14ac:dyDescent="0.2">
      <c r="A148" s="21"/>
      <c r="B148" s="22"/>
      <c r="C148" s="22"/>
      <c r="D148" s="22"/>
      <c r="E148" s="22"/>
      <c r="F148" s="23"/>
      <c r="G148" s="23"/>
      <c r="H148" s="18"/>
      <c r="I148" s="18"/>
      <c r="J148" s="24" t="s">
        <v>16</v>
      </c>
      <c r="K148" s="16" t="s">
        <v>10</v>
      </c>
      <c r="L148" s="26"/>
      <c r="M148" s="113"/>
      <c r="N148" s="18"/>
      <c r="O148" s="356" t="s">
        <v>929</v>
      </c>
      <c r="P148" s="357"/>
      <c r="Q148" s="16" t="s">
        <v>1024</v>
      </c>
      <c r="R148" s="27"/>
      <c r="S148" s="28"/>
    </row>
    <row r="149" spans="1:35" ht="14.25" x14ac:dyDescent="0.2">
      <c r="A149" s="21"/>
      <c r="B149" s="22"/>
      <c r="C149" s="22"/>
      <c r="D149" s="22"/>
      <c r="E149" s="22"/>
      <c r="F149" s="23"/>
      <c r="G149" s="23"/>
      <c r="H149" s="18"/>
      <c r="I149" s="18"/>
      <c r="J149" s="24" t="s">
        <v>17</v>
      </c>
      <c r="K149" s="16" t="s">
        <v>10</v>
      </c>
      <c r="L149" s="26"/>
      <c r="M149" s="113"/>
      <c r="N149" s="18"/>
      <c r="O149" s="356" t="s">
        <v>930</v>
      </c>
      <c r="P149" s="357"/>
      <c r="Q149" s="16" t="s">
        <v>931</v>
      </c>
      <c r="R149" s="27"/>
      <c r="S149" s="28"/>
    </row>
    <row r="150" spans="1:35" ht="14.25" x14ac:dyDescent="0.2">
      <c r="A150" s="21"/>
      <c r="B150" s="22"/>
      <c r="C150" s="22"/>
      <c r="D150" s="22"/>
      <c r="E150" s="22"/>
      <c r="F150" s="23"/>
      <c r="G150" s="23"/>
      <c r="H150" s="18"/>
      <c r="I150" s="18"/>
      <c r="J150" s="24" t="s">
        <v>18</v>
      </c>
      <c r="K150" s="16" t="s">
        <v>10</v>
      </c>
      <c r="L150" s="26"/>
      <c r="M150" s="113"/>
      <c r="N150" s="18"/>
      <c r="O150" s="356" t="s">
        <v>932</v>
      </c>
      <c r="P150" s="357"/>
      <c r="Q150" s="16" t="s">
        <v>933</v>
      </c>
      <c r="R150" s="27"/>
      <c r="S150" s="28"/>
    </row>
    <row r="151" spans="1:35" ht="14.25" x14ac:dyDescent="0.2">
      <c r="A151" s="21"/>
      <c r="B151" s="22"/>
      <c r="C151" s="22"/>
      <c r="D151" s="22"/>
      <c r="E151" s="22"/>
      <c r="F151" s="23"/>
      <c r="G151" s="23"/>
      <c r="H151" s="18"/>
      <c r="I151" s="18"/>
      <c r="J151" s="24" t="s">
        <v>19</v>
      </c>
      <c r="K151" s="16" t="s">
        <v>10</v>
      </c>
      <c r="L151" s="26"/>
      <c r="M151" s="25">
        <v>50</v>
      </c>
      <c r="N151" s="18"/>
      <c r="O151" s="356" t="s">
        <v>934</v>
      </c>
      <c r="P151" s="357"/>
      <c r="Q151" s="16" t="s">
        <v>935</v>
      </c>
      <c r="R151" s="27"/>
      <c r="S151" s="28"/>
    </row>
    <row r="152" spans="1:35" ht="14.25" x14ac:dyDescent="0.2">
      <c r="A152" s="21"/>
      <c r="B152" s="22"/>
      <c r="C152" s="22"/>
      <c r="D152" s="22"/>
      <c r="E152" s="22"/>
      <c r="F152" s="23"/>
      <c r="G152" s="23"/>
      <c r="H152" s="18"/>
      <c r="I152" s="18"/>
      <c r="J152" s="29" t="s">
        <v>20</v>
      </c>
      <c r="K152" s="16" t="s">
        <v>21</v>
      </c>
      <c r="L152" s="30"/>
      <c r="M152" s="31">
        <f>L142*L143/1000000</f>
        <v>1.82</v>
      </c>
      <c r="N152" s="18"/>
      <c r="O152" s="356" t="s">
        <v>936</v>
      </c>
      <c r="P152" s="357"/>
      <c r="Q152" s="16" t="s">
        <v>937</v>
      </c>
      <c r="R152" s="27"/>
      <c r="S152" s="28"/>
    </row>
    <row r="153" spans="1:35" ht="14.25" x14ac:dyDescent="0.2">
      <c r="A153" s="32"/>
      <c r="B153" s="33"/>
      <c r="C153" s="33"/>
      <c r="D153" s="33"/>
      <c r="E153" s="33"/>
      <c r="F153" s="34"/>
      <c r="G153" s="34"/>
      <c r="H153" s="35"/>
      <c r="I153" s="35"/>
      <c r="J153" s="29" t="s">
        <v>22</v>
      </c>
      <c r="K153" s="16" t="s">
        <v>23</v>
      </c>
      <c r="L153" s="30"/>
      <c r="M153" s="36">
        <f>(L142+L143)*2/1000</f>
        <v>5.4</v>
      </c>
      <c r="N153" s="35"/>
      <c r="O153" s="356" t="s">
        <v>938</v>
      </c>
      <c r="P153" s="357"/>
      <c r="Q153" s="16" t="s">
        <v>939</v>
      </c>
      <c r="R153" s="37"/>
      <c r="S153" s="38"/>
    </row>
    <row r="154" spans="1:35" ht="36" x14ac:dyDescent="0.15">
      <c r="A154" s="39" t="s">
        <v>24</v>
      </c>
      <c r="B154" s="560" t="s">
        <v>25</v>
      </c>
      <c r="C154" s="561"/>
      <c r="D154" s="561"/>
      <c r="E154" s="562"/>
      <c r="F154" s="40" t="s">
        <v>26</v>
      </c>
      <c r="G154" s="40" t="s">
        <v>27</v>
      </c>
      <c r="H154" s="40" t="s">
        <v>28</v>
      </c>
      <c r="I154" s="40" t="s">
        <v>898</v>
      </c>
      <c r="J154" s="40" t="s">
        <v>29</v>
      </c>
      <c r="K154" s="40" t="s">
        <v>30</v>
      </c>
      <c r="L154" s="41" t="s">
        <v>31</v>
      </c>
      <c r="M154" s="40" t="s">
        <v>32</v>
      </c>
      <c r="N154" s="40" t="s">
        <v>33</v>
      </c>
      <c r="O154" s="40" t="s">
        <v>34</v>
      </c>
      <c r="P154" s="42" t="s">
        <v>35</v>
      </c>
      <c r="Q154" s="338" t="s">
        <v>875</v>
      </c>
      <c r="R154" s="43" t="s">
        <v>36</v>
      </c>
      <c r="S154" s="43" t="s">
        <v>37</v>
      </c>
      <c r="V154" s="261" t="s">
        <v>127</v>
      </c>
      <c r="W154" s="261"/>
      <c r="X154" s="262" t="s">
        <v>128</v>
      </c>
      <c r="Y154" s="274"/>
      <c r="Z154" s="262" t="s">
        <v>359</v>
      </c>
      <c r="AA154" s="277"/>
      <c r="AB154" s="262" t="s">
        <v>355</v>
      </c>
      <c r="AC154" s="277"/>
      <c r="AD154" s="262" t="s">
        <v>360</v>
      </c>
      <c r="AE154" s="277"/>
      <c r="AF154" s="262" t="s">
        <v>357</v>
      </c>
      <c r="AG154" s="277"/>
      <c r="AH154" s="262" t="s">
        <v>358</v>
      </c>
      <c r="AI154" s="277"/>
    </row>
    <row r="155" spans="1:35" x14ac:dyDescent="0.15">
      <c r="A155" s="57">
        <v>1</v>
      </c>
      <c r="B155" s="531" t="s">
        <v>38</v>
      </c>
      <c r="C155" s="532"/>
      <c r="D155" s="532"/>
      <c r="E155" s="533"/>
      <c r="F155" s="47" t="str">
        <f>VLOOKUP($H:$H,型材表!$B$5:$I$245,2,0)</f>
        <v>窗框</v>
      </c>
      <c r="G155" s="45" t="s">
        <v>39</v>
      </c>
      <c r="H155" s="45" t="str">
        <f>IF(G140=65,"SN65AK001",IF(G140=55,"SN55K001",IF(G140=551,"SN55BK001",IF(G140=60,"SN60K001",IF(G140=601,"SN60AK001",IF(G140=70,"SN70K001",IF(G140=75,"SN75K001")))))))</f>
        <v>SN65AK001</v>
      </c>
      <c r="I155" s="45" t="s">
        <v>998</v>
      </c>
      <c r="J155" s="46">
        <f>M142</f>
        <v>1300</v>
      </c>
      <c r="K155" s="45">
        <v>2</v>
      </c>
      <c r="L155" s="47">
        <f>VLOOKUP($H:$H,型材表!$B$5:$I$245,4,0)</f>
        <v>1.02</v>
      </c>
      <c r="M155" s="46">
        <f>J155*K155*L155/1000</f>
        <v>2.6520000000000001</v>
      </c>
      <c r="N155" s="72">
        <f>VLOOKUP($H:$H,型材表!$B$5:$I$245,7,0)</f>
        <v>0</v>
      </c>
      <c r="O155" s="46">
        <f>N155*M155</f>
        <v>0</v>
      </c>
      <c r="P155" s="100">
        <f>VLOOKUP($H:$H,型材表!$B$5:$I$245,5,0)</f>
        <v>0.125</v>
      </c>
      <c r="Q155" s="100" t="str">
        <f>VLOOKUP($H:$H,型材表!$B$5:$I$245,6,0)</f>
        <v>断桥隔热铝型材</v>
      </c>
      <c r="R155" s="49"/>
      <c r="S155" s="50"/>
      <c r="X155" s="264"/>
      <c r="Y155" s="265"/>
      <c r="Z155" s="278"/>
      <c r="AA155" s="277"/>
      <c r="AB155" s="278"/>
      <c r="AC155" s="277"/>
      <c r="AD155" s="278"/>
      <c r="AE155" s="277"/>
      <c r="AF155" s="278"/>
      <c r="AG155" s="277"/>
      <c r="AH155" s="278"/>
      <c r="AI155" s="277"/>
    </row>
    <row r="156" spans="1:35" x14ac:dyDescent="0.15">
      <c r="A156" s="57">
        <v>2</v>
      </c>
      <c r="B156" s="537"/>
      <c r="C156" s="538"/>
      <c r="D156" s="538"/>
      <c r="E156" s="539"/>
      <c r="F156" s="47" t="str">
        <f>VLOOKUP($H:$H,型材表!$B$5:$I$245,2,0)</f>
        <v>窗框</v>
      </c>
      <c r="G156" s="45" t="s">
        <v>40</v>
      </c>
      <c r="H156" s="45" t="str">
        <f>H155</f>
        <v>SN65AK001</v>
      </c>
      <c r="I156" s="45" t="s">
        <v>899</v>
      </c>
      <c r="J156" s="46">
        <f>M143</f>
        <v>1200</v>
      </c>
      <c r="K156" s="45">
        <v>2</v>
      </c>
      <c r="L156" s="47">
        <f>VLOOKUP($H:$H,型材表!$B$5:$I$245,4,0)</f>
        <v>1.02</v>
      </c>
      <c r="M156" s="46">
        <f t="shared" ref="M156:M159" si="18">J156*K156*L156/1000</f>
        <v>2.448</v>
      </c>
      <c r="N156" s="72">
        <f>VLOOKUP($H:$H,型材表!$B$5:$I$245,7,0)</f>
        <v>0</v>
      </c>
      <c r="O156" s="46">
        <f t="shared" ref="O156:O157" si="19">N156*M156</f>
        <v>0</v>
      </c>
      <c r="P156" s="100">
        <f>VLOOKUP($H:$H,型材表!$B$5:$I$245,5,0)</f>
        <v>0.125</v>
      </c>
      <c r="Q156" s="100" t="str">
        <f>VLOOKUP($H:$H,型材表!$B$5:$I$245,6,0)</f>
        <v>断桥隔热铝型材</v>
      </c>
      <c r="R156" s="49"/>
      <c r="S156" s="50"/>
      <c r="X156" s="264"/>
      <c r="Y156" s="265"/>
      <c r="Z156" s="278"/>
      <c r="AA156" s="277"/>
      <c r="AB156" s="278"/>
      <c r="AC156" s="277"/>
      <c r="AD156" s="278"/>
      <c r="AE156" s="277"/>
      <c r="AF156" s="278"/>
      <c r="AG156" s="277"/>
      <c r="AH156" s="278"/>
      <c r="AI156" s="277"/>
    </row>
    <row r="157" spans="1:35" x14ac:dyDescent="0.15">
      <c r="A157" s="57">
        <v>3</v>
      </c>
      <c r="B157" s="531" t="s">
        <v>41</v>
      </c>
      <c r="C157" s="532"/>
      <c r="D157" s="532"/>
      <c r="E157" s="533"/>
      <c r="F157" s="47" t="str">
        <f>VLOOKUP($H:$H,型材表!$B$5:$I$245,2,0)</f>
        <v>窗扇</v>
      </c>
      <c r="G157" s="45" t="s">
        <v>39</v>
      </c>
      <c r="H157" s="45" t="str">
        <f>IF(G140=65,"SN65AS001",IF(G140=55,"SN55S001",IF(G140=551,"SN55BS001",IF(G140=60,"SN60S001",IF(G140=601,"SN60AS001",IF(G140=70,"SN70S001",IF(G140=75,"SN75S001")))))))</f>
        <v>SN65AS001</v>
      </c>
      <c r="I157" s="45" t="s">
        <v>1000</v>
      </c>
      <c r="J157" s="46">
        <f>IF(G140=65,J155-V157,IF(G140=55,J155-X157,IF(G140=551,J155-Z157,IF(G140=60,J155-AB157,IF(G140=601,J155-AD157,IF(G140=70,J155-AF157,IF(G140=75,J155-AH157)))))))</f>
        <v>1256</v>
      </c>
      <c r="K157" s="45">
        <v>4</v>
      </c>
      <c r="L157" s="47">
        <f>VLOOKUP($H:$H,型材表!$B$5:$I$245,4,0)</f>
        <v>1.292</v>
      </c>
      <c r="M157" s="46">
        <f t="shared" si="18"/>
        <v>6.4910079999999999</v>
      </c>
      <c r="N157" s="72">
        <f>VLOOKUP($H:$H,型材表!$B$5:$I$245,7,0)</f>
        <v>0</v>
      </c>
      <c r="O157" s="46">
        <f t="shared" si="19"/>
        <v>0</v>
      </c>
      <c r="P157" s="100">
        <f>VLOOKUP($H:$H,型材表!$B$5:$I$245,5,0)</f>
        <v>0.125</v>
      </c>
      <c r="Q157" s="100" t="str">
        <f>VLOOKUP($H:$H,型材表!$B$5:$I$245,6,0)</f>
        <v>断桥隔热铝型材</v>
      </c>
      <c r="R157" s="49"/>
      <c r="S157" s="50"/>
      <c r="U157" s="374" t="s">
        <v>1031</v>
      </c>
      <c r="V157" s="259">
        <f>22*2</f>
        <v>44</v>
      </c>
      <c r="X157" s="264">
        <f>22*2</f>
        <v>44</v>
      </c>
      <c r="Y157" s="265"/>
      <c r="Z157" s="264">
        <f>22*2</f>
        <v>44</v>
      </c>
      <c r="AA157" s="277"/>
      <c r="AB157" s="264">
        <f>22*2</f>
        <v>44</v>
      </c>
      <c r="AC157" s="277"/>
      <c r="AD157" s="264">
        <f>22*2</f>
        <v>44</v>
      </c>
      <c r="AE157" s="277"/>
      <c r="AF157" s="264">
        <f>22*2</f>
        <v>44</v>
      </c>
      <c r="AG157" s="277"/>
      <c r="AH157" s="264">
        <f>22*2</f>
        <v>44</v>
      </c>
      <c r="AI157" s="277"/>
    </row>
    <row r="158" spans="1:35" x14ac:dyDescent="0.15">
      <c r="A158" s="395">
        <v>4</v>
      </c>
      <c r="B158" s="534"/>
      <c r="C158" s="535"/>
      <c r="D158" s="535"/>
      <c r="E158" s="536"/>
      <c r="F158" s="47" t="str">
        <f>VLOOKUP($H:$H,型材表!$B$5:$I$245,2,0)</f>
        <v>窗扇</v>
      </c>
      <c r="G158" s="45" t="s">
        <v>40</v>
      </c>
      <c r="H158" s="45" t="str">
        <f>H157</f>
        <v>SN65AS001</v>
      </c>
      <c r="I158" s="45" t="s">
        <v>1025</v>
      </c>
      <c r="J158" s="46">
        <f>IF(G140=65,M147-V158,IF(G140=55,M147-X158,IF(G140=551,M147-Z158,IF(G140=60,M147-AB158,IF(G140=601,M147-AD158,IF(G140=70,M147-AF158,IF(G140=75,M147-AH158)))))))</f>
        <v>575.5</v>
      </c>
      <c r="K158" s="45">
        <v>4</v>
      </c>
      <c r="L158" s="47">
        <f>VLOOKUP($H:$H,型材表!$B$5:$I$245,4,0)</f>
        <v>1.292</v>
      </c>
      <c r="M158" s="46">
        <f t="shared" si="18"/>
        <v>2.9741840000000002</v>
      </c>
      <c r="N158" s="72">
        <f>VLOOKUP($H:$H,型材表!$B$5:$I$245,7,0)</f>
        <v>0</v>
      </c>
      <c r="O158" s="46">
        <f>N158*M158</f>
        <v>0</v>
      </c>
      <c r="P158" s="100">
        <f>VLOOKUP($H:$H,型材表!$B$5:$I$245,5,0)</f>
        <v>0.125</v>
      </c>
      <c r="Q158" s="100" t="str">
        <f>VLOOKUP($H:$H,型材表!$B$5:$I$245,6,0)</f>
        <v>断桥隔热铝型材</v>
      </c>
      <c r="R158" s="49"/>
      <c r="S158" s="50"/>
      <c r="U158" s="374" t="s">
        <v>1032</v>
      </c>
      <c r="V158" s="259">
        <f>22+2.5</f>
        <v>24.5</v>
      </c>
      <c r="X158" s="264">
        <f>22+2.5</f>
        <v>24.5</v>
      </c>
      <c r="Y158" s="265"/>
      <c r="Z158" s="264">
        <f>22+2.5</f>
        <v>24.5</v>
      </c>
      <c r="AA158" s="277"/>
      <c r="AB158" s="264">
        <f>22+2.5</f>
        <v>24.5</v>
      </c>
      <c r="AC158" s="277"/>
      <c r="AD158" s="264">
        <f>22+2.5</f>
        <v>24.5</v>
      </c>
      <c r="AE158" s="277"/>
      <c r="AF158" s="264">
        <f>22+2.5</f>
        <v>24.5</v>
      </c>
      <c r="AG158" s="277"/>
      <c r="AH158" s="264">
        <f>22+2.5</f>
        <v>24.5</v>
      </c>
      <c r="AI158" s="277"/>
    </row>
    <row r="159" spans="1:35" x14ac:dyDescent="0.15">
      <c r="A159" s="395">
        <v>5</v>
      </c>
      <c r="B159" s="534"/>
      <c r="C159" s="535"/>
      <c r="D159" s="535"/>
      <c r="E159" s="536"/>
      <c r="F159" s="47" t="str">
        <f>VLOOKUP($H:$H,型材表!$B$5:$I$245,2,0)</f>
        <v>假中梃</v>
      </c>
      <c r="G159" s="116"/>
      <c r="H159" s="116" t="str">
        <f>IF(G140=65,"SN65AT101",IF(G140=55,"SN55T101",IF(G140=551,"SN55BT101",IF(G140=60,"SN60T101",IF(G140=601,"SN60AT101",IF(G140=70,"SN70T101",IF(G140=75,"SN75T101")))))))</f>
        <v>SN65AT101</v>
      </c>
      <c r="I159" s="45" t="s">
        <v>1012</v>
      </c>
      <c r="J159" s="46">
        <f>IF(G140=65,J155-V159*2,IF(G140=55,J155-X159*2,IF(G140=551,J155-Z159*2,IF(G140=60,J155-AB159*2,IF(G140=601,J155-AD159*2,IF(G140=70,J155-AF159*2,IF(G140=75,J155-AH159*2)))))))</f>
        <v>1208</v>
      </c>
      <c r="K159" s="45">
        <v>1</v>
      </c>
      <c r="L159" s="47">
        <f>VLOOKUP($H:$H,型材表!$B$5:$I$245,4,0)</f>
        <v>1.246</v>
      </c>
      <c r="M159" s="46">
        <f t="shared" si="18"/>
        <v>1.5051679999999998</v>
      </c>
      <c r="N159" s="72">
        <f>VLOOKUP($H:$H,型材表!$B$5:$I$245,7,0)</f>
        <v>0</v>
      </c>
      <c r="O159" s="46">
        <f>N159*M159</f>
        <v>0</v>
      </c>
      <c r="P159" s="100">
        <f>VLOOKUP($H:$H,型材表!$B$5:$I$245,5,0)</f>
        <v>0.125</v>
      </c>
      <c r="Q159" s="100" t="str">
        <f>VLOOKUP($H:$H,型材表!$B$5:$I$245,6,0)</f>
        <v>断桥隔热铝型材</v>
      </c>
      <c r="R159" s="49"/>
      <c r="S159" s="50"/>
      <c r="U159" s="374" t="s">
        <v>1033</v>
      </c>
      <c r="V159" s="259">
        <f>23*2</f>
        <v>46</v>
      </c>
      <c r="X159" s="264">
        <f>23*2</f>
        <v>46</v>
      </c>
      <c r="Y159" s="265"/>
      <c r="Z159" s="264">
        <f>23*2</f>
        <v>46</v>
      </c>
      <c r="AA159" s="277"/>
      <c r="AB159" s="264">
        <f>23*2</f>
        <v>46</v>
      </c>
      <c r="AC159" s="277"/>
      <c r="AD159" s="264">
        <f>23*2</f>
        <v>46</v>
      </c>
      <c r="AE159" s="277"/>
      <c r="AF159" s="264">
        <f>23*2</f>
        <v>46</v>
      </c>
      <c r="AG159" s="277"/>
      <c r="AH159" s="264">
        <f>23*2</f>
        <v>46</v>
      </c>
      <c r="AI159" s="277"/>
    </row>
    <row r="160" spans="1:35" x14ac:dyDescent="0.15">
      <c r="A160" s="395">
        <v>6</v>
      </c>
      <c r="B160" s="537"/>
      <c r="C160" s="538"/>
      <c r="D160" s="538"/>
      <c r="E160" s="539"/>
      <c r="F160" s="47"/>
      <c r="G160" s="45"/>
      <c r="H160" s="45"/>
      <c r="I160" s="45"/>
      <c r="J160" s="46"/>
      <c r="K160" s="45"/>
      <c r="L160" s="47"/>
      <c r="M160" s="46"/>
      <c r="N160" s="72"/>
      <c r="O160" s="46"/>
      <c r="P160" s="100"/>
      <c r="Q160" s="100"/>
      <c r="R160" s="49"/>
      <c r="S160" s="50"/>
      <c r="X160" s="264"/>
      <c r="Y160" s="265"/>
      <c r="Z160" s="264"/>
      <c r="AA160" s="277"/>
      <c r="AB160" s="264"/>
      <c r="AC160" s="277"/>
      <c r="AD160" s="264"/>
      <c r="AE160" s="277"/>
      <c r="AF160" s="264"/>
      <c r="AG160" s="277"/>
      <c r="AH160" s="264"/>
      <c r="AI160" s="277"/>
    </row>
    <row r="161" spans="1:35" x14ac:dyDescent="0.15">
      <c r="A161" s="395">
        <v>7</v>
      </c>
      <c r="B161" s="531" t="s">
        <v>42</v>
      </c>
      <c r="C161" s="532"/>
      <c r="D161" s="532"/>
      <c r="E161" s="533"/>
      <c r="F161" s="47" t="str">
        <f>VLOOKUP($H:$H,型材表!$B$5:$I$245,2,0)</f>
        <v>压线</v>
      </c>
      <c r="G161" s="45" t="s">
        <v>39</v>
      </c>
      <c r="H161" s="45" t="str">
        <f>IF(G140=65,"SN65AY001",IF(G140=55,"SN55Y001",IF(G140=551,"SN55Y001",IF(G140=60,"SN60Y001",IF(G140=601,"SN60Y001",IF(G140=70,"SN70Y001",IF(G140=75,"SN75Y001")))))))</f>
        <v>SN65AY001</v>
      </c>
      <c r="I161" s="45" t="s">
        <v>1003</v>
      </c>
      <c r="J161" s="46">
        <f>IF(G140=65,M144-V161,IF(G140=55,M144-X161,IF(G140=551,M144-Z161,IF(G140=60,M144-AB161,IF(G140=601,M144-AD161,IF(G140=70,M144-AF161,IF(G140=75,M144-AH161)))))))</f>
        <v>1180.4000000000001</v>
      </c>
      <c r="K161" s="45">
        <v>4</v>
      </c>
      <c r="L161" s="47">
        <f>VLOOKUP($H:$H,型材表!$B$5:$I$245,4,0)</f>
        <v>0.19700000000000001</v>
      </c>
      <c r="M161" s="46">
        <f t="shared" ref="M161:M165" si="20">J161*K161*L161/1000</f>
        <v>0.93015520000000018</v>
      </c>
      <c r="N161" s="72">
        <f>VLOOKUP($H:$H,型材表!$B$5:$I$245,7,0)</f>
        <v>0</v>
      </c>
      <c r="O161" s="46">
        <f t="shared" ref="O161:O165" si="21">N161*M161</f>
        <v>0</v>
      </c>
      <c r="P161" s="100">
        <f>VLOOKUP($H:$H,型材表!$B$5:$I$245,5,0)</f>
        <v>0.125</v>
      </c>
      <c r="Q161" s="100" t="str">
        <f>VLOOKUP($H:$H,型材表!$B$5:$I$245,6,0)</f>
        <v>非断桥隔热铝型材</v>
      </c>
      <c r="R161" s="49"/>
      <c r="S161" s="50"/>
      <c r="U161" s="374" t="s">
        <v>989</v>
      </c>
      <c r="V161" s="259">
        <f>59.8*2</f>
        <v>119.6</v>
      </c>
      <c r="X161" s="264">
        <f>59.8*2</f>
        <v>119.6</v>
      </c>
      <c r="Y161" s="265"/>
      <c r="Z161" s="264">
        <f>59.8*2</f>
        <v>119.6</v>
      </c>
      <c r="AA161" s="277"/>
      <c r="AB161" s="264">
        <f>59.8*2</f>
        <v>119.6</v>
      </c>
      <c r="AC161" s="277"/>
      <c r="AD161" s="264">
        <f>59.8*2</f>
        <v>119.6</v>
      </c>
      <c r="AE161" s="277"/>
      <c r="AF161" s="264">
        <f>59.8*2</f>
        <v>119.6</v>
      </c>
      <c r="AG161" s="277"/>
      <c r="AH161" s="264">
        <f>59.8*2</f>
        <v>119.6</v>
      </c>
      <c r="AI161" s="277"/>
    </row>
    <row r="162" spans="1:35" x14ac:dyDescent="0.15">
      <c r="A162" s="395">
        <v>8</v>
      </c>
      <c r="B162" s="537"/>
      <c r="C162" s="538"/>
      <c r="D162" s="538"/>
      <c r="E162" s="539"/>
      <c r="F162" s="47" t="str">
        <f>VLOOKUP($H:$H,型材表!$B$5:$I$245,2,0)</f>
        <v>压线</v>
      </c>
      <c r="G162" s="45" t="s">
        <v>40</v>
      </c>
      <c r="H162" s="45" t="str">
        <f>H161</f>
        <v>SN65AY001</v>
      </c>
      <c r="I162" s="45" t="s">
        <v>1570</v>
      </c>
      <c r="J162" s="46">
        <f>IF(G140=65,M147-V162,IF(G140=55,M147-X162,IF(G140=551,M147-Z162,IF(G140=60,M147-AB162,IF(G140=601,M147-AD162,IF(G140=70,M147-AF162,IF(G140=75,M147-AH162)))))))</f>
        <v>499.9</v>
      </c>
      <c r="K162" s="45">
        <v>4</v>
      </c>
      <c r="L162" s="47">
        <f>VLOOKUP($H:$H,型材表!$B$5:$I$245,4,0)</f>
        <v>0.19700000000000001</v>
      </c>
      <c r="M162" s="46">
        <f t="shared" si="20"/>
        <v>0.39392119999999997</v>
      </c>
      <c r="N162" s="72">
        <f>VLOOKUP($H:$H,型材表!$B$5:$I$245,7,0)</f>
        <v>0</v>
      </c>
      <c r="O162" s="46">
        <f t="shared" si="21"/>
        <v>0</v>
      </c>
      <c r="P162" s="100">
        <f>VLOOKUP($H:$H,型材表!$B$5:$I$245,5,0)</f>
        <v>0.125</v>
      </c>
      <c r="Q162" s="100" t="str">
        <f>VLOOKUP($H:$H,型材表!$B$5:$I$245,6,0)</f>
        <v>非断桥隔热铝型材</v>
      </c>
      <c r="R162" s="49"/>
      <c r="S162" s="50"/>
      <c r="U162" s="374" t="s">
        <v>1569</v>
      </c>
      <c r="V162" s="259">
        <f>59.8+80.6/2</f>
        <v>100.1</v>
      </c>
      <c r="X162" s="286">
        <f>59.8+80.6/2</f>
        <v>100.1</v>
      </c>
      <c r="Y162" s="265"/>
      <c r="Z162" s="286">
        <f>59.8+80.6/2</f>
        <v>100.1</v>
      </c>
      <c r="AA162" s="277"/>
      <c r="AB162" s="286">
        <f>59.8+80.6/2</f>
        <v>100.1</v>
      </c>
      <c r="AC162" s="277"/>
      <c r="AD162" s="286">
        <f>59.8+80.6/2</f>
        <v>100.1</v>
      </c>
      <c r="AE162" s="277"/>
      <c r="AF162" s="286">
        <f>59.8+80.6/2</f>
        <v>100.1</v>
      </c>
      <c r="AG162" s="277"/>
      <c r="AH162" s="286">
        <f>59.8+80.6/2</f>
        <v>100.1</v>
      </c>
      <c r="AI162" s="277"/>
    </row>
    <row r="163" spans="1:35" x14ac:dyDescent="0.15">
      <c r="A163" s="395">
        <v>9</v>
      </c>
      <c r="B163" s="531" t="s">
        <v>44</v>
      </c>
      <c r="C163" s="532"/>
      <c r="D163" s="532"/>
      <c r="E163" s="533"/>
      <c r="F163" s="47" t="str">
        <f>VLOOKUP($H:$H,型材表!$B$5:$I$245,2,0)</f>
        <v>角码</v>
      </c>
      <c r="G163" s="51" t="s">
        <v>446</v>
      </c>
      <c r="H163" s="45" t="str">
        <f>IF(G140=65,"SW55F001","SN55F003")</f>
        <v>SW55F001</v>
      </c>
      <c r="I163" s="45" t="s">
        <v>1006</v>
      </c>
      <c r="J163" s="52">
        <f>IF(G140=65,V163,IF(G140=55,X163,IF(G140=551,Z163,IF(G140=60,AB163,IF(G140=601,AD163,IF(G140=70,AF163,IF(G140=75,AH163)))))))</f>
        <v>32.200000000000003</v>
      </c>
      <c r="K163" s="45">
        <f>K155*2</f>
        <v>4</v>
      </c>
      <c r="L163" s="47">
        <f>VLOOKUP($H:$H,型材表!$B$5:$I$245,4,0)</f>
        <v>2.0950000000000002</v>
      </c>
      <c r="M163" s="46">
        <f t="shared" si="20"/>
        <v>0.26983600000000008</v>
      </c>
      <c r="N163" s="72">
        <f>VLOOKUP($H:$H,型材表!$B$5:$I$45,7,0)</f>
        <v>0</v>
      </c>
      <c r="O163" s="46">
        <f t="shared" si="21"/>
        <v>0</v>
      </c>
      <c r="P163" s="100">
        <f>VLOOKUP($H:$H,型材表!$B$5:$I$245,5,0)</f>
        <v>0.125</v>
      </c>
      <c r="Q163" s="100" t="str">
        <f>VLOOKUP($H:$H,型材表!$B$5:$I$245,6,0)</f>
        <v>阳极氧化铝型材</v>
      </c>
      <c r="R163" s="49"/>
      <c r="S163" s="50"/>
      <c r="U163" s="374" t="s">
        <v>994</v>
      </c>
      <c r="V163" s="259">
        <f>19.5-1+14.7-1</f>
        <v>32.200000000000003</v>
      </c>
      <c r="X163" s="264">
        <f>19.5-1+14.7-1</f>
        <v>32.200000000000003</v>
      </c>
      <c r="Y163" s="265"/>
      <c r="Z163" s="264">
        <f>19.5-1+10.9-1</f>
        <v>28.4</v>
      </c>
      <c r="AA163" s="277"/>
      <c r="AB163" s="264">
        <f>19.5-1+14.7-1</f>
        <v>32.200000000000003</v>
      </c>
      <c r="AC163" s="277"/>
      <c r="AD163" s="264">
        <f>19.5-1+10.9-1</f>
        <v>28.4</v>
      </c>
      <c r="AE163" s="277"/>
      <c r="AF163" s="264">
        <f>19.5-1+14.7-1</f>
        <v>32.200000000000003</v>
      </c>
      <c r="AG163" s="277"/>
      <c r="AH163" s="264">
        <f>19.5-1+14.7-1</f>
        <v>32.200000000000003</v>
      </c>
      <c r="AI163" s="277"/>
    </row>
    <row r="164" spans="1:35" x14ac:dyDescent="0.15">
      <c r="A164" s="395">
        <v>10</v>
      </c>
      <c r="B164" s="534"/>
      <c r="C164" s="535"/>
      <c r="D164" s="535"/>
      <c r="E164" s="536"/>
      <c r="F164" s="47" t="str">
        <f>VLOOKUP($H:$H,型材表!$B$5:$I$245,2,0)</f>
        <v>角码</v>
      </c>
      <c r="G164" s="51" t="s">
        <v>447</v>
      </c>
      <c r="H164" s="45" t="str">
        <f>IF(G140=70,"SW50F002",IF(G140=75,"SW50F002","SN55F003"))</f>
        <v>SN55F003</v>
      </c>
      <c r="I164" s="45" t="s">
        <v>995</v>
      </c>
      <c r="J164" s="52">
        <f>IF(G140=65,V164,IF(G140=55,X164,IF(G140=551,Z164,IF(G140=60,AB164,IF(G140=601,AD164,IF(G140=70,AF164,IF(G140=75,AH164)))))))</f>
        <v>27.1</v>
      </c>
      <c r="K164" s="45">
        <v>8</v>
      </c>
      <c r="L164" s="47">
        <f>VLOOKUP($H:$H,型材表!$B$5:$I$245,4,0)</f>
        <v>1.7490000000000001</v>
      </c>
      <c r="M164" s="46">
        <f t="shared" si="20"/>
        <v>0.37918320000000005</v>
      </c>
      <c r="N164" s="72">
        <f>VLOOKUP($H:$H,型材表!$B$5:$I$45,7,0)</f>
        <v>0</v>
      </c>
      <c r="O164" s="46">
        <f t="shared" si="21"/>
        <v>0</v>
      </c>
      <c r="P164" s="100">
        <f>VLOOKUP($H:$H,型材表!$B$5:$I$245,5,0)</f>
        <v>0.125</v>
      </c>
      <c r="Q164" s="100" t="str">
        <f>VLOOKUP($H:$H,型材表!$B$5:$I$245,6,0)</f>
        <v>阳极氧化铝型材</v>
      </c>
      <c r="R164" s="49"/>
      <c r="S164" s="50"/>
      <c r="U164" s="374" t="s">
        <v>995</v>
      </c>
      <c r="V164" s="259">
        <f>28.1-1</f>
        <v>27.1</v>
      </c>
      <c r="X164" s="264"/>
      <c r="Y164" s="265"/>
      <c r="Z164" s="264"/>
      <c r="AA164" s="277"/>
      <c r="AB164" s="264"/>
      <c r="AC164" s="277"/>
      <c r="AD164" s="264"/>
      <c r="AE164" s="277"/>
      <c r="AF164" s="264"/>
      <c r="AG164" s="277"/>
      <c r="AH164" s="264"/>
      <c r="AI164" s="277"/>
    </row>
    <row r="165" spans="1:35" x14ac:dyDescent="0.15">
      <c r="A165" s="395">
        <v>11</v>
      </c>
      <c r="B165" s="534"/>
      <c r="C165" s="535"/>
      <c r="D165" s="535"/>
      <c r="E165" s="536"/>
      <c r="F165" s="47" t="str">
        <f>VLOOKUP($H:$H,型材表!$B$5:$I$245,2,0)</f>
        <v>角码</v>
      </c>
      <c r="G165" s="51" t="s">
        <v>447</v>
      </c>
      <c r="H165" s="45" t="str">
        <f>IF(G140=65,"SN55F003","SN55F003")</f>
        <v>SN55F003</v>
      </c>
      <c r="I165" s="45" t="s">
        <v>996</v>
      </c>
      <c r="J165" s="52">
        <f>IF(G140=65,V165,IF(G140=55,X165,IF(G140=551,Z165,IF(G140=60,AB165,IF(G140=601,AD165,IF(G140=70,AF165,IF(G140=75,AH165)))))))</f>
        <v>8</v>
      </c>
      <c r="K165" s="45">
        <f>K164</f>
        <v>8</v>
      </c>
      <c r="L165" s="47">
        <f>VLOOKUP($H:$H,型材表!$B$5:$I$245,4,0)</f>
        <v>1.7490000000000001</v>
      </c>
      <c r="M165" s="46">
        <f t="shared" si="20"/>
        <v>0.11193600000000001</v>
      </c>
      <c r="N165" s="72">
        <f>VLOOKUP($H:$H,型材表!$B$5:$I$45,7,0)</f>
        <v>0</v>
      </c>
      <c r="O165" s="46">
        <f t="shared" si="21"/>
        <v>0</v>
      </c>
      <c r="P165" s="100">
        <f>VLOOKUP($H:$H,型材表!$B$5:$I$245,5,0)</f>
        <v>0.125</v>
      </c>
      <c r="Q165" s="100" t="str">
        <f>VLOOKUP($H:$H,型材表!$B$5:$I$245,6,0)</f>
        <v>阳极氧化铝型材</v>
      </c>
      <c r="R165" s="49"/>
      <c r="S165" s="50"/>
      <c r="U165" s="374" t="s">
        <v>996</v>
      </c>
      <c r="V165" s="259">
        <f>9-1</f>
        <v>8</v>
      </c>
      <c r="X165" s="264">
        <f>9-1</f>
        <v>8</v>
      </c>
      <c r="Y165" s="265"/>
      <c r="Z165" s="264">
        <f>5.2-1</f>
        <v>4.2</v>
      </c>
      <c r="AA165" s="277"/>
      <c r="AB165" s="264">
        <f>9-1</f>
        <v>8</v>
      </c>
      <c r="AC165" s="277"/>
      <c r="AD165" s="264">
        <f>5.2-1</f>
        <v>4.2</v>
      </c>
      <c r="AE165" s="277"/>
      <c r="AF165" s="264">
        <f>9-1</f>
        <v>8</v>
      </c>
      <c r="AG165" s="277"/>
      <c r="AH165" s="264">
        <f>9-1</f>
        <v>8</v>
      </c>
      <c r="AI165" s="277"/>
    </row>
    <row r="166" spans="1:35" x14ac:dyDescent="0.15">
      <c r="A166" s="395">
        <v>12</v>
      </c>
      <c r="B166" s="537"/>
      <c r="C166" s="538"/>
      <c r="D166" s="538"/>
      <c r="E166" s="539"/>
      <c r="F166" s="47"/>
      <c r="G166" s="53"/>
      <c r="H166" s="45"/>
      <c r="I166" s="45"/>
      <c r="J166" s="52"/>
      <c r="K166" s="55"/>
      <c r="L166" s="47"/>
      <c r="M166" s="46"/>
      <c r="N166" s="72"/>
      <c r="O166" s="46"/>
      <c r="P166" s="100"/>
      <c r="Q166" s="307"/>
      <c r="R166" s="49"/>
      <c r="S166" s="50"/>
      <c r="X166" s="264"/>
      <c r="Y166" s="265"/>
      <c r="Z166" s="264"/>
      <c r="AA166" s="277"/>
      <c r="AB166" s="264"/>
      <c r="AC166" s="277"/>
      <c r="AD166" s="264"/>
      <c r="AE166" s="277"/>
      <c r="AF166" s="264"/>
      <c r="AG166" s="277"/>
      <c r="AH166" s="264"/>
      <c r="AI166" s="277"/>
    </row>
    <row r="167" spans="1:35" x14ac:dyDescent="0.15">
      <c r="A167" s="395">
        <v>13</v>
      </c>
      <c r="B167" s="387"/>
      <c r="C167" s="388"/>
      <c r="D167" s="388"/>
      <c r="E167" s="389"/>
      <c r="F167" s="306"/>
      <c r="G167" s="53"/>
      <c r="H167" s="207"/>
      <c r="I167" s="207"/>
      <c r="J167" s="214"/>
      <c r="K167" s="55"/>
      <c r="L167" s="306"/>
      <c r="M167" s="208"/>
      <c r="N167" s="432"/>
      <c r="O167" s="208"/>
      <c r="P167" s="433"/>
      <c r="Q167" s="360"/>
      <c r="R167" s="60"/>
      <c r="S167" s="50"/>
      <c r="X167" s="264"/>
      <c r="Y167" s="265"/>
      <c r="Z167" s="264"/>
      <c r="AA167" s="277"/>
      <c r="AB167" s="264"/>
      <c r="AC167" s="277"/>
      <c r="AD167" s="264"/>
      <c r="AE167" s="277"/>
      <c r="AF167" s="264"/>
      <c r="AG167" s="277"/>
      <c r="AH167" s="264"/>
      <c r="AI167" s="277"/>
    </row>
    <row r="168" spans="1:35" x14ac:dyDescent="0.15">
      <c r="A168" s="395">
        <v>14</v>
      </c>
      <c r="B168" s="387"/>
      <c r="C168" s="388"/>
      <c r="D168" s="388"/>
      <c r="E168" s="389"/>
      <c r="F168" s="306"/>
      <c r="G168" s="53"/>
      <c r="H168" s="207"/>
      <c r="I168" s="207"/>
      <c r="J168" s="214"/>
      <c r="K168" s="55"/>
      <c r="L168" s="306"/>
      <c r="M168" s="208"/>
      <c r="N168" s="432"/>
      <c r="O168" s="208"/>
      <c r="P168" s="433"/>
      <c r="Q168" s="360"/>
      <c r="R168" s="60"/>
      <c r="S168" s="50"/>
      <c r="X168" s="264"/>
      <c r="Y168" s="265"/>
      <c r="Z168" s="264"/>
      <c r="AA168" s="277"/>
      <c r="AB168" s="264"/>
      <c r="AC168" s="277"/>
      <c r="AD168" s="264"/>
      <c r="AE168" s="277"/>
      <c r="AF168" s="264"/>
      <c r="AG168" s="277"/>
      <c r="AH168" s="264"/>
      <c r="AI168" s="277"/>
    </row>
    <row r="169" spans="1:35" x14ac:dyDescent="0.15">
      <c r="A169" s="395">
        <v>15</v>
      </c>
      <c r="B169" s="387"/>
      <c r="C169" s="388"/>
      <c r="D169" s="388"/>
      <c r="E169" s="389"/>
      <c r="F169" s="306"/>
      <c r="G169" s="53"/>
      <c r="H169" s="207"/>
      <c r="I169" s="207"/>
      <c r="J169" s="214"/>
      <c r="K169" s="55"/>
      <c r="L169" s="306"/>
      <c r="M169" s="208"/>
      <c r="N169" s="432"/>
      <c r="O169" s="208"/>
      <c r="P169" s="433"/>
      <c r="Q169" s="360"/>
      <c r="R169" s="60"/>
      <c r="S169" s="50"/>
      <c r="X169" s="264"/>
      <c r="Y169" s="265"/>
      <c r="Z169" s="264"/>
      <c r="AA169" s="277"/>
      <c r="AB169" s="264"/>
      <c r="AC169" s="277"/>
      <c r="AD169" s="264"/>
      <c r="AE169" s="277"/>
      <c r="AF169" s="264"/>
      <c r="AG169" s="277"/>
      <c r="AH169" s="264"/>
      <c r="AI169" s="277"/>
    </row>
    <row r="170" spans="1:35" x14ac:dyDescent="0.15">
      <c r="A170" s="395">
        <v>16</v>
      </c>
      <c r="B170" s="387"/>
      <c r="C170" s="388"/>
      <c r="D170" s="388"/>
      <c r="E170" s="389"/>
      <c r="F170" s="306"/>
      <c r="G170" s="53"/>
      <c r="H170" s="207"/>
      <c r="I170" s="207"/>
      <c r="J170" s="214"/>
      <c r="K170" s="55"/>
      <c r="L170" s="306"/>
      <c r="M170" s="208"/>
      <c r="N170" s="432"/>
      <c r="O170" s="208"/>
      <c r="P170" s="433"/>
      <c r="Q170" s="360"/>
      <c r="R170" s="60"/>
      <c r="S170" s="50"/>
      <c r="X170" s="264"/>
      <c r="Y170" s="265"/>
      <c r="Z170" s="264"/>
      <c r="AA170" s="277"/>
      <c r="AB170" s="264"/>
      <c r="AC170" s="277"/>
      <c r="AD170" s="264"/>
      <c r="AE170" s="277"/>
      <c r="AF170" s="264"/>
      <c r="AG170" s="277"/>
      <c r="AH170" s="264"/>
      <c r="AI170" s="277"/>
    </row>
    <row r="171" spans="1:35" x14ac:dyDescent="0.15">
      <c r="A171" s="395">
        <v>17</v>
      </c>
      <c r="B171" s="387"/>
      <c r="C171" s="388"/>
      <c r="D171" s="388"/>
      <c r="E171" s="389"/>
      <c r="F171" s="306"/>
      <c r="G171" s="53"/>
      <c r="H171" s="207"/>
      <c r="I171" s="207"/>
      <c r="J171" s="214"/>
      <c r="K171" s="55"/>
      <c r="L171" s="306"/>
      <c r="M171" s="208"/>
      <c r="N171" s="432"/>
      <c r="O171" s="208"/>
      <c r="P171" s="433"/>
      <c r="Q171" s="360"/>
      <c r="R171" s="60"/>
      <c r="S171" s="50"/>
      <c r="X171" s="264"/>
      <c r="Y171" s="265"/>
      <c r="Z171" s="264"/>
      <c r="AA171" s="277"/>
      <c r="AB171" s="264"/>
      <c r="AC171" s="277"/>
      <c r="AD171" s="264"/>
      <c r="AE171" s="277"/>
      <c r="AF171" s="264"/>
      <c r="AG171" s="277"/>
      <c r="AH171" s="264"/>
      <c r="AI171" s="277"/>
    </row>
    <row r="172" spans="1:35" x14ac:dyDescent="0.15">
      <c r="A172" s="395">
        <v>18</v>
      </c>
      <c r="B172" s="387"/>
      <c r="C172" s="388"/>
      <c r="D172" s="388"/>
      <c r="E172" s="389"/>
      <c r="F172" s="306"/>
      <c r="G172" s="53"/>
      <c r="H172" s="207"/>
      <c r="I172" s="207"/>
      <c r="J172" s="214"/>
      <c r="K172" s="55"/>
      <c r="L172" s="306"/>
      <c r="M172" s="208"/>
      <c r="N172" s="432"/>
      <c r="O172" s="208"/>
      <c r="P172" s="433"/>
      <c r="Q172" s="360"/>
      <c r="R172" s="60"/>
      <c r="S172" s="50"/>
      <c r="X172" s="264"/>
      <c r="Y172" s="265"/>
      <c r="Z172" s="264"/>
      <c r="AA172" s="277"/>
      <c r="AB172" s="264"/>
      <c r="AC172" s="277"/>
      <c r="AD172" s="264"/>
      <c r="AE172" s="277"/>
      <c r="AF172" s="264"/>
      <c r="AG172" s="277"/>
      <c r="AH172" s="264"/>
      <c r="AI172" s="277"/>
    </row>
    <row r="173" spans="1:35" x14ac:dyDescent="0.15">
      <c r="A173" s="395">
        <v>19</v>
      </c>
      <c r="B173" s="387"/>
      <c r="C173" s="388"/>
      <c r="D173" s="388"/>
      <c r="E173" s="389"/>
      <c r="F173" s="306"/>
      <c r="G173" s="53"/>
      <c r="H173" s="207"/>
      <c r="I173" s="207"/>
      <c r="J173" s="214"/>
      <c r="K173" s="55"/>
      <c r="L173" s="306"/>
      <c r="M173" s="208"/>
      <c r="N173" s="432"/>
      <c r="O173" s="208"/>
      <c r="P173" s="433"/>
      <c r="Q173" s="360"/>
      <c r="R173" s="60"/>
      <c r="S173" s="50"/>
      <c r="X173" s="264"/>
      <c r="Y173" s="265"/>
      <c r="Z173" s="264"/>
      <c r="AA173" s="277"/>
      <c r="AB173" s="264"/>
      <c r="AC173" s="277"/>
      <c r="AD173" s="264"/>
      <c r="AE173" s="277"/>
      <c r="AF173" s="264"/>
      <c r="AG173" s="277"/>
      <c r="AH173" s="264"/>
      <c r="AI173" s="277"/>
    </row>
    <row r="174" spans="1:35" x14ac:dyDescent="0.15">
      <c r="A174" s="395">
        <v>20</v>
      </c>
      <c r="B174" s="387"/>
      <c r="C174" s="388"/>
      <c r="D174" s="388"/>
      <c r="E174" s="389"/>
      <c r="F174" s="306"/>
      <c r="G174" s="53"/>
      <c r="H174" s="207"/>
      <c r="I174" s="207"/>
      <c r="J174" s="214"/>
      <c r="K174" s="55"/>
      <c r="L174" s="306"/>
      <c r="M174" s="208"/>
      <c r="N174" s="432"/>
      <c r="O174" s="208"/>
      <c r="P174" s="433"/>
      <c r="Q174" s="360"/>
      <c r="R174" s="60"/>
      <c r="S174" s="50"/>
      <c r="X174" s="264"/>
      <c r="Y174" s="265"/>
      <c r="Z174" s="264"/>
      <c r="AA174" s="277"/>
      <c r="AB174" s="264"/>
      <c r="AC174" s="277"/>
      <c r="AD174" s="264"/>
      <c r="AE174" s="277"/>
      <c r="AF174" s="264"/>
      <c r="AG174" s="277"/>
      <c r="AH174" s="264"/>
      <c r="AI174" s="277"/>
    </row>
    <row r="175" spans="1:35" x14ac:dyDescent="0.15">
      <c r="A175" s="395">
        <v>21</v>
      </c>
      <c r="B175" s="387"/>
      <c r="C175" s="388"/>
      <c r="D175" s="388"/>
      <c r="E175" s="389"/>
      <c r="F175" s="306"/>
      <c r="G175" s="53"/>
      <c r="H175" s="207"/>
      <c r="I175" s="207"/>
      <c r="J175" s="214"/>
      <c r="K175" s="55"/>
      <c r="L175" s="306"/>
      <c r="M175" s="208"/>
      <c r="N175" s="432"/>
      <c r="O175" s="208"/>
      <c r="P175" s="433"/>
      <c r="Q175" s="360"/>
      <c r="R175" s="60"/>
      <c r="S175" s="50"/>
      <c r="X175" s="264"/>
      <c r="Y175" s="265"/>
      <c r="Z175" s="264"/>
      <c r="AA175" s="277"/>
      <c r="AB175" s="264"/>
      <c r="AC175" s="277"/>
      <c r="AD175" s="264"/>
      <c r="AE175" s="277"/>
      <c r="AF175" s="264"/>
      <c r="AG175" s="277"/>
      <c r="AH175" s="264"/>
      <c r="AI175" s="277"/>
    </row>
    <row r="176" spans="1:35" x14ac:dyDescent="0.15">
      <c r="A176" s="563" t="s">
        <v>877</v>
      </c>
      <c r="B176" s="563"/>
      <c r="C176" s="563"/>
      <c r="D176" s="564"/>
      <c r="E176" s="564"/>
      <c r="F176" s="563"/>
      <c r="G176" s="563"/>
      <c r="H176" s="563"/>
      <c r="I176" s="563"/>
      <c r="J176" s="563"/>
      <c r="K176" s="563"/>
      <c r="L176" s="563"/>
      <c r="M176" s="46">
        <f>SUMIF(Q155:Q166,A176,M155:M166)</f>
        <v>16.070360000000001</v>
      </c>
      <c r="N176" s="58"/>
      <c r="O176" s="46"/>
      <c r="P176" s="59"/>
      <c r="Q176" s="336"/>
      <c r="R176" s="60"/>
      <c r="S176" s="50"/>
      <c r="X176" s="264"/>
      <c r="Y176" s="265"/>
      <c r="Z176" s="278"/>
      <c r="AA176" s="277"/>
      <c r="AB176" s="278"/>
      <c r="AC176" s="277"/>
      <c r="AD176" s="278"/>
      <c r="AE176" s="277"/>
      <c r="AF176" s="278"/>
      <c r="AG176" s="277"/>
      <c r="AH176" s="278"/>
      <c r="AI176" s="277"/>
    </row>
    <row r="177" spans="1:35" x14ac:dyDescent="0.15">
      <c r="A177" s="563" t="s">
        <v>879</v>
      </c>
      <c r="B177" s="563"/>
      <c r="C177" s="563"/>
      <c r="D177" s="564"/>
      <c r="E177" s="564"/>
      <c r="F177" s="563"/>
      <c r="G177" s="563"/>
      <c r="H177" s="563"/>
      <c r="I177" s="563"/>
      <c r="J177" s="563"/>
      <c r="K177" s="563"/>
      <c r="L177" s="563"/>
      <c r="M177" s="46">
        <f>SUMIF(Q156:Q176,A177,M156:M176)</f>
        <v>1.3240764</v>
      </c>
      <c r="N177" s="58"/>
      <c r="O177" s="46"/>
      <c r="P177" s="59"/>
      <c r="Q177" s="336"/>
      <c r="R177" s="60"/>
      <c r="S177" s="50"/>
      <c r="X177" s="264"/>
      <c r="Y177" s="265"/>
      <c r="Z177" s="278"/>
      <c r="AA177" s="277"/>
      <c r="AB177" s="278"/>
      <c r="AC177" s="277"/>
      <c r="AD177" s="278"/>
      <c r="AE177" s="277"/>
      <c r="AF177" s="278"/>
      <c r="AG177" s="277"/>
      <c r="AH177" s="278"/>
      <c r="AI177" s="277"/>
    </row>
    <row r="178" spans="1:35" x14ac:dyDescent="0.15">
      <c r="A178" s="563" t="s">
        <v>880</v>
      </c>
      <c r="B178" s="563"/>
      <c r="C178" s="563"/>
      <c r="D178" s="564"/>
      <c r="E178" s="564"/>
      <c r="F178" s="563"/>
      <c r="G178" s="563"/>
      <c r="H178" s="563"/>
      <c r="I178" s="563"/>
      <c r="J178" s="563"/>
      <c r="K178" s="563"/>
      <c r="L178" s="563"/>
      <c r="M178" s="46">
        <f>SUMIF(Q157:Q177,A178,M157:M177)</f>
        <v>0.76095520000000016</v>
      </c>
      <c r="N178" s="58"/>
      <c r="O178" s="46"/>
      <c r="P178" s="59"/>
      <c r="Q178" s="336"/>
      <c r="R178" s="60"/>
      <c r="S178" s="50"/>
      <c r="X178" s="264"/>
      <c r="Y178" s="265"/>
      <c r="Z178" s="278"/>
      <c r="AA178" s="277"/>
      <c r="AB178" s="278"/>
      <c r="AC178" s="277"/>
      <c r="AD178" s="278"/>
      <c r="AE178" s="277"/>
      <c r="AF178" s="278"/>
      <c r="AG178" s="277"/>
      <c r="AH178" s="278"/>
      <c r="AI178" s="277"/>
    </row>
    <row r="179" spans="1:35" x14ac:dyDescent="0.15">
      <c r="A179" s="61"/>
      <c r="B179" s="552"/>
      <c r="C179" s="557"/>
      <c r="D179" s="557"/>
      <c r="E179" s="553"/>
      <c r="F179" s="552" t="s">
        <v>48</v>
      </c>
      <c r="G179" s="557"/>
      <c r="H179" s="557"/>
      <c r="I179" s="557"/>
      <c r="J179" s="557"/>
      <c r="K179" s="557"/>
      <c r="L179" s="553"/>
      <c r="M179" s="62">
        <f>SUM(M176:M178)</f>
        <v>18.155391600000002</v>
      </c>
      <c r="N179" s="63"/>
      <c r="O179" s="62">
        <f>SUM(O155:O166)</f>
        <v>0</v>
      </c>
      <c r="P179" s="63"/>
      <c r="Q179" s="337"/>
      <c r="R179" s="64"/>
      <c r="S179" s="64"/>
      <c r="X179" s="264"/>
      <c r="Y179" s="265"/>
      <c r="Z179" s="278"/>
      <c r="AA179" s="277"/>
      <c r="AB179" s="278"/>
      <c r="AC179" s="277"/>
      <c r="AD179" s="278"/>
      <c r="AE179" s="277"/>
      <c r="AF179" s="278"/>
      <c r="AG179" s="277"/>
      <c r="AH179" s="278"/>
      <c r="AI179" s="277"/>
    </row>
    <row r="180" spans="1:35" ht="24" x14ac:dyDescent="0.15">
      <c r="A180" s="65"/>
      <c r="B180" s="565" t="s">
        <v>49</v>
      </c>
      <c r="C180" s="561"/>
      <c r="D180" s="561"/>
      <c r="E180" s="566"/>
      <c r="F180" s="565" t="s">
        <v>26</v>
      </c>
      <c r="G180" s="566"/>
      <c r="H180" s="66" t="s">
        <v>1007</v>
      </c>
      <c r="I180" s="66" t="s">
        <v>1008</v>
      </c>
      <c r="J180" s="66" t="s">
        <v>50</v>
      </c>
      <c r="K180" s="66" t="s">
        <v>51</v>
      </c>
      <c r="L180" s="67" t="s">
        <v>30</v>
      </c>
      <c r="M180" s="66" t="s">
        <v>52</v>
      </c>
      <c r="N180" s="68" t="s">
        <v>53</v>
      </c>
      <c r="O180" s="68" t="s">
        <v>34</v>
      </c>
      <c r="P180" s="69" t="s">
        <v>35</v>
      </c>
      <c r="Q180" s="338"/>
      <c r="R180" s="67"/>
      <c r="S180" s="67"/>
      <c r="V180" s="270" t="s">
        <v>352</v>
      </c>
      <c r="W180" s="270" t="s">
        <v>353</v>
      </c>
      <c r="X180" s="271" t="s">
        <v>352</v>
      </c>
      <c r="Y180" s="272" t="s">
        <v>353</v>
      </c>
      <c r="Z180" s="271" t="s">
        <v>352</v>
      </c>
      <c r="AA180" s="272" t="s">
        <v>353</v>
      </c>
      <c r="AB180" s="271" t="s">
        <v>352</v>
      </c>
      <c r="AC180" s="272" t="s">
        <v>353</v>
      </c>
      <c r="AD180" s="271" t="s">
        <v>352</v>
      </c>
      <c r="AE180" s="272" t="s">
        <v>353</v>
      </c>
      <c r="AF180" s="271" t="s">
        <v>352</v>
      </c>
      <c r="AG180" s="272" t="s">
        <v>353</v>
      </c>
      <c r="AH180" s="271" t="s">
        <v>352</v>
      </c>
      <c r="AI180" s="272" t="s">
        <v>353</v>
      </c>
    </row>
    <row r="181" spans="1:35" ht="19.5" customHeight="1" x14ac:dyDescent="0.15">
      <c r="A181" s="57">
        <v>1</v>
      </c>
      <c r="B181" s="545" t="s">
        <v>133</v>
      </c>
      <c r="C181" s="546"/>
      <c r="D181" s="546"/>
      <c r="E181" s="547"/>
      <c r="F181" s="545" t="s">
        <v>55</v>
      </c>
      <c r="G181" s="547"/>
      <c r="H181" s="45" t="s">
        <v>1035</v>
      </c>
      <c r="I181" s="45" t="s">
        <v>1010</v>
      </c>
      <c r="J181" s="46">
        <f>IF(G140=65,M147-V181,IF(G140=55,M147-X181,IF(G140=551,M147-Z181,IF(G140=60,M147-AB181,IF(G140=601,M147-AD181,IF(G140=70,M147-AF181,IF(G140=75,M147-AH181)))))))</f>
        <v>479.5</v>
      </c>
      <c r="K181" s="45">
        <f>IF(G140=65,M142-W181,IF(G140=55,M142-Y181,IF(G140=551,M142-AA181,IF(G140=60,M142-AC181,IF(G140=601,M142-AE181,IF(G140=70,M142-AG181,IF(G140=75,M142-AI181)))))))</f>
        <v>1160</v>
      </c>
      <c r="L181" s="70">
        <v>2</v>
      </c>
      <c r="M181" s="46">
        <f>J181*K181*L181/1000000</f>
        <v>1.1124400000000001</v>
      </c>
      <c r="N181" s="46"/>
      <c r="O181" s="46">
        <f>N181*M181</f>
        <v>0</v>
      </c>
      <c r="P181" s="71"/>
      <c r="Q181" s="240"/>
      <c r="R181" s="72"/>
      <c r="S181" s="72"/>
      <c r="T181" s="456" t="s">
        <v>1598</v>
      </c>
      <c r="U181" s="374" t="s">
        <v>1594</v>
      </c>
      <c r="V181" s="259">
        <f>70+101/2</f>
        <v>120.5</v>
      </c>
      <c r="W181" s="259">
        <f>70*2</f>
        <v>140</v>
      </c>
      <c r="X181" s="264">
        <f>72+105/2</f>
        <v>124.5</v>
      </c>
      <c r="Y181" s="265">
        <f>72*2</f>
        <v>144</v>
      </c>
      <c r="Z181" s="264">
        <f>72+105/2</f>
        <v>124.5</v>
      </c>
      <c r="AA181" s="265">
        <f>72*2</f>
        <v>144</v>
      </c>
      <c r="AB181" s="264">
        <f>72+104.8/2</f>
        <v>124.4</v>
      </c>
      <c r="AC181" s="265">
        <f>72*2</f>
        <v>144</v>
      </c>
      <c r="AD181" s="264">
        <f>72+105/2</f>
        <v>124.5</v>
      </c>
      <c r="AE181" s="265">
        <f>72*2</f>
        <v>144</v>
      </c>
      <c r="AF181" s="264">
        <f>72+105/2</f>
        <v>124.5</v>
      </c>
      <c r="AG181" s="265">
        <f>72*2</f>
        <v>144</v>
      </c>
      <c r="AH181" s="264">
        <f>72+105/2</f>
        <v>124.5</v>
      </c>
      <c r="AI181" s="265">
        <f>72*2</f>
        <v>144</v>
      </c>
    </row>
    <row r="182" spans="1:35" x14ac:dyDescent="0.15">
      <c r="A182" s="57">
        <v>2</v>
      </c>
      <c r="B182" s="545"/>
      <c r="C182" s="546"/>
      <c r="D182" s="546"/>
      <c r="E182" s="547"/>
      <c r="F182" s="545"/>
      <c r="G182" s="547"/>
      <c r="H182" s="45"/>
      <c r="I182" s="45"/>
      <c r="J182" s="46"/>
      <c r="K182" s="45"/>
      <c r="L182" s="70"/>
      <c r="M182" s="46"/>
      <c r="N182" s="46"/>
      <c r="O182" s="46"/>
      <c r="P182" s="71"/>
      <c r="Q182" s="240"/>
      <c r="R182" s="72"/>
      <c r="S182" s="72"/>
    </row>
    <row r="183" spans="1:35" x14ac:dyDescent="0.15">
      <c r="A183" s="57"/>
      <c r="B183" s="545"/>
      <c r="C183" s="546"/>
      <c r="D183" s="546"/>
      <c r="E183" s="547"/>
      <c r="F183" s="545"/>
      <c r="G183" s="547"/>
      <c r="H183" s="45"/>
      <c r="I183" s="45"/>
      <c r="J183" s="46"/>
      <c r="K183" s="57"/>
      <c r="L183" s="70"/>
      <c r="M183" s="46"/>
      <c r="N183" s="46"/>
      <c r="O183" s="46"/>
      <c r="P183" s="48"/>
      <c r="Q183" s="211"/>
      <c r="R183" s="73"/>
      <c r="S183" s="73"/>
    </row>
    <row r="184" spans="1:35" x14ac:dyDescent="0.15">
      <c r="A184" s="396"/>
      <c r="B184" s="434"/>
      <c r="C184" s="435"/>
      <c r="D184" s="435"/>
      <c r="E184" s="436"/>
      <c r="F184" s="434"/>
      <c r="G184" s="436"/>
      <c r="H184" s="207"/>
      <c r="I184" s="207"/>
      <c r="J184" s="208"/>
      <c r="K184" s="396"/>
      <c r="L184" s="239"/>
      <c r="M184" s="208"/>
      <c r="N184" s="208"/>
      <c r="O184" s="208"/>
      <c r="P184" s="437"/>
      <c r="Q184" s="336"/>
      <c r="R184" s="117"/>
      <c r="S184" s="117"/>
    </row>
    <row r="185" spans="1:35" x14ac:dyDescent="0.15">
      <c r="A185" s="396"/>
      <c r="B185" s="434"/>
      <c r="C185" s="435"/>
      <c r="D185" s="435"/>
      <c r="E185" s="436"/>
      <c r="F185" s="434"/>
      <c r="G185" s="436"/>
      <c r="H185" s="207"/>
      <c r="I185" s="207"/>
      <c r="J185" s="208"/>
      <c r="K185" s="396"/>
      <c r="L185" s="239"/>
      <c r="M185" s="208"/>
      <c r="N185" s="208"/>
      <c r="O185" s="208"/>
      <c r="P185" s="437"/>
      <c r="Q185" s="336"/>
      <c r="R185" s="117"/>
      <c r="S185" s="117"/>
    </row>
    <row r="186" spans="1:35" x14ac:dyDescent="0.15">
      <c r="A186" s="396"/>
      <c r="B186" s="434"/>
      <c r="C186" s="435"/>
      <c r="D186" s="435"/>
      <c r="E186" s="436"/>
      <c r="F186" s="434"/>
      <c r="G186" s="436"/>
      <c r="H186" s="207"/>
      <c r="I186" s="207"/>
      <c r="J186" s="208"/>
      <c r="K186" s="396"/>
      <c r="L186" s="239"/>
      <c r="M186" s="208"/>
      <c r="N186" s="208"/>
      <c r="O186" s="208"/>
      <c r="P186" s="437"/>
      <c r="Q186" s="336"/>
      <c r="R186" s="117"/>
      <c r="S186" s="117"/>
    </row>
    <row r="187" spans="1:35" x14ac:dyDescent="0.15">
      <c r="A187" s="74"/>
      <c r="B187" s="552"/>
      <c r="C187" s="557"/>
      <c r="D187" s="557"/>
      <c r="E187" s="553"/>
      <c r="F187" s="554" t="s">
        <v>56</v>
      </c>
      <c r="G187" s="554"/>
      <c r="H187" s="554"/>
      <c r="I187" s="554"/>
      <c r="J187" s="570"/>
      <c r="K187" s="570"/>
      <c r="L187" s="554"/>
      <c r="M187" s="62">
        <f>SUM(M181:M186)</f>
        <v>1.1124400000000001</v>
      </c>
      <c r="N187" s="75"/>
      <c r="O187" s="62">
        <f>SUM(O181:O186)</f>
        <v>0</v>
      </c>
      <c r="P187" s="63" t="s">
        <v>57</v>
      </c>
      <c r="Q187" s="337"/>
      <c r="R187" s="64"/>
      <c r="S187" s="64"/>
    </row>
    <row r="188" spans="1:35" ht="24" x14ac:dyDescent="0.15">
      <c r="A188" s="65"/>
      <c r="B188" s="565" t="s">
        <v>58</v>
      </c>
      <c r="C188" s="561"/>
      <c r="D188" s="561"/>
      <c r="E188" s="566"/>
      <c r="F188" s="565" t="s">
        <v>26</v>
      </c>
      <c r="G188" s="566"/>
      <c r="H188" s="66" t="s">
        <v>59</v>
      </c>
      <c r="I188" s="66"/>
      <c r="J188" s="66" t="s">
        <v>60</v>
      </c>
      <c r="K188" s="66" t="s">
        <v>6</v>
      </c>
      <c r="L188" s="67" t="s">
        <v>61</v>
      </c>
      <c r="M188" s="66" t="s">
        <v>30</v>
      </c>
      <c r="N188" s="68" t="s">
        <v>62</v>
      </c>
      <c r="O188" s="68" t="s">
        <v>34</v>
      </c>
      <c r="P188" s="69" t="s">
        <v>57</v>
      </c>
      <c r="Q188" s="338"/>
      <c r="R188" s="67"/>
      <c r="S188" s="67"/>
    </row>
    <row r="189" spans="1:35" ht="25.5" customHeight="1" x14ac:dyDescent="0.15">
      <c r="A189" s="57">
        <v>1</v>
      </c>
      <c r="B189" s="545"/>
      <c r="C189" s="546"/>
      <c r="D189" s="546"/>
      <c r="E189" s="547"/>
      <c r="F189" s="545" t="s">
        <v>63</v>
      </c>
      <c r="G189" s="547"/>
      <c r="H189" s="45"/>
      <c r="I189" s="45"/>
      <c r="J189" s="45"/>
      <c r="K189" s="46" t="str">
        <f>VLOOKUP($F:$F,材料单价表!$B$3:$G$42,4,0)</f>
        <v>套</v>
      </c>
      <c r="L189" s="72"/>
      <c r="M189" s="46">
        <v>2</v>
      </c>
      <c r="N189" s="46">
        <f>VLOOKUP($F:$F,材料单价表!$B$3:$G$42,5,0)</f>
        <v>0</v>
      </c>
      <c r="O189" s="46">
        <f t="shared" ref="O189" si="22">N189*M189</f>
        <v>0</v>
      </c>
      <c r="P189" s="48"/>
      <c r="Q189" s="211"/>
      <c r="R189" s="73"/>
      <c r="S189" s="73"/>
    </row>
    <row r="190" spans="1:35" x14ac:dyDescent="0.15">
      <c r="A190" s="74"/>
      <c r="B190" s="552"/>
      <c r="C190" s="557"/>
      <c r="D190" s="557"/>
      <c r="E190" s="553"/>
      <c r="F190" s="554" t="s">
        <v>64</v>
      </c>
      <c r="G190" s="554"/>
      <c r="H190" s="554"/>
      <c r="I190" s="554"/>
      <c r="J190" s="570"/>
      <c r="K190" s="570"/>
      <c r="L190" s="554"/>
      <c r="M190" s="62">
        <f>M189</f>
        <v>2</v>
      </c>
      <c r="N190" s="75"/>
      <c r="O190" s="62">
        <f>SUM(O189:O189)</f>
        <v>0</v>
      </c>
      <c r="P190" s="63" t="s">
        <v>57</v>
      </c>
      <c r="Q190" s="337"/>
      <c r="R190" s="64"/>
      <c r="S190" s="64"/>
    </row>
    <row r="191" spans="1:35" ht="24" x14ac:dyDescent="0.15">
      <c r="A191" s="65"/>
      <c r="B191" s="565" t="s">
        <v>65</v>
      </c>
      <c r="C191" s="561"/>
      <c r="D191" s="561"/>
      <c r="E191" s="566"/>
      <c r="F191" s="565" t="s">
        <v>26</v>
      </c>
      <c r="G191" s="566"/>
      <c r="H191" s="66" t="s">
        <v>59</v>
      </c>
      <c r="I191" s="66"/>
      <c r="J191" s="66" t="s">
        <v>60</v>
      </c>
      <c r="K191" s="66" t="s">
        <v>6</v>
      </c>
      <c r="L191" s="67" t="s">
        <v>61</v>
      </c>
      <c r="M191" s="66" t="s">
        <v>30</v>
      </c>
      <c r="N191" s="68" t="s">
        <v>62</v>
      </c>
      <c r="O191" s="68" t="s">
        <v>34</v>
      </c>
      <c r="P191" s="69" t="s">
        <v>57</v>
      </c>
      <c r="Q191" s="338"/>
      <c r="R191" s="67"/>
      <c r="S191" s="67"/>
    </row>
    <row r="192" spans="1:35" ht="13.5" customHeight="1" x14ac:dyDescent="0.15">
      <c r="A192" s="76">
        <v>1</v>
      </c>
      <c r="B192" s="545"/>
      <c r="C192" s="546"/>
      <c r="D192" s="546"/>
      <c r="E192" s="547"/>
      <c r="F192" s="558" t="s">
        <v>66</v>
      </c>
      <c r="G192" s="559"/>
      <c r="H192" s="78"/>
      <c r="I192" s="78"/>
      <c r="J192" s="77"/>
      <c r="K192" s="46" t="str">
        <f>VLOOKUP($F:$F,材料单价表!$B$3:$G$42,4,0)</f>
        <v>m</v>
      </c>
      <c r="L192" s="46"/>
      <c r="M192" s="80">
        <f>M153</f>
        <v>5.4</v>
      </c>
      <c r="N192" s="46">
        <f>VLOOKUP($F:$F,材料单价表!$B$3:$G$42,5,0)</f>
        <v>0</v>
      </c>
      <c r="O192" s="46">
        <f>N192*M192</f>
        <v>0</v>
      </c>
      <c r="P192" s="48"/>
      <c r="Q192" s="59"/>
      <c r="R192" s="81"/>
      <c r="S192" s="79"/>
    </row>
    <row r="193" spans="1:23" ht="15.75" customHeight="1" x14ac:dyDescent="0.15">
      <c r="A193" s="76">
        <v>2</v>
      </c>
      <c r="B193" s="545"/>
      <c r="C193" s="546"/>
      <c r="D193" s="546"/>
      <c r="E193" s="547"/>
      <c r="F193" s="558" t="s">
        <v>68</v>
      </c>
      <c r="G193" s="559"/>
      <c r="H193" s="78" t="s">
        <v>67</v>
      </c>
      <c r="I193" s="78"/>
      <c r="J193" s="77"/>
      <c r="K193" s="46" t="str">
        <f>VLOOKUP($F:$F,材料单价表!$B$3:$G$42,4,0)</f>
        <v>m</v>
      </c>
      <c r="L193" s="46"/>
      <c r="M193" s="80">
        <f>(J161*K161+J162*K162)/1000*2</f>
        <v>13.442400000000001</v>
      </c>
      <c r="N193" s="46">
        <f>VLOOKUP($F:$F,材料单价表!$B$3:$G$42,5,0)</f>
        <v>0</v>
      </c>
      <c r="O193" s="46">
        <f t="shared" ref="O193:O199" si="23">N193*M193</f>
        <v>0</v>
      </c>
      <c r="P193" s="48"/>
      <c r="Q193" s="59"/>
      <c r="R193" s="81"/>
      <c r="S193" s="79"/>
      <c r="V193" s="104"/>
      <c r="W193" s="104"/>
    </row>
    <row r="194" spans="1:23" ht="13.5" customHeight="1" x14ac:dyDescent="0.15">
      <c r="A194" s="76">
        <v>3</v>
      </c>
      <c r="B194" s="545"/>
      <c r="C194" s="546"/>
      <c r="D194" s="546"/>
      <c r="E194" s="547"/>
      <c r="F194" s="558" t="s">
        <v>68</v>
      </c>
      <c r="G194" s="559"/>
      <c r="H194" s="78" t="s">
        <v>69</v>
      </c>
      <c r="I194" s="78"/>
      <c r="J194" s="77"/>
      <c r="K194" s="46" t="str">
        <f>VLOOKUP($F:$F,材料单价表!$B$3:$G$42,4,0)</f>
        <v>m</v>
      </c>
      <c r="L194" s="46"/>
      <c r="M194" s="80">
        <f>M153</f>
        <v>5.4</v>
      </c>
      <c r="N194" s="46">
        <f>VLOOKUP($F:$F,材料单价表!$B$3:$G$42,5,0)</f>
        <v>0</v>
      </c>
      <c r="O194" s="46">
        <f t="shared" si="23"/>
        <v>0</v>
      </c>
      <c r="P194" s="48"/>
      <c r="Q194" s="59"/>
      <c r="R194" s="81"/>
      <c r="S194" s="79"/>
      <c r="V194" s="104"/>
      <c r="W194" s="104"/>
    </row>
    <row r="195" spans="1:23" ht="13.5" customHeight="1" x14ac:dyDescent="0.15">
      <c r="A195" s="76">
        <v>4</v>
      </c>
      <c r="B195" s="545"/>
      <c r="C195" s="546"/>
      <c r="D195" s="546"/>
      <c r="E195" s="547"/>
      <c r="F195" s="558" t="s">
        <v>68</v>
      </c>
      <c r="G195" s="559"/>
      <c r="H195" s="78" t="s">
        <v>70</v>
      </c>
      <c r="I195" s="78"/>
      <c r="J195" s="77"/>
      <c r="K195" s="46" t="str">
        <f>VLOOKUP($F:$F,材料单价表!$B$3:$G$42,4,0)</f>
        <v>m</v>
      </c>
      <c r="L195" s="46"/>
      <c r="M195" s="80">
        <f>M153</f>
        <v>5.4</v>
      </c>
      <c r="N195" s="46">
        <f>VLOOKUP($F:$F,材料单价表!$B$3:$G$42,5,0)</f>
        <v>0</v>
      </c>
      <c r="O195" s="46">
        <f t="shared" si="23"/>
        <v>0</v>
      </c>
      <c r="P195" s="48"/>
      <c r="Q195" s="59"/>
      <c r="R195" s="81"/>
      <c r="S195" s="79"/>
      <c r="V195" s="104"/>
      <c r="W195" s="104"/>
    </row>
    <row r="196" spans="1:23" ht="13.5" customHeight="1" x14ac:dyDescent="0.15">
      <c r="A196" s="76">
        <v>5</v>
      </c>
      <c r="B196" s="545"/>
      <c r="C196" s="546"/>
      <c r="D196" s="546"/>
      <c r="E196" s="547"/>
      <c r="F196" s="558" t="s">
        <v>71</v>
      </c>
      <c r="G196" s="559"/>
      <c r="H196" s="78"/>
      <c r="I196" s="78"/>
      <c r="J196" s="77"/>
      <c r="K196" s="46" t="str">
        <f>VLOOKUP($F:$F,材料单价表!$B$3:$G$42,4,0)</f>
        <v>个</v>
      </c>
      <c r="L196" s="79"/>
      <c r="M196" s="80">
        <f>K163+K164</f>
        <v>12</v>
      </c>
      <c r="N196" s="46">
        <f>VLOOKUP($F:$F,材料单价表!$B$3:$G$42,5,0)</f>
        <v>0</v>
      </c>
      <c r="O196" s="46">
        <f t="shared" si="23"/>
        <v>0</v>
      </c>
      <c r="P196" s="48"/>
      <c r="Q196" s="59"/>
      <c r="R196" s="81"/>
      <c r="S196" s="79"/>
    </row>
    <row r="197" spans="1:23" ht="13.5" customHeight="1" x14ac:dyDescent="0.15">
      <c r="A197" s="76">
        <v>6</v>
      </c>
      <c r="B197" s="545"/>
      <c r="C197" s="546"/>
      <c r="D197" s="546"/>
      <c r="E197" s="547"/>
      <c r="F197" s="558" t="s">
        <v>121</v>
      </c>
      <c r="G197" s="559"/>
      <c r="H197" s="78"/>
      <c r="I197" s="78"/>
      <c r="J197" s="77"/>
      <c r="K197" s="46" t="str">
        <f>VLOOKUP($F:$F,材料单价表!$B$3:$G$42,4,0)</f>
        <v>m</v>
      </c>
      <c r="L197" s="79"/>
      <c r="M197" s="80">
        <f>(J157*K157+J158*K158)/1000*2</f>
        <v>14.651999999999999</v>
      </c>
      <c r="N197" s="46">
        <f>VLOOKUP($F:$F,材料单价表!$B$3:$G$42,5,0)</f>
        <v>0</v>
      </c>
      <c r="O197" s="46">
        <f t="shared" si="23"/>
        <v>0</v>
      </c>
      <c r="P197" s="48"/>
      <c r="Q197" s="59"/>
      <c r="R197" s="81"/>
      <c r="S197" s="46"/>
    </row>
    <row r="198" spans="1:23" ht="13.5" customHeight="1" x14ac:dyDescent="0.15">
      <c r="A198" s="76">
        <v>7</v>
      </c>
      <c r="B198" s="545"/>
      <c r="C198" s="546"/>
      <c r="D198" s="546"/>
      <c r="E198" s="547"/>
      <c r="F198" s="558" t="s">
        <v>121</v>
      </c>
      <c r="G198" s="559"/>
      <c r="H198" s="78"/>
      <c r="I198" s="78"/>
      <c r="J198" s="77"/>
      <c r="K198" s="46" t="str">
        <f>VLOOKUP($F:$F,材料单价表!$B$3:$G$42,4,0)</f>
        <v>m</v>
      </c>
      <c r="L198" s="79"/>
      <c r="M198" s="80">
        <f>(J158*K158+J157*K157)/1000*1</f>
        <v>7.3259999999999996</v>
      </c>
      <c r="N198" s="46">
        <f>VLOOKUP($F:$F,材料单价表!$B$3:$G$42,5,0)</f>
        <v>0</v>
      </c>
      <c r="O198" s="46">
        <f t="shared" si="23"/>
        <v>0</v>
      </c>
      <c r="P198" s="48"/>
      <c r="Q198" s="59"/>
      <c r="R198" s="81"/>
      <c r="S198" s="46"/>
    </row>
    <row r="199" spans="1:23" x14ac:dyDescent="0.15">
      <c r="A199" s="76">
        <v>8</v>
      </c>
      <c r="B199" s="545"/>
      <c r="C199" s="546"/>
      <c r="D199" s="546"/>
      <c r="E199" s="547"/>
      <c r="F199" s="558" t="s">
        <v>72</v>
      </c>
      <c r="G199" s="559"/>
      <c r="H199" s="45"/>
      <c r="I199" s="45"/>
      <c r="J199" s="45"/>
      <c r="K199" s="46" t="str">
        <f>VLOOKUP($F:$F,材料单价表!$B$3:$G$42,4,0)</f>
        <v>m2</v>
      </c>
      <c r="L199" s="72"/>
      <c r="M199" s="46">
        <f>M204</f>
        <v>1.82</v>
      </c>
      <c r="N199" s="46">
        <f>VLOOKUP($F:$F,材料单价表!$B$3:$G$42,5,0)</f>
        <v>0</v>
      </c>
      <c r="O199" s="46">
        <f t="shared" si="23"/>
        <v>0</v>
      </c>
      <c r="P199" s="48"/>
      <c r="Q199" s="211"/>
      <c r="R199" s="73"/>
      <c r="S199" s="73"/>
    </row>
    <row r="200" spans="1:23" x14ac:dyDescent="0.15">
      <c r="A200" s="76">
        <v>9</v>
      </c>
      <c r="B200" s="545"/>
      <c r="C200" s="546"/>
      <c r="D200" s="546"/>
      <c r="E200" s="547"/>
      <c r="F200" s="558"/>
      <c r="G200" s="559"/>
      <c r="H200" s="45"/>
      <c r="I200" s="45"/>
      <c r="J200" s="45"/>
      <c r="K200" s="45"/>
      <c r="L200" s="72"/>
      <c r="M200" s="46"/>
      <c r="N200" s="46"/>
      <c r="O200" s="82"/>
      <c r="P200" s="48"/>
      <c r="Q200" s="211"/>
      <c r="R200" s="73"/>
      <c r="S200" s="73"/>
    </row>
    <row r="201" spans="1:23" x14ac:dyDescent="0.15">
      <c r="A201" s="74"/>
      <c r="B201" s="552"/>
      <c r="C201" s="557"/>
      <c r="D201" s="557"/>
      <c r="E201" s="553"/>
      <c r="F201" s="552" t="s">
        <v>73</v>
      </c>
      <c r="G201" s="557"/>
      <c r="H201" s="557"/>
      <c r="I201" s="557"/>
      <c r="J201" s="557"/>
      <c r="K201" s="557"/>
      <c r="L201" s="557"/>
      <c r="M201" s="61"/>
      <c r="N201" s="61"/>
      <c r="O201" s="62">
        <f>SUM(O192:O200)</f>
        <v>0</v>
      </c>
      <c r="P201" s="63" t="s">
        <v>57</v>
      </c>
      <c r="Q201" s="337"/>
      <c r="R201" s="64"/>
      <c r="S201" s="64"/>
    </row>
    <row r="202" spans="1:23" x14ac:dyDescent="0.15">
      <c r="A202" s="74"/>
      <c r="B202" s="552"/>
      <c r="C202" s="557"/>
      <c r="D202" s="557"/>
      <c r="E202" s="553"/>
      <c r="F202" s="552" t="s">
        <v>74</v>
      </c>
      <c r="G202" s="557"/>
      <c r="H202" s="557"/>
      <c r="I202" s="557"/>
      <c r="J202" s="557"/>
      <c r="K202" s="557"/>
      <c r="L202" s="557"/>
      <c r="M202" s="557"/>
      <c r="N202" s="553"/>
      <c r="O202" s="62">
        <f>O201+O190+O187+O179</f>
        <v>0</v>
      </c>
      <c r="P202" s="63" t="s">
        <v>57</v>
      </c>
      <c r="Q202" s="337"/>
      <c r="R202" s="64"/>
      <c r="S202" s="64"/>
    </row>
    <row r="203" spans="1:23" ht="24" x14ac:dyDescent="0.15">
      <c r="A203" s="65"/>
      <c r="B203" s="565" t="s">
        <v>75</v>
      </c>
      <c r="C203" s="561"/>
      <c r="D203" s="561"/>
      <c r="E203" s="566"/>
      <c r="F203" s="565" t="s">
        <v>26</v>
      </c>
      <c r="G203" s="566"/>
      <c r="H203" s="66"/>
      <c r="I203" s="66"/>
      <c r="J203" s="66"/>
      <c r="K203" s="66" t="s">
        <v>6</v>
      </c>
      <c r="L203" s="83" t="s">
        <v>61</v>
      </c>
      <c r="M203" s="66" t="s">
        <v>76</v>
      </c>
      <c r="N203" s="68" t="s">
        <v>62</v>
      </c>
      <c r="O203" s="68" t="s">
        <v>34</v>
      </c>
      <c r="P203" s="84" t="s">
        <v>57</v>
      </c>
      <c r="Q203" s="84"/>
      <c r="R203" s="67"/>
      <c r="S203" s="67"/>
    </row>
    <row r="204" spans="1:23" x14ac:dyDescent="0.15">
      <c r="A204" s="57">
        <v>1</v>
      </c>
      <c r="B204" s="545"/>
      <c r="C204" s="546"/>
      <c r="D204" s="546"/>
      <c r="E204" s="547"/>
      <c r="F204" s="545" t="s">
        <v>77</v>
      </c>
      <c r="G204" s="547"/>
      <c r="H204" s="45"/>
      <c r="I204" s="45"/>
      <c r="J204" s="46"/>
      <c r="K204" s="45" t="s">
        <v>78</v>
      </c>
      <c r="L204" s="72"/>
      <c r="M204" s="85">
        <f>O140</f>
        <v>1.82</v>
      </c>
      <c r="N204" s="46">
        <f>VLOOKUP($F:$F,材料单价表!$B$3:$G$42,5,0)</f>
        <v>0</v>
      </c>
      <c r="O204" s="46">
        <f>N204*M204</f>
        <v>0</v>
      </c>
      <c r="P204" s="48"/>
      <c r="Q204" s="211"/>
      <c r="R204" s="72"/>
      <c r="S204" s="72"/>
    </row>
    <row r="205" spans="1:23" x14ac:dyDescent="0.15">
      <c r="A205" s="57">
        <v>2</v>
      </c>
      <c r="B205" s="545"/>
      <c r="C205" s="546"/>
      <c r="D205" s="546"/>
      <c r="E205" s="547"/>
      <c r="F205" s="545" t="s">
        <v>79</v>
      </c>
      <c r="G205" s="547"/>
      <c r="H205" s="45"/>
      <c r="I205" s="45"/>
      <c r="J205" s="46"/>
      <c r="K205" s="45" t="s">
        <v>78</v>
      </c>
      <c r="L205" s="72"/>
      <c r="M205" s="85">
        <f>M204</f>
        <v>1.82</v>
      </c>
      <c r="N205" s="46">
        <f>VLOOKUP($F:$F,材料单价表!$B$3:$G$42,5,0)</f>
        <v>0</v>
      </c>
      <c r="O205" s="46">
        <f>N205*M205</f>
        <v>0</v>
      </c>
      <c r="P205" s="48"/>
      <c r="Q205" s="211"/>
      <c r="R205" s="72"/>
      <c r="S205" s="72"/>
    </row>
    <row r="206" spans="1:23" ht="24.75" customHeight="1" x14ac:dyDescent="0.15">
      <c r="A206" s="74"/>
      <c r="B206" s="552"/>
      <c r="C206" s="557"/>
      <c r="D206" s="557"/>
      <c r="E206" s="553"/>
      <c r="F206" s="552" t="s">
        <v>80</v>
      </c>
      <c r="G206" s="553"/>
      <c r="H206" s="86"/>
      <c r="I206" s="325"/>
      <c r="J206" s="554" t="s">
        <v>81</v>
      </c>
      <c r="K206" s="554"/>
      <c r="L206" s="554"/>
      <c r="M206" s="554"/>
      <c r="N206" s="87"/>
      <c r="O206" s="62">
        <f>O202+O204+O205</f>
        <v>0</v>
      </c>
      <c r="P206" s="63" t="s">
        <v>57</v>
      </c>
      <c r="Q206" s="337"/>
      <c r="R206" s="64"/>
      <c r="S206" s="64"/>
    </row>
    <row r="207" spans="1:23" ht="24" customHeight="1" x14ac:dyDescent="0.15">
      <c r="A207" s="74"/>
      <c r="B207" s="552"/>
      <c r="C207" s="557"/>
      <c r="D207" s="557"/>
      <c r="E207" s="553"/>
      <c r="F207" s="555" t="s">
        <v>82</v>
      </c>
      <c r="G207" s="556"/>
      <c r="H207" s="105"/>
      <c r="I207" s="324"/>
      <c r="J207" s="552" t="s">
        <v>81</v>
      </c>
      <c r="K207" s="557"/>
      <c r="L207" s="557"/>
      <c r="M207" s="557"/>
      <c r="N207" s="62"/>
      <c r="O207" s="62">
        <f>O206/O140</f>
        <v>0</v>
      </c>
      <c r="P207" s="89" t="s">
        <v>57</v>
      </c>
      <c r="Q207" s="89"/>
      <c r="R207" s="90"/>
      <c r="S207" s="90"/>
    </row>
    <row r="208" spans="1:23" ht="18.75" customHeight="1" x14ac:dyDescent="0.15">
      <c r="A208" s="549" t="s">
        <v>0</v>
      </c>
      <c r="B208" s="549"/>
      <c r="C208" s="549"/>
      <c r="D208" s="549"/>
      <c r="E208" s="549"/>
      <c r="F208" s="549"/>
      <c r="G208" s="549"/>
      <c r="H208" s="549"/>
      <c r="I208" s="549"/>
      <c r="J208" s="549"/>
      <c r="K208" s="549"/>
      <c r="L208" s="550"/>
      <c r="M208" s="549"/>
      <c r="N208" s="549"/>
      <c r="O208" s="549"/>
      <c r="P208" s="549"/>
      <c r="Q208" s="549"/>
      <c r="R208" s="551"/>
      <c r="S208" s="551"/>
    </row>
    <row r="209" spans="1:35" x14ac:dyDescent="0.15">
      <c r="A209" s="2" t="s">
        <v>1</v>
      </c>
      <c r="B209" s="339" t="str">
        <f>$B$2</f>
        <v>NC</v>
      </c>
      <c r="C209" s="339">
        <v>4</v>
      </c>
      <c r="D209" s="340"/>
      <c r="E209" s="3"/>
      <c r="F209" s="4" t="s">
        <v>2</v>
      </c>
      <c r="G209" s="5">
        <v>65</v>
      </c>
      <c r="H209" s="106" t="s">
        <v>126</v>
      </c>
      <c r="I209" s="106"/>
      <c r="J209" s="4" t="s">
        <v>3</v>
      </c>
      <c r="K209" s="6">
        <f>L212</f>
        <v>2100</v>
      </c>
      <c r="L209" s="7" t="s">
        <v>83</v>
      </c>
      <c r="M209" s="6">
        <f>L211</f>
        <v>1400</v>
      </c>
      <c r="N209" s="8" t="s">
        <v>4</v>
      </c>
      <c r="O209" s="9">
        <f>M221</f>
        <v>2.94</v>
      </c>
      <c r="P209" s="10"/>
      <c r="Q209" s="10"/>
      <c r="R209" s="10" t="s">
        <v>5</v>
      </c>
      <c r="S209" s="11"/>
    </row>
    <row r="210" spans="1:35" ht="14.25" x14ac:dyDescent="0.2">
      <c r="A210" s="12"/>
      <c r="B210" s="13"/>
      <c r="C210" s="13"/>
      <c r="D210" s="13"/>
      <c r="E210" s="13"/>
      <c r="F210" s="14"/>
      <c r="G210" s="14"/>
      <c r="H210" s="15"/>
      <c r="I210" s="15"/>
      <c r="J210" s="16"/>
      <c r="K210" s="16" t="s">
        <v>6</v>
      </c>
      <c r="L210" s="17" t="s">
        <v>7</v>
      </c>
      <c r="M210" s="16" t="s">
        <v>8</v>
      </c>
      <c r="N210" s="18"/>
      <c r="O210" s="548" t="s">
        <v>940</v>
      </c>
      <c r="P210" s="548"/>
      <c r="Q210" s="16" t="s">
        <v>1018</v>
      </c>
      <c r="R210" s="529" t="s">
        <v>1066</v>
      </c>
      <c r="S210" s="530" t="s">
        <v>1592</v>
      </c>
    </row>
    <row r="211" spans="1:35" ht="14.25" x14ac:dyDescent="0.2">
      <c r="A211" s="398" t="s">
        <v>884</v>
      </c>
      <c r="B211" s="401" t="s">
        <v>887</v>
      </c>
      <c r="C211" s="22"/>
      <c r="D211" s="22"/>
      <c r="E211" s="22"/>
      <c r="F211" s="23"/>
      <c r="G211" s="23"/>
      <c r="H211" s="107"/>
      <c r="I211" s="107"/>
      <c r="J211" s="24" t="s">
        <v>9</v>
      </c>
      <c r="K211" s="16" t="s">
        <v>10</v>
      </c>
      <c r="L211" s="25">
        <v>1400</v>
      </c>
      <c r="M211" s="113">
        <f>L211-M220*2</f>
        <v>1300</v>
      </c>
      <c r="N211" s="18"/>
      <c r="O211" s="356" t="s">
        <v>941</v>
      </c>
      <c r="P211" s="357"/>
      <c r="Q211" s="16" t="s">
        <v>1019</v>
      </c>
      <c r="R211" s="529"/>
      <c r="S211" s="530"/>
    </row>
    <row r="212" spans="1:35" ht="14.25" x14ac:dyDescent="0.2">
      <c r="A212" s="21"/>
      <c r="B212" s="22"/>
      <c r="C212" s="22"/>
      <c r="D212" s="22"/>
      <c r="E212" s="22"/>
      <c r="F212" s="23"/>
      <c r="G212" s="23"/>
      <c r="H212" s="18"/>
      <c r="I212" s="18"/>
      <c r="J212" s="24" t="s">
        <v>11</v>
      </c>
      <c r="K212" s="16" t="s">
        <v>10</v>
      </c>
      <c r="L212" s="25">
        <v>2100</v>
      </c>
      <c r="M212" s="113">
        <f>L212-M220*2</f>
        <v>2000</v>
      </c>
      <c r="N212" s="18"/>
      <c r="O212" s="356" t="s">
        <v>924</v>
      </c>
      <c r="P212" s="357"/>
      <c r="Q212" s="16" t="s">
        <v>1020</v>
      </c>
      <c r="R212" s="529" t="s">
        <v>1067</v>
      </c>
      <c r="S212" s="530" t="s">
        <v>1086</v>
      </c>
    </row>
    <row r="213" spans="1:35" ht="14.25" x14ac:dyDescent="0.2">
      <c r="A213" s="21"/>
      <c r="B213" s="22"/>
      <c r="C213" s="22"/>
      <c r="D213" s="22"/>
      <c r="E213" s="22"/>
      <c r="F213" s="23"/>
      <c r="G213" s="23"/>
      <c r="H213" s="18"/>
      <c r="I213" s="18"/>
      <c r="J213" s="24" t="s">
        <v>12</v>
      </c>
      <c r="K213" s="16" t="s">
        <v>10</v>
      </c>
      <c r="L213" s="26"/>
      <c r="M213" s="113">
        <f>M211</f>
        <v>1300</v>
      </c>
      <c r="N213" s="18"/>
      <c r="O213" s="356" t="s">
        <v>925</v>
      </c>
      <c r="P213" s="357"/>
      <c r="Q213" s="16" t="s">
        <v>1021</v>
      </c>
      <c r="R213" s="529"/>
      <c r="S213" s="530"/>
    </row>
    <row r="214" spans="1:35" ht="14.25" x14ac:dyDescent="0.2">
      <c r="A214" s="21"/>
      <c r="B214" s="22"/>
      <c r="C214" s="22"/>
      <c r="D214" s="22"/>
      <c r="E214" s="22"/>
      <c r="F214" s="23"/>
      <c r="G214" s="23"/>
      <c r="H214" s="18"/>
      <c r="I214" s="18"/>
      <c r="J214" s="24" t="s">
        <v>13</v>
      </c>
      <c r="K214" s="16" t="s">
        <v>10</v>
      </c>
      <c r="L214" s="26"/>
      <c r="M214" s="113"/>
      <c r="N214" s="18"/>
      <c r="O214" s="356" t="s">
        <v>926</v>
      </c>
      <c r="P214" s="357"/>
      <c r="Q214" s="16" t="s">
        <v>1022</v>
      </c>
      <c r="R214" s="27"/>
      <c r="S214" s="28"/>
    </row>
    <row r="215" spans="1:35" ht="14.25" x14ac:dyDescent="0.2">
      <c r="A215" s="21"/>
      <c r="B215" s="22"/>
      <c r="C215" s="22"/>
      <c r="D215" s="22"/>
      <c r="E215" s="22"/>
      <c r="F215" s="23"/>
      <c r="G215" s="23"/>
      <c r="H215" s="18"/>
      <c r="I215" s="18"/>
      <c r="J215" s="24" t="s">
        <v>14</v>
      </c>
      <c r="K215" s="16" t="s">
        <v>10</v>
      </c>
      <c r="L215" s="26"/>
      <c r="M215" s="113"/>
      <c r="N215" s="18"/>
      <c r="O215" s="356" t="s">
        <v>927</v>
      </c>
      <c r="P215" s="357"/>
      <c r="Q215" s="16" t="s">
        <v>1023</v>
      </c>
      <c r="R215" s="27"/>
      <c r="S215" s="28"/>
    </row>
    <row r="216" spans="1:35" ht="14.25" x14ac:dyDescent="0.2">
      <c r="A216" s="21"/>
      <c r="B216" s="22"/>
      <c r="C216" s="22"/>
      <c r="D216" s="22"/>
      <c r="E216" s="22"/>
      <c r="F216" s="23"/>
      <c r="G216" s="23"/>
      <c r="H216" s="18"/>
      <c r="I216" s="18"/>
      <c r="J216" s="24" t="s">
        <v>15</v>
      </c>
      <c r="K216" s="16" t="s">
        <v>10</v>
      </c>
      <c r="L216" s="26"/>
      <c r="M216" s="113">
        <v>600</v>
      </c>
      <c r="N216" s="18"/>
      <c r="O216" s="356" t="s">
        <v>928</v>
      </c>
      <c r="P216" s="357"/>
      <c r="Q216" s="16" t="s">
        <v>1005</v>
      </c>
      <c r="R216" s="27"/>
      <c r="S216" s="28"/>
    </row>
    <row r="217" spans="1:35" ht="14.25" x14ac:dyDescent="0.2">
      <c r="A217" s="21"/>
      <c r="B217" s="22"/>
      <c r="C217" s="22"/>
      <c r="D217" s="22"/>
      <c r="E217" s="22"/>
      <c r="F217" s="23"/>
      <c r="G217" s="23"/>
      <c r="H217" s="18"/>
      <c r="I217" s="18"/>
      <c r="J217" s="24" t="s">
        <v>16</v>
      </c>
      <c r="K217" s="16" t="s">
        <v>10</v>
      </c>
      <c r="L217" s="26"/>
      <c r="M217" s="113">
        <f>M212-M216*2</f>
        <v>800</v>
      </c>
      <c r="N217" s="18"/>
      <c r="O217" s="356" t="s">
        <v>929</v>
      </c>
      <c r="P217" s="357"/>
      <c r="Q217" s="16" t="s">
        <v>1024</v>
      </c>
      <c r="R217" s="27"/>
      <c r="S217" s="28"/>
    </row>
    <row r="218" spans="1:35" ht="14.25" x14ac:dyDescent="0.2">
      <c r="A218" s="21"/>
      <c r="B218" s="22"/>
      <c r="C218" s="22"/>
      <c r="D218" s="22"/>
      <c r="E218" s="22"/>
      <c r="F218" s="23"/>
      <c r="G218" s="23"/>
      <c r="H218" s="18"/>
      <c r="I218" s="18"/>
      <c r="J218" s="24" t="s">
        <v>17</v>
      </c>
      <c r="K218" s="16" t="s">
        <v>10</v>
      </c>
      <c r="L218" s="26"/>
      <c r="M218" s="113"/>
      <c r="N218" s="18"/>
      <c r="O218" s="356" t="s">
        <v>930</v>
      </c>
      <c r="P218" s="357"/>
      <c r="Q218" s="16" t="s">
        <v>931</v>
      </c>
      <c r="R218" s="27"/>
      <c r="S218" s="28"/>
    </row>
    <row r="219" spans="1:35" ht="14.25" x14ac:dyDescent="0.2">
      <c r="A219" s="21"/>
      <c r="B219" s="22"/>
      <c r="C219" s="22"/>
      <c r="D219" s="22"/>
      <c r="E219" s="22"/>
      <c r="F219" s="23"/>
      <c r="G219" s="23"/>
      <c r="H219" s="18"/>
      <c r="I219" s="18"/>
      <c r="J219" s="24" t="s">
        <v>18</v>
      </c>
      <c r="K219" s="16" t="s">
        <v>10</v>
      </c>
      <c r="L219" s="26"/>
      <c r="M219" s="113"/>
      <c r="N219" s="18"/>
      <c r="O219" s="356" t="s">
        <v>932</v>
      </c>
      <c r="P219" s="357"/>
      <c r="Q219" s="16" t="s">
        <v>933</v>
      </c>
      <c r="R219" s="27"/>
      <c r="S219" s="28"/>
    </row>
    <row r="220" spans="1:35" ht="14.25" x14ac:dyDescent="0.2">
      <c r="A220" s="21"/>
      <c r="B220" s="22"/>
      <c r="C220" s="22"/>
      <c r="D220" s="22"/>
      <c r="E220" s="22"/>
      <c r="F220" s="23"/>
      <c r="G220" s="23"/>
      <c r="H220" s="18"/>
      <c r="I220" s="18"/>
      <c r="J220" s="24" t="s">
        <v>19</v>
      </c>
      <c r="K220" s="16" t="s">
        <v>10</v>
      </c>
      <c r="L220" s="26"/>
      <c r="M220" s="25">
        <v>50</v>
      </c>
      <c r="N220" s="18"/>
      <c r="O220" s="356" t="s">
        <v>934</v>
      </c>
      <c r="P220" s="357"/>
      <c r="Q220" s="16" t="s">
        <v>935</v>
      </c>
      <c r="R220" s="27"/>
      <c r="S220" s="28"/>
    </row>
    <row r="221" spans="1:35" ht="14.25" x14ac:dyDescent="0.2">
      <c r="A221" s="21"/>
      <c r="B221" s="22"/>
      <c r="C221" s="22"/>
      <c r="D221" s="22"/>
      <c r="E221" s="22"/>
      <c r="F221" s="23"/>
      <c r="G221" s="23"/>
      <c r="H221" s="18"/>
      <c r="I221" s="18"/>
      <c r="J221" s="29" t="s">
        <v>20</v>
      </c>
      <c r="K221" s="16" t="s">
        <v>21</v>
      </c>
      <c r="L221" s="30"/>
      <c r="M221" s="31">
        <f>L211*L212/1000000</f>
        <v>2.94</v>
      </c>
      <c r="N221" s="18"/>
      <c r="O221" s="356" t="s">
        <v>936</v>
      </c>
      <c r="P221" s="357"/>
      <c r="Q221" s="16" t="s">
        <v>937</v>
      </c>
      <c r="R221" s="27"/>
      <c r="S221" s="28"/>
    </row>
    <row r="222" spans="1:35" ht="14.25" x14ac:dyDescent="0.2">
      <c r="A222" s="32"/>
      <c r="B222" s="33"/>
      <c r="C222" s="33"/>
      <c r="D222" s="33"/>
      <c r="E222" s="33"/>
      <c r="F222" s="34"/>
      <c r="G222" s="34"/>
      <c r="H222" s="35"/>
      <c r="I222" s="35"/>
      <c r="J222" s="29" t="s">
        <v>22</v>
      </c>
      <c r="K222" s="16" t="s">
        <v>23</v>
      </c>
      <c r="L222" s="30"/>
      <c r="M222" s="36">
        <f>(L211+L212)*2/1000</f>
        <v>7</v>
      </c>
      <c r="N222" s="35"/>
      <c r="O222" s="356" t="s">
        <v>938</v>
      </c>
      <c r="P222" s="357"/>
      <c r="Q222" s="16" t="s">
        <v>939</v>
      </c>
      <c r="R222" s="37"/>
      <c r="S222" s="38"/>
    </row>
    <row r="223" spans="1:35" ht="36" x14ac:dyDescent="0.15">
      <c r="A223" s="39" t="s">
        <v>24</v>
      </c>
      <c r="B223" s="560" t="s">
        <v>25</v>
      </c>
      <c r="C223" s="561"/>
      <c r="D223" s="561"/>
      <c r="E223" s="562"/>
      <c r="F223" s="40" t="s">
        <v>26</v>
      </c>
      <c r="G223" s="40" t="s">
        <v>27</v>
      </c>
      <c r="H223" s="40" t="s">
        <v>28</v>
      </c>
      <c r="I223" s="40" t="s">
        <v>898</v>
      </c>
      <c r="J223" s="40" t="s">
        <v>29</v>
      </c>
      <c r="K223" s="40" t="s">
        <v>30</v>
      </c>
      <c r="L223" s="41" t="s">
        <v>31</v>
      </c>
      <c r="M223" s="40" t="s">
        <v>32</v>
      </c>
      <c r="N223" s="40" t="s">
        <v>33</v>
      </c>
      <c r="O223" s="40" t="s">
        <v>34</v>
      </c>
      <c r="P223" s="42" t="s">
        <v>35</v>
      </c>
      <c r="Q223" s="338" t="s">
        <v>875</v>
      </c>
      <c r="R223" s="43" t="s">
        <v>36</v>
      </c>
      <c r="S223" s="43" t="s">
        <v>37</v>
      </c>
      <c r="V223" s="261" t="s">
        <v>127</v>
      </c>
      <c r="W223" s="261"/>
      <c r="X223" s="273" t="s">
        <v>128</v>
      </c>
      <c r="Y223" s="261"/>
      <c r="Z223" s="273" t="s">
        <v>438</v>
      </c>
      <c r="AA223" s="261"/>
      <c r="AB223" s="273" t="s">
        <v>439</v>
      </c>
      <c r="AC223" s="261"/>
      <c r="AD223" s="273" t="s">
        <v>444</v>
      </c>
      <c r="AE223" s="261"/>
      <c r="AF223" s="273" t="s">
        <v>441</v>
      </c>
      <c r="AG223" s="261"/>
      <c r="AH223" s="273" t="s">
        <v>442</v>
      </c>
      <c r="AI223" s="261"/>
    </row>
    <row r="224" spans="1:35" x14ac:dyDescent="0.15">
      <c r="A224" s="57">
        <v>1</v>
      </c>
      <c r="B224" s="531" t="s">
        <v>38</v>
      </c>
      <c r="C224" s="532"/>
      <c r="D224" s="532"/>
      <c r="E224" s="533"/>
      <c r="F224" s="47" t="str">
        <f>VLOOKUP($H:$H,型材表!$B$5:$I$45,2,0)</f>
        <v>窗框</v>
      </c>
      <c r="G224" s="45" t="s">
        <v>39</v>
      </c>
      <c r="H224" s="45" t="str">
        <f>IF(G209=65,"SN65AK001",IF(G209=55,"SN55K001",IF(G209=551,"SN55BK001",IF(G209=60,"SN60K001",IF(G209=601,"SN60AK001",IF(G209=70,"SN70K001",IF(G209=75,"SN75K001")))))))</f>
        <v>SN65AK001</v>
      </c>
      <c r="I224" s="45" t="s">
        <v>998</v>
      </c>
      <c r="J224" s="46">
        <f>M211</f>
        <v>1300</v>
      </c>
      <c r="K224" s="45">
        <v>2</v>
      </c>
      <c r="L224" s="47">
        <f>VLOOKUP($H:$H,型材表!$B$5:$I$45,4,0)</f>
        <v>1.02</v>
      </c>
      <c r="M224" s="46">
        <f>J224*K224*L224/1000</f>
        <v>2.6520000000000001</v>
      </c>
      <c r="N224" s="72">
        <f>VLOOKUP($H:$H,型材表!$B$5:$I$45,7,0)</f>
        <v>0</v>
      </c>
      <c r="O224" s="46">
        <f>N224*M224</f>
        <v>0</v>
      </c>
      <c r="P224" s="100">
        <f>VLOOKUP($H:$H,型材表!$B$5:$I$45,5,0)</f>
        <v>0.125</v>
      </c>
      <c r="Q224" s="100" t="str">
        <f>VLOOKUP($H:$H,型材表!$B$5:$I$468,6,0)</f>
        <v>断桥隔热铝型材</v>
      </c>
      <c r="R224" s="49"/>
      <c r="S224" s="50"/>
      <c r="X224" s="264"/>
      <c r="Z224" s="264"/>
      <c r="AA224" s="259"/>
      <c r="AB224" s="264"/>
      <c r="AC224" s="259"/>
      <c r="AD224" s="264"/>
      <c r="AE224" s="259"/>
      <c r="AF224" s="264"/>
      <c r="AG224" s="259"/>
      <c r="AH224" s="264"/>
      <c r="AI224" s="259"/>
    </row>
    <row r="225" spans="1:35" x14ac:dyDescent="0.15">
      <c r="A225" s="57">
        <v>2</v>
      </c>
      <c r="B225" s="537"/>
      <c r="C225" s="538"/>
      <c r="D225" s="538"/>
      <c r="E225" s="539"/>
      <c r="F225" s="47" t="str">
        <f>VLOOKUP($H:$H,型材表!$B$5:$I$45,2,0)</f>
        <v>窗框</v>
      </c>
      <c r="G225" s="45" t="s">
        <v>40</v>
      </c>
      <c r="H225" s="45" t="str">
        <f>H224</f>
        <v>SN65AK001</v>
      </c>
      <c r="I225" s="45" t="s">
        <v>899</v>
      </c>
      <c r="J225" s="46">
        <f>M212</f>
        <v>2000</v>
      </c>
      <c r="K225" s="45">
        <v>2</v>
      </c>
      <c r="L225" s="47">
        <f>VLOOKUP($H:$H,型材表!$B$5:$I$45,4,0)</f>
        <v>1.02</v>
      </c>
      <c r="M225" s="46">
        <f t="shared" ref="M225:M228" si="24">J225*K225*L225/1000</f>
        <v>4.08</v>
      </c>
      <c r="N225" s="72">
        <f>VLOOKUP($H:$H,型材表!$B$5:$I$45,7,0)</f>
        <v>0</v>
      </c>
      <c r="O225" s="46">
        <f t="shared" ref="O225:O226" si="25">N225*M225</f>
        <v>0</v>
      </c>
      <c r="P225" s="100">
        <f>VLOOKUP($H:$H,型材表!$B$5:$I$45,5,0)</f>
        <v>0.125</v>
      </c>
      <c r="Q225" s="100" t="str">
        <f>VLOOKUP($H:$H,型材表!$B$5:$I$468,6,0)</f>
        <v>断桥隔热铝型材</v>
      </c>
      <c r="R225" s="49"/>
      <c r="S225" s="50"/>
      <c r="X225" s="264"/>
      <c r="Z225" s="264"/>
      <c r="AA225" s="259"/>
      <c r="AB225" s="264"/>
      <c r="AC225" s="259"/>
      <c r="AD225" s="264"/>
      <c r="AE225" s="259"/>
      <c r="AF225" s="264"/>
      <c r="AG225" s="259"/>
      <c r="AH225" s="264"/>
      <c r="AI225" s="259"/>
    </row>
    <row r="226" spans="1:35" x14ac:dyDescent="0.15">
      <c r="A226" s="326">
        <v>3</v>
      </c>
      <c r="B226" s="531" t="s">
        <v>41</v>
      </c>
      <c r="C226" s="532"/>
      <c r="D226" s="532"/>
      <c r="E226" s="533"/>
      <c r="F226" s="47" t="str">
        <f>VLOOKUP($H:$H,型材表!$B$5:$I$45,2,0)</f>
        <v>窗扇</v>
      </c>
      <c r="G226" s="45" t="s">
        <v>39</v>
      </c>
      <c r="H226" s="45" t="str">
        <f>IF(G209=65,"SN65AS001",IF(G209=55,"SN55S001",IF(G209=551,"SN55BS001",IF(G209=60,"SN60S001",IF(G209=601,"SN60AS001",IF(G209=70,"SN70S001",IF(G209=75,"SN75S001")))))))</f>
        <v>SN65AS001</v>
      </c>
      <c r="I226" s="45" t="s">
        <v>1000</v>
      </c>
      <c r="J226" s="46">
        <f>IF(G209=65,M213-V226,IF(G209=55,M213-X226,IF(G209=551,M213-Z226,IF(G209=60,M213-AB226,IF(G209=601,M213-AD226,IF(G209=70,M213-AF226,IF(G209=75,M213-AH226)))))))</f>
        <v>1256</v>
      </c>
      <c r="K226" s="45">
        <v>4</v>
      </c>
      <c r="L226" s="47">
        <f>VLOOKUP($H:$H,型材表!$B$5:$I$45,4,0)</f>
        <v>1.292</v>
      </c>
      <c r="M226" s="46">
        <f t="shared" si="24"/>
        <v>6.4910079999999999</v>
      </c>
      <c r="N226" s="72">
        <f>VLOOKUP($H:$H,型材表!$B$5:$I$45,7,0)</f>
        <v>0</v>
      </c>
      <c r="O226" s="46">
        <f t="shared" si="25"/>
        <v>0</v>
      </c>
      <c r="P226" s="100">
        <f>VLOOKUP($H:$H,型材表!$B$5:$I$45,5,0)</f>
        <v>0.125</v>
      </c>
      <c r="Q226" s="100" t="str">
        <f>VLOOKUP($H:$H,型材表!$B$5:$I$468,6,0)</f>
        <v>断桥隔热铝型材</v>
      </c>
      <c r="R226" s="49"/>
      <c r="S226" s="50"/>
      <c r="U226" s="374" t="s">
        <v>1563</v>
      </c>
      <c r="V226" s="259">
        <f>22*2</f>
        <v>44</v>
      </c>
      <c r="X226" s="264">
        <f>22*2</f>
        <v>44</v>
      </c>
      <c r="Z226" s="264">
        <f>22*2</f>
        <v>44</v>
      </c>
      <c r="AA226" s="259"/>
      <c r="AB226" s="264">
        <f>22*2</f>
        <v>44</v>
      </c>
      <c r="AC226" s="259"/>
      <c r="AD226" s="264">
        <f>22*2</f>
        <v>44</v>
      </c>
      <c r="AE226" s="259"/>
      <c r="AF226" s="264">
        <f>22*2</f>
        <v>44</v>
      </c>
      <c r="AG226" s="259"/>
      <c r="AH226" s="264">
        <f>22*2</f>
        <v>44</v>
      </c>
      <c r="AI226" s="259"/>
    </row>
    <row r="227" spans="1:35" x14ac:dyDescent="0.15">
      <c r="A227" s="395">
        <v>4</v>
      </c>
      <c r="B227" s="534"/>
      <c r="C227" s="535"/>
      <c r="D227" s="535"/>
      <c r="E227" s="536"/>
      <c r="F227" s="47" t="str">
        <f>VLOOKUP($H:$H,型材表!$B$5:$I$45,2,0)</f>
        <v>窗扇</v>
      </c>
      <c r="G227" s="45" t="s">
        <v>40</v>
      </c>
      <c r="H227" s="45" t="str">
        <f>H226</f>
        <v>SN65AS001</v>
      </c>
      <c r="I227" s="45" t="s">
        <v>1011</v>
      </c>
      <c r="J227" s="46">
        <f>IF(G209=65,M216-V227,IF(G209=55,M216-X227,IF(G209=551,M216-Z227,IF(G209=60,M216-AB227,IF(G209=601,M216-AD227,IF(G209=70,M216-AF227,IF(G209=75,M216-AH227)))))))</f>
        <v>571</v>
      </c>
      <c r="K227" s="45">
        <v>4</v>
      </c>
      <c r="L227" s="47">
        <f>VLOOKUP($H:$H,型材表!$B$5:$I$45,4,0)</f>
        <v>1.292</v>
      </c>
      <c r="M227" s="46">
        <f t="shared" si="24"/>
        <v>2.9509279999999998</v>
      </c>
      <c r="N227" s="72">
        <f>VLOOKUP($H:$H,型材表!$B$5:$I$45,7,0)</f>
        <v>0</v>
      </c>
      <c r="O227" s="46">
        <f>N227*M227</f>
        <v>0</v>
      </c>
      <c r="P227" s="100">
        <f>VLOOKUP($H:$H,型材表!$B$5:$I$45,5,0)</f>
        <v>0.125</v>
      </c>
      <c r="Q227" s="100" t="str">
        <f>VLOOKUP($H:$H,型材表!$B$5:$I$468,6,0)</f>
        <v>断桥隔热铝型材</v>
      </c>
      <c r="R227" s="49"/>
      <c r="S227" s="50"/>
      <c r="U227" s="374" t="s">
        <v>1567</v>
      </c>
      <c r="V227" s="259">
        <f>22+7</f>
        <v>29</v>
      </c>
      <c r="X227" s="264">
        <f>22+7</f>
        <v>29</v>
      </c>
      <c r="Z227" s="264">
        <f>22+7</f>
        <v>29</v>
      </c>
      <c r="AA227" s="259"/>
      <c r="AB227" s="264">
        <f>22+7</f>
        <v>29</v>
      </c>
      <c r="AC227" s="259"/>
      <c r="AD227" s="264">
        <f>22+7</f>
        <v>29</v>
      </c>
      <c r="AE227" s="259"/>
      <c r="AF227" s="264">
        <f>22+7</f>
        <v>29</v>
      </c>
      <c r="AG227" s="259"/>
      <c r="AH227" s="264">
        <f>22+7</f>
        <v>29</v>
      </c>
      <c r="AI227" s="259"/>
    </row>
    <row r="228" spans="1:35" x14ac:dyDescent="0.15">
      <c r="A228" s="395">
        <v>5</v>
      </c>
      <c r="B228" s="534"/>
      <c r="C228" s="535"/>
      <c r="D228" s="535"/>
      <c r="E228" s="536"/>
      <c r="F228" s="47" t="str">
        <f>VLOOKUP($H:$H,型材表!$B$5:$I$45,2,0)</f>
        <v>中梃</v>
      </c>
      <c r="G228" s="45"/>
      <c r="H228" s="116" t="str">
        <f>IF(G209=65,"SN65AT001",IF(G209=55,"SN55T001",IF(G209=551,"SN55BT001",IF(G209=60,"SN60T001",IF(G209=601,"SN60AT001",IF(G209=70,"SN70T001",IF(G209=75,"SN75T001")))))))</f>
        <v>SN65AT001</v>
      </c>
      <c r="I228" s="45" t="s">
        <v>1012</v>
      </c>
      <c r="J228" s="46">
        <f>IF(G209=65,M216-V228,IF(G209=55,M216-X228,IF(G209=551,M216-Z228,IF(G209=60,M216-AB228,IF(G209=601,M216-AD228,IF(G209=70,M216-AF228,IF(G209=75,M216-AH228)))))))</f>
        <v>554</v>
      </c>
      <c r="K228" s="45">
        <v>2</v>
      </c>
      <c r="L228" s="47">
        <f>VLOOKUP($H:$H,型材表!$B$5:$I$45,4,0)</f>
        <v>1.214</v>
      </c>
      <c r="M228" s="46">
        <f t="shared" si="24"/>
        <v>1.3451119999999999</v>
      </c>
      <c r="N228" s="72">
        <f>VLOOKUP($H:$H,型材表!$B$5:$I$45,7,0)</f>
        <v>0</v>
      </c>
      <c r="O228" s="46">
        <f>N228*M228</f>
        <v>0</v>
      </c>
      <c r="P228" s="100">
        <f>VLOOKUP($H:$H,型材表!$B$5:$I$45,5,0)</f>
        <v>0.125</v>
      </c>
      <c r="Q228" s="100" t="str">
        <f>VLOOKUP($H:$H,型材表!$B$5:$I$468,6,0)</f>
        <v>断桥隔热铝型材</v>
      </c>
      <c r="R228" s="49"/>
      <c r="S228" s="50"/>
      <c r="U228" s="374" t="s">
        <v>1568</v>
      </c>
      <c r="V228" s="259">
        <f>23*2</f>
        <v>46</v>
      </c>
      <c r="X228" s="264">
        <f>23*2</f>
        <v>46</v>
      </c>
      <c r="Z228" s="264">
        <f>23*2</f>
        <v>46</v>
      </c>
      <c r="AA228" s="259"/>
      <c r="AB228" s="264">
        <f>23*2</f>
        <v>46</v>
      </c>
      <c r="AC228" s="259"/>
      <c r="AD228" s="264">
        <f>23*2</f>
        <v>46</v>
      </c>
      <c r="AE228" s="259"/>
      <c r="AF228" s="264">
        <f>23*2</f>
        <v>46</v>
      </c>
      <c r="AG228" s="259"/>
      <c r="AH228" s="264">
        <f>23*2</f>
        <v>46</v>
      </c>
      <c r="AI228" s="259"/>
    </row>
    <row r="229" spans="1:35" x14ac:dyDescent="0.15">
      <c r="A229" s="395">
        <v>6</v>
      </c>
      <c r="B229" s="537"/>
      <c r="C229" s="538"/>
      <c r="D229" s="538"/>
      <c r="E229" s="539"/>
      <c r="F229" s="47"/>
      <c r="G229" s="45"/>
      <c r="H229" s="45"/>
      <c r="I229" s="45"/>
      <c r="J229" s="46"/>
      <c r="K229" s="45"/>
      <c r="L229" s="47"/>
      <c r="M229" s="46"/>
      <c r="N229" s="72"/>
      <c r="O229" s="46"/>
      <c r="P229" s="100"/>
      <c r="Q229" s="100"/>
      <c r="R229" s="49"/>
      <c r="S229" s="50"/>
      <c r="X229" s="264"/>
      <c r="Z229" s="264"/>
      <c r="AA229" s="259"/>
      <c r="AB229" s="264"/>
      <c r="AC229" s="259"/>
      <c r="AD229" s="264"/>
      <c r="AE229" s="259"/>
      <c r="AF229" s="264"/>
      <c r="AG229" s="259"/>
      <c r="AH229" s="264"/>
      <c r="AI229" s="259"/>
    </row>
    <row r="230" spans="1:35" x14ac:dyDescent="0.15">
      <c r="A230" s="395">
        <v>7</v>
      </c>
      <c r="B230" s="531" t="s">
        <v>42</v>
      </c>
      <c r="C230" s="532"/>
      <c r="D230" s="532"/>
      <c r="E230" s="533"/>
      <c r="F230" s="47" t="str">
        <f>VLOOKUP($H:$H,型材表!$B$5:$I$45,2,0)</f>
        <v>压线</v>
      </c>
      <c r="G230" s="45" t="s">
        <v>39</v>
      </c>
      <c r="H230" s="45" t="str">
        <f>IF(G209=65,"SN65AY002",IF(G209=55,"SN55Y002",IF(G209=551,"SN55BY002",IF(G209=60,"SN60Y002",IF(G209=601,"SN60Y002",IF(G209=70,"SN70Y002",IF(G209=75,"SN75Y002")))))))</f>
        <v>SN65AY002</v>
      </c>
      <c r="I230" s="45" t="s">
        <v>1003</v>
      </c>
      <c r="J230" s="46">
        <f>IF(G209=65,M213-V230,IF(G209=55,M213-X230,IF(G209=551,M213-Z230,IF(G209=60,M213-AB230,IF(G209=601,M213-AD230,IF(G209=70,M213-AF230,IF(G209=75,M213-AH230)))))))</f>
        <v>1180.4000000000001</v>
      </c>
      <c r="K230" s="45">
        <v>4</v>
      </c>
      <c r="L230" s="47">
        <f>VLOOKUP($H:$H,型材表!$B$5:$I$45,4,0)</f>
        <v>0.20399999999999999</v>
      </c>
      <c r="M230" s="46">
        <f t="shared" ref="M230:M238" si="26">J230*K230*L230/1000</f>
        <v>0.96320640000000002</v>
      </c>
      <c r="N230" s="72">
        <f>VLOOKUP($H:$H,型材表!$B$5:$I$45,7,0)</f>
        <v>0</v>
      </c>
      <c r="O230" s="46">
        <f t="shared" ref="O230:O238" si="27">N230*M230</f>
        <v>0</v>
      </c>
      <c r="P230" s="100">
        <f>VLOOKUP($H:$H,型材表!$B$5:$I$45,5,0)</f>
        <v>0.125</v>
      </c>
      <c r="Q230" s="100" t="str">
        <f>VLOOKUP($H:$H,型材表!$B$5:$I$468,6,0)</f>
        <v>非断桥隔热铝型材</v>
      </c>
      <c r="R230" s="49"/>
      <c r="S230" s="50"/>
      <c r="U230" s="374" t="s">
        <v>989</v>
      </c>
      <c r="V230" s="259">
        <f>59.8*2</f>
        <v>119.6</v>
      </c>
      <c r="X230" s="286">
        <f>59.8*2</f>
        <v>119.6</v>
      </c>
      <c r="Z230" s="286">
        <f>59.8*2</f>
        <v>119.6</v>
      </c>
      <c r="AA230" s="259"/>
      <c r="AB230" s="286">
        <f>59.8*2</f>
        <v>119.6</v>
      </c>
      <c r="AC230" s="259"/>
      <c r="AD230" s="286">
        <f>59.8*2</f>
        <v>119.6</v>
      </c>
      <c r="AE230" s="259"/>
      <c r="AF230" s="286">
        <f>59.8*2</f>
        <v>119.6</v>
      </c>
      <c r="AG230" s="259"/>
      <c r="AH230" s="286">
        <f>59.8*2</f>
        <v>119.6</v>
      </c>
      <c r="AI230" s="259"/>
    </row>
    <row r="231" spans="1:35" x14ac:dyDescent="0.15">
      <c r="A231" s="395">
        <v>8</v>
      </c>
      <c r="B231" s="534"/>
      <c r="C231" s="535"/>
      <c r="D231" s="535"/>
      <c r="E231" s="536"/>
      <c r="F231" s="47" t="str">
        <f>VLOOKUP($H:$H,型材表!$B$5:$I$45,2,0)</f>
        <v>压线</v>
      </c>
      <c r="G231" s="45" t="s">
        <v>39</v>
      </c>
      <c r="H231" s="207" t="str">
        <f>H230</f>
        <v>SN65AY002</v>
      </c>
      <c r="I231" s="45" t="s">
        <v>1036</v>
      </c>
      <c r="J231" s="208">
        <f>IF(G209=65,M213-V231,IF(G209=55,M213-X231,IF(G209=551,M213-Z231,IF(G209=60,M213-AB231,IF(G209=601,M213-AD231,IF(G209=70,M213-AF231,IF(G209=75,M213-AH231)))))))</f>
        <v>1254</v>
      </c>
      <c r="K231" s="207">
        <v>2</v>
      </c>
      <c r="L231" s="47">
        <f>VLOOKUP($H:$H,型材表!$B$5:$I$45,4,0)</f>
        <v>0.20399999999999999</v>
      </c>
      <c r="M231" s="46">
        <f t="shared" ref="M231:M232" si="28">J231*K231*L231/1000</f>
        <v>0.51163199999999998</v>
      </c>
      <c r="N231" s="72">
        <f>VLOOKUP($H:$H,型材表!$B$5:$I$45,7,0)</f>
        <v>0</v>
      </c>
      <c r="O231" s="46">
        <f t="shared" ref="O231:O232" si="29">N231*M231</f>
        <v>0</v>
      </c>
      <c r="P231" s="100">
        <f>VLOOKUP($H:$H,型材表!$B$5:$I$45,5,0)</f>
        <v>0.125</v>
      </c>
      <c r="Q231" s="100" t="str">
        <f>VLOOKUP($H:$H,型材表!$B$5:$I$468,6,0)</f>
        <v>非断桥隔热铝型材</v>
      </c>
      <c r="R231" s="210"/>
      <c r="S231" s="50"/>
      <c r="U231" s="374" t="s">
        <v>1038</v>
      </c>
      <c r="V231" s="259">
        <f>23*2</f>
        <v>46</v>
      </c>
      <c r="X231" s="286">
        <f>23*2</f>
        <v>46</v>
      </c>
      <c r="Z231" s="286">
        <f>23*2</f>
        <v>46</v>
      </c>
      <c r="AA231" s="259"/>
      <c r="AB231" s="286">
        <f>23*2</f>
        <v>46</v>
      </c>
      <c r="AC231" s="259"/>
      <c r="AD231" s="286">
        <f>23*2</f>
        <v>46</v>
      </c>
      <c r="AE231" s="259"/>
      <c r="AF231" s="286">
        <f>23*2</f>
        <v>46</v>
      </c>
      <c r="AG231" s="259"/>
      <c r="AH231" s="286">
        <f>23*2</f>
        <v>46</v>
      </c>
      <c r="AI231" s="259"/>
    </row>
    <row r="232" spans="1:35" x14ac:dyDescent="0.15">
      <c r="A232" s="395">
        <v>9</v>
      </c>
      <c r="B232" s="534"/>
      <c r="C232" s="535"/>
      <c r="D232" s="535"/>
      <c r="E232" s="536"/>
      <c r="F232" s="47" t="str">
        <f>VLOOKUP($H:$H,型材表!$B$5:$I$45,2,0)</f>
        <v>压线</v>
      </c>
      <c r="G232" s="45" t="s">
        <v>40</v>
      </c>
      <c r="H232" s="207" t="str">
        <f>H230</f>
        <v>SN65AY002</v>
      </c>
      <c r="I232" s="207" t="s">
        <v>1037</v>
      </c>
      <c r="J232" s="208">
        <f>IF(G209=65,M216-V232,IF(G209=55,M216-X232,IF(G209=551,M216-Z232,IF(G209=60,M216-AB232,IF(G209=601,M216-AD232,IF(G209=70,M216-AF232,IF(G209=75,M216-AH232)))))))</f>
        <v>495.4</v>
      </c>
      <c r="K232" s="207">
        <v>4</v>
      </c>
      <c r="L232" s="47">
        <f>VLOOKUP($H:$H,型材表!$B$5:$I$45,4,0)</f>
        <v>0.20399999999999999</v>
      </c>
      <c r="M232" s="46">
        <f t="shared" si="28"/>
        <v>0.40424639999999995</v>
      </c>
      <c r="N232" s="72">
        <f>VLOOKUP($H:$H,型材表!$B$5:$I$45,7,0)</f>
        <v>0</v>
      </c>
      <c r="O232" s="46">
        <f t="shared" si="29"/>
        <v>0</v>
      </c>
      <c r="P232" s="100">
        <f>VLOOKUP($H:$H,型材表!$B$5:$I$45,5,0)</f>
        <v>0.125</v>
      </c>
      <c r="Q232" s="100" t="str">
        <f>VLOOKUP($H:$H,型材表!$B$5:$I$468,6,0)</f>
        <v>非断桥隔热铝型材</v>
      </c>
      <c r="R232" s="210"/>
      <c r="S232" s="50"/>
      <c r="U232" s="374" t="s">
        <v>1030</v>
      </c>
      <c r="V232" s="259">
        <f>59.8+44.8</f>
        <v>104.6</v>
      </c>
      <c r="X232" s="286">
        <f>59.8+44.8</f>
        <v>104.6</v>
      </c>
      <c r="Z232" s="286">
        <f>59.8+44.8</f>
        <v>104.6</v>
      </c>
      <c r="AA232" s="259"/>
      <c r="AB232" s="286">
        <f>59.8+44.8</f>
        <v>104.6</v>
      </c>
      <c r="AC232" s="259"/>
      <c r="AD232" s="286">
        <f>59.8+44.8</f>
        <v>104.6</v>
      </c>
      <c r="AE232" s="259"/>
      <c r="AF232" s="286">
        <f>59.8+44.8</f>
        <v>104.6</v>
      </c>
      <c r="AG232" s="259"/>
      <c r="AH232" s="286">
        <f>59.8+44.8</f>
        <v>104.6</v>
      </c>
      <c r="AI232" s="259"/>
    </row>
    <row r="233" spans="1:35" x14ac:dyDescent="0.15">
      <c r="A233" s="395">
        <v>10</v>
      </c>
      <c r="B233" s="537"/>
      <c r="C233" s="538"/>
      <c r="D233" s="538"/>
      <c r="E233" s="539"/>
      <c r="F233" s="47" t="str">
        <f>VLOOKUP($H:$H,型材表!$B$5:$I$45,2,0)</f>
        <v>压线</v>
      </c>
      <c r="G233" s="45" t="s">
        <v>40</v>
      </c>
      <c r="H233" s="45" t="str">
        <f>H230</f>
        <v>SN65AY002</v>
      </c>
      <c r="I233" s="207" t="s">
        <v>1026</v>
      </c>
      <c r="J233" s="46">
        <f>IF(G209=65,M217-V233,IF(G209=55,M217-X233,IF(G209=551,M217-Z233,IF(G209=60,M217-AB233,IF(G209=601,M217-AD233,IF(G209=70,M217-AF233,IF(G209=75,M217-AH233)))))))</f>
        <v>784</v>
      </c>
      <c r="K233" s="45">
        <v>2</v>
      </c>
      <c r="L233" s="47">
        <f>VLOOKUP($H:$H,型材表!$B$5:$I$45,4,0)</f>
        <v>0.20399999999999999</v>
      </c>
      <c r="M233" s="46">
        <f t="shared" si="26"/>
        <v>0.31987199999999993</v>
      </c>
      <c r="N233" s="72">
        <f>VLOOKUP($H:$H,型材表!$B$5:$I$45,7,0)</f>
        <v>0</v>
      </c>
      <c r="O233" s="46">
        <f t="shared" si="27"/>
        <v>0</v>
      </c>
      <c r="P233" s="100">
        <f>VLOOKUP($H:$H,型材表!$B$5:$I$45,5,0)</f>
        <v>0.125</v>
      </c>
      <c r="Q233" s="100" t="str">
        <f>VLOOKUP($H:$H,型材表!$B$5:$I$468,6,0)</f>
        <v>非断桥隔热铝型材</v>
      </c>
      <c r="R233" s="49"/>
      <c r="S233" s="50"/>
      <c r="U233" s="374" t="s">
        <v>1034</v>
      </c>
      <c r="V233" s="259">
        <f>8*2</f>
        <v>16</v>
      </c>
      <c r="X233" s="286">
        <f>8*2</f>
        <v>16</v>
      </c>
      <c r="Z233" s="286">
        <f>8*2</f>
        <v>16</v>
      </c>
      <c r="AA233" s="259"/>
      <c r="AB233" s="286">
        <f>8*2</f>
        <v>16</v>
      </c>
      <c r="AC233" s="259"/>
      <c r="AD233" s="286">
        <f>8*2</f>
        <v>16</v>
      </c>
      <c r="AE233" s="259"/>
      <c r="AF233" s="286">
        <f>8*2</f>
        <v>16</v>
      </c>
      <c r="AG233" s="259"/>
      <c r="AH233" s="286">
        <f>8*2</f>
        <v>16</v>
      </c>
      <c r="AI233" s="259"/>
    </row>
    <row r="234" spans="1:35" x14ac:dyDescent="0.15">
      <c r="A234" s="395">
        <v>11</v>
      </c>
      <c r="B234" s="531" t="s">
        <v>44</v>
      </c>
      <c r="C234" s="532"/>
      <c r="D234" s="532"/>
      <c r="E234" s="533"/>
      <c r="F234" s="47" t="str">
        <f>VLOOKUP($H:$H,型材表!$B$5:$I$45,2,0)</f>
        <v>角码</v>
      </c>
      <c r="G234" s="51" t="s">
        <v>446</v>
      </c>
      <c r="H234" s="45" t="str">
        <f>IF(G209=65,"SW55F001","SN55F003")</f>
        <v>SW55F001</v>
      </c>
      <c r="I234" s="45" t="s">
        <v>1006</v>
      </c>
      <c r="J234" s="52">
        <f>IF(G209=65,V234,IF(G209=55,X234,IF(G209=551,Z234,IF(G209=60,AB234,IF(G209=601,AD234,IF(G209=70,AF234,IF(G209=75,AH234)))))))</f>
        <v>32.200000000000003</v>
      </c>
      <c r="K234" s="45">
        <f>K224*2</f>
        <v>4</v>
      </c>
      <c r="L234" s="47">
        <f>VLOOKUP($H:$H,型材表!$B$5:$I$45,4,0)</f>
        <v>2.0950000000000002</v>
      </c>
      <c r="M234" s="46">
        <f t="shared" si="26"/>
        <v>0.26983600000000008</v>
      </c>
      <c r="N234" s="72">
        <f>VLOOKUP($H:$H,型材表!$B$5:$I$45,7,0)</f>
        <v>0</v>
      </c>
      <c r="O234" s="46">
        <f t="shared" si="27"/>
        <v>0</v>
      </c>
      <c r="P234" s="100">
        <f>VLOOKUP($H:$H,型材表!$B$5:$I$45,5,0)</f>
        <v>0.125</v>
      </c>
      <c r="Q234" s="100" t="str">
        <f>VLOOKUP($H:$H,型材表!$B$5:$I$468,6,0)</f>
        <v>阳极氧化铝型材</v>
      </c>
      <c r="R234" s="49"/>
      <c r="S234" s="50"/>
      <c r="U234" s="374" t="s">
        <v>994</v>
      </c>
      <c r="V234" s="259">
        <f>19.5-1+14.7-1</f>
        <v>32.200000000000003</v>
      </c>
      <c r="X234" s="264">
        <f>19.5-1+14.7-1</f>
        <v>32.200000000000003</v>
      </c>
      <c r="Y234" s="265"/>
      <c r="Z234" s="264">
        <f>19.5-1+10.9-1</f>
        <v>28.4</v>
      </c>
      <c r="AA234" s="277"/>
      <c r="AB234" s="264">
        <f>19.5-1+14.7-1</f>
        <v>32.200000000000003</v>
      </c>
      <c r="AC234" s="277"/>
      <c r="AD234" s="264">
        <f>19.5-1+10.9-1</f>
        <v>28.4</v>
      </c>
      <c r="AE234" s="277"/>
      <c r="AF234" s="264">
        <f>19.5-1+14.7-1</f>
        <v>32.200000000000003</v>
      </c>
      <c r="AG234" s="277"/>
      <c r="AH234" s="264">
        <f>19.5-1+14.7-1</f>
        <v>32.200000000000003</v>
      </c>
      <c r="AI234" s="259"/>
    </row>
    <row r="235" spans="1:35" x14ac:dyDescent="0.15">
      <c r="A235" s="395">
        <v>12</v>
      </c>
      <c r="B235" s="534"/>
      <c r="C235" s="535"/>
      <c r="D235" s="535"/>
      <c r="E235" s="536"/>
      <c r="F235" s="47" t="str">
        <f>VLOOKUP($H:$H,型材表!$B$5:$I$45,2,0)</f>
        <v>角码</v>
      </c>
      <c r="G235" s="51" t="s">
        <v>447</v>
      </c>
      <c r="H235" s="45" t="str">
        <f>IF(G209=65,"SN55F003","SN55F003")</f>
        <v>SN55F003</v>
      </c>
      <c r="I235" s="45" t="s">
        <v>995</v>
      </c>
      <c r="J235" s="52">
        <f t="shared" ref="J235:J238" si="30">V235</f>
        <v>27.1</v>
      </c>
      <c r="K235" s="45">
        <v>8</v>
      </c>
      <c r="L235" s="47">
        <f>VLOOKUP($H:$H,型材表!$B$5:$I$45,4,0)</f>
        <v>1.7490000000000001</v>
      </c>
      <c r="M235" s="46">
        <f t="shared" si="26"/>
        <v>0.37918320000000005</v>
      </c>
      <c r="N235" s="72">
        <f>VLOOKUP($H:$H,型材表!$B$5:$I$45,7,0)</f>
        <v>0</v>
      </c>
      <c r="O235" s="46">
        <f t="shared" si="27"/>
        <v>0</v>
      </c>
      <c r="P235" s="100">
        <f>VLOOKUP($H:$H,型材表!$B$5:$I$45,5,0)</f>
        <v>0.125</v>
      </c>
      <c r="Q235" s="100" t="str">
        <f>VLOOKUP($H:$H,型材表!$B$5:$I$468,6,0)</f>
        <v>阳极氧化铝型材</v>
      </c>
      <c r="R235" s="49"/>
      <c r="S235" s="50"/>
      <c r="U235" s="374" t="s">
        <v>995</v>
      </c>
      <c r="V235" s="259">
        <f>28.1-1</f>
        <v>27.1</v>
      </c>
      <c r="X235" s="264"/>
      <c r="Z235" s="264"/>
      <c r="AA235" s="259"/>
      <c r="AB235" s="264"/>
      <c r="AC235" s="259"/>
      <c r="AD235" s="264"/>
      <c r="AE235" s="259"/>
      <c r="AF235" s="264"/>
      <c r="AG235" s="259"/>
      <c r="AH235" s="264"/>
      <c r="AI235" s="259"/>
    </row>
    <row r="236" spans="1:35" x14ac:dyDescent="0.15">
      <c r="A236" s="395">
        <v>13</v>
      </c>
      <c r="B236" s="534"/>
      <c r="C236" s="535"/>
      <c r="D236" s="535"/>
      <c r="E236" s="536"/>
      <c r="F236" s="47" t="str">
        <f>VLOOKUP($H:$H,型材表!$B$5:$I$45,2,0)</f>
        <v>角码</v>
      </c>
      <c r="G236" s="51" t="s">
        <v>447</v>
      </c>
      <c r="H236" s="45" t="str">
        <f>IF(G209=70,"SW50F002",IF(G209=75,"SW50F002","SN55F003"))</f>
        <v>SN55F003</v>
      </c>
      <c r="I236" s="45" t="s">
        <v>996</v>
      </c>
      <c r="J236" s="52">
        <f>IF(G209=65,V236,IF(G209=55,X236,IF(G209=551,Z236,IF(G209=60,AB236,IF(G209=601,AD236,IF(G209=70,AF236,IF(G209=75,AH236)))))))</f>
        <v>8</v>
      </c>
      <c r="K236" s="45">
        <f>K235</f>
        <v>8</v>
      </c>
      <c r="L236" s="47">
        <f>VLOOKUP($H:$H,型材表!$B$5:$I$45,4,0)</f>
        <v>1.7490000000000001</v>
      </c>
      <c r="M236" s="46">
        <f t="shared" ref="M236" si="31">J236*K236*L236/1000</f>
        <v>0.11193600000000001</v>
      </c>
      <c r="N236" s="72">
        <f>VLOOKUP($H:$H,型材表!$B$5:$I$45,7,0)</f>
        <v>0</v>
      </c>
      <c r="O236" s="46">
        <f t="shared" ref="O236" si="32">N236*M236</f>
        <v>0</v>
      </c>
      <c r="P236" s="100">
        <f>VLOOKUP($H:$H,型材表!$B$5:$I$45,5,0)</f>
        <v>0.125</v>
      </c>
      <c r="Q236" s="100" t="str">
        <f>VLOOKUP($H:$H,型材表!$B$5:$I$468,6,0)</f>
        <v>阳极氧化铝型材</v>
      </c>
      <c r="R236" s="49"/>
      <c r="S236" s="50"/>
      <c r="U236" s="374" t="s">
        <v>996</v>
      </c>
      <c r="V236" s="259">
        <f>9-1</f>
        <v>8</v>
      </c>
      <c r="X236" s="264">
        <f>9-1</f>
        <v>8</v>
      </c>
      <c r="Y236" s="265"/>
      <c r="Z236" s="264">
        <f>5.2-1</f>
        <v>4.2</v>
      </c>
      <c r="AA236" s="277"/>
      <c r="AB236" s="264">
        <f>9-1</f>
        <v>8</v>
      </c>
      <c r="AC236" s="277"/>
      <c r="AD236" s="264">
        <f>5.2-1</f>
        <v>4.2</v>
      </c>
      <c r="AE236" s="277"/>
      <c r="AF236" s="264">
        <f>9-1</f>
        <v>8</v>
      </c>
      <c r="AG236" s="277"/>
      <c r="AH236" s="264">
        <f>9-1</f>
        <v>8</v>
      </c>
      <c r="AI236" s="259"/>
    </row>
    <row r="237" spans="1:35" x14ac:dyDescent="0.15">
      <c r="A237" s="395">
        <v>14</v>
      </c>
      <c r="B237" s="534"/>
      <c r="C237" s="535"/>
      <c r="D237" s="535"/>
      <c r="E237" s="536"/>
      <c r="F237" s="47" t="str">
        <f>VLOOKUP($H:$H,型材表!$B$5:$I$45,2,0)</f>
        <v>中梃角码</v>
      </c>
      <c r="G237" s="51"/>
      <c r="H237" s="45" t="str">
        <f>IF(G209=65,"SN55F001","SN55F001")</f>
        <v>SN55F001</v>
      </c>
      <c r="I237" s="45" t="s">
        <v>997</v>
      </c>
      <c r="J237" s="52">
        <f t="shared" si="30"/>
        <v>18.5</v>
      </c>
      <c r="K237" s="45">
        <v>4</v>
      </c>
      <c r="L237" s="47">
        <f>VLOOKUP($H:$H,型材表!$B$5:$I$45,4,0)</f>
        <v>1.4730000000000001</v>
      </c>
      <c r="M237" s="46">
        <f t="shared" si="26"/>
        <v>0.10900200000000002</v>
      </c>
      <c r="N237" s="72">
        <f>VLOOKUP($H:$H,型材表!$B$5:$I$45,7,0)</f>
        <v>0</v>
      </c>
      <c r="O237" s="46">
        <f t="shared" si="27"/>
        <v>0</v>
      </c>
      <c r="P237" s="100">
        <f>VLOOKUP($H:$H,型材表!$B$5:$I$45,5,0)</f>
        <v>0.125</v>
      </c>
      <c r="Q237" s="100" t="str">
        <f>VLOOKUP($H:$H,型材表!$B$5:$I$468,6,0)</f>
        <v>阳极氧化铝型材</v>
      </c>
      <c r="R237" s="49"/>
      <c r="S237" s="50"/>
      <c r="U237" s="374" t="s">
        <v>997</v>
      </c>
      <c r="V237" s="259">
        <f>19.5-1</f>
        <v>18.5</v>
      </c>
      <c r="X237" s="264"/>
      <c r="Z237" s="264"/>
      <c r="AA237" s="259"/>
      <c r="AB237" s="264"/>
      <c r="AC237" s="259"/>
      <c r="AD237" s="264"/>
      <c r="AE237" s="259"/>
      <c r="AF237" s="264"/>
      <c r="AG237" s="259"/>
      <c r="AH237" s="264"/>
      <c r="AI237" s="259"/>
    </row>
    <row r="238" spans="1:35" x14ac:dyDescent="0.15">
      <c r="A238" s="395">
        <v>15</v>
      </c>
      <c r="B238" s="537"/>
      <c r="C238" s="538"/>
      <c r="D238" s="538"/>
      <c r="E238" s="539"/>
      <c r="F238" s="47" t="str">
        <f>VLOOKUP($H:$H,型材表!$B$5:$I$45,2,0)</f>
        <v>中梃角码</v>
      </c>
      <c r="G238" s="53"/>
      <c r="H238" s="45" t="str">
        <f>IF(G209=70,"SN70F001",IF(G209=75,"SN70F001",IF(G209=551,"SN55BF001",IF(G209=601,"SN55BF001","SN55F002"))))</f>
        <v>SN55F002</v>
      </c>
      <c r="I238" s="45" t="s">
        <v>939</v>
      </c>
      <c r="J238" s="52">
        <f t="shared" si="30"/>
        <v>13.5</v>
      </c>
      <c r="K238" s="55">
        <f>K237</f>
        <v>4</v>
      </c>
      <c r="L238" s="47">
        <f>VLOOKUP($H:$H,型材表!$B$5:$I$45,4,0)</f>
        <v>0.90400000000000003</v>
      </c>
      <c r="M238" s="46">
        <f t="shared" si="26"/>
        <v>4.8816000000000005E-2</v>
      </c>
      <c r="N238" s="72">
        <f>VLOOKUP($H:$H,型材表!$B$5:$I$45,7,0)</f>
        <v>0</v>
      </c>
      <c r="O238" s="46">
        <f t="shared" si="27"/>
        <v>0</v>
      </c>
      <c r="P238" s="100">
        <f>VLOOKUP($H:$H,型材表!$B$5:$I$45,5,0)</f>
        <v>0.125</v>
      </c>
      <c r="Q238" s="100" t="str">
        <f>VLOOKUP($H:$H,型材表!$B$5:$I$468,6,0)</f>
        <v>阳极氧化铝型材</v>
      </c>
      <c r="R238" s="49"/>
      <c r="S238" s="50"/>
      <c r="U238" s="374" t="s">
        <v>939</v>
      </c>
      <c r="V238" s="259">
        <f>14.5-1</f>
        <v>13.5</v>
      </c>
      <c r="X238" s="264"/>
      <c r="Z238" s="264"/>
      <c r="AA238" s="259"/>
      <c r="AB238" s="264"/>
      <c r="AC238" s="259"/>
      <c r="AD238" s="264"/>
      <c r="AE238" s="259"/>
      <c r="AF238" s="264"/>
      <c r="AG238" s="259"/>
      <c r="AH238" s="264"/>
      <c r="AI238" s="259"/>
    </row>
    <row r="239" spans="1:35" x14ac:dyDescent="0.15">
      <c r="A239" s="395">
        <v>16</v>
      </c>
      <c r="B239" s="387"/>
      <c r="C239" s="388"/>
      <c r="D239" s="388"/>
      <c r="E239" s="389"/>
      <c r="F239" s="306"/>
      <c r="G239" s="53"/>
      <c r="H239" s="207"/>
      <c r="I239" s="207"/>
      <c r="J239" s="214"/>
      <c r="K239" s="55"/>
      <c r="L239" s="306"/>
      <c r="M239" s="208"/>
      <c r="N239" s="432"/>
      <c r="O239" s="208"/>
      <c r="P239" s="433"/>
      <c r="Q239" s="360"/>
      <c r="R239" s="60"/>
      <c r="S239" s="50"/>
      <c r="X239" s="264"/>
      <c r="Z239" s="264"/>
      <c r="AA239" s="259"/>
      <c r="AB239" s="264"/>
      <c r="AC239" s="259"/>
      <c r="AD239" s="264"/>
      <c r="AE239" s="259"/>
      <c r="AF239" s="264"/>
      <c r="AG239" s="259"/>
      <c r="AH239" s="264"/>
      <c r="AI239" s="259"/>
    </row>
    <row r="240" spans="1:35" x14ac:dyDescent="0.15">
      <c r="A240" s="395">
        <v>17</v>
      </c>
      <c r="B240" s="387"/>
      <c r="C240" s="388"/>
      <c r="D240" s="388"/>
      <c r="E240" s="389"/>
      <c r="F240" s="306"/>
      <c r="G240" s="53"/>
      <c r="H240" s="207"/>
      <c r="I240" s="207"/>
      <c r="J240" s="214"/>
      <c r="K240" s="55"/>
      <c r="L240" s="306"/>
      <c r="M240" s="208"/>
      <c r="N240" s="432"/>
      <c r="O240" s="208"/>
      <c r="P240" s="433"/>
      <c r="Q240" s="360"/>
      <c r="R240" s="60"/>
      <c r="S240" s="50"/>
      <c r="X240" s="264"/>
      <c r="Z240" s="264"/>
      <c r="AA240" s="259"/>
      <c r="AB240" s="264"/>
      <c r="AC240" s="259"/>
      <c r="AD240" s="264"/>
      <c r="AE240" s="259"/>
      <c r="AF240" s="264"/>
      <c r="AG240" s="259"/>
      <c r="AH240" s="264"/>
      <c r="AI240" s="259"/>
    </row>
    <row r="241" spans="1:35" x14ac:dyDescent="0.15">
      <c r="A241" s="395">
        <v>18</v>
      </c>
      <c r="B241" s="387"/>
      <c r="C241" s="388"/>
      <c r="D241" s="388"/>
      <c r="E241" s="389"/>
      <c r="F241" s="306"/>
      <c r="G241" s="53"/>
      <c r="H241" s="207"/>
      <c r="I241" s="207"/>
      <c r="J241" s="214"/>
      <c r="K241" s="55"/>
      <c r="L241" s="306"/>
      <c r="M241" s="208"/>
      <c r="N241" s="432"/>
      <c r="O241" s="208"/>
      <c r="P241" s="433"/>
      <c r="Q241" s="360"/>
      <c r="R241" s="60"/>
      <c r="S241" s="50"/>
      <c r="X241" s="264"/>
      <c r="Z241" s="264"/>
      <c r="AA241" s="259"/>
      <c r="AB241" s="264"/>
      <c r="AC241" s="259"/>
      <c r="AD241" s="264"/>
      <c r="AE241" s="259"/>
      <c r="AF241" s="264"/>
      <c r="AG241" s="259"/>
      <c r="AH241" s="264"/>
      <c r="AI241" s="259"/>
    </row>
    <row r="242" spans="1:35" x14ac:dyDescent="0.15">
      <c r="A242" s="395">
        <v>19</v>
      </c>
      <c r="B242" s="387"/>
      <c r="C242" s="388"/>
      <c r="D242" s="388"/>
      <c r="E242" s="389"/>
      <c r="F242" s="306"/>
      <c r="G242" s="53"/>
      <c r="H242" s="207"/>
      <c r="I242" s="207"/>
      <c r="J242" s="214"/>
      <c r="K242" s="55"/>
      <c r="L242" s="306"/>
      <c r="M242" s="208"/>
      <c r="N242" s="432"/>
      <c r="O242" s="208"/>
      <c r="P242" s="433"/>
      <c r="Q242" s="360"/>
      <c r="R242" s="60"/>
      <c r="S242" s="50"/>
      <c r="X242" s="264"/>
      <c r="Z242" s="264"/>
      <c r="AA242" s="259"/>
      <c r="AB242" s="264"/>
      <c r="AC242" s="259"/>
      <c r="AD242" s="264"/>
      <c r="AE242" s="259"/>
      <c r="AF242" s="264"/>
      <c r="AG242" s="259"/>
      <c r="AH242" s="264"/>
      <c r="AI242" s="259"/>
    </row>
    <row r="243" spans="1:35" x14ac:dyDescent="0.15">
      <c r="A243" s="395">
        <v>20</v>
      </c>
      <c r="B243" s="387"/>
      <c r="C243" s="388"/>
      <c r="D243" s="388"/>
      <c r="E243" s="389"/>
      <c r="F243" s="306"/>
      <c r="G243" s="53"/>
      <c r="H243" s="207"/>
      <c r="I243" s="207"/>
      <c r="J243" s="214"/>
      <c r="K243" s="55"/>
      <c r="L243" s="306"/>
      <c r="M243" s="208"/>
      <c r="N243" s="432"/>
      <c r="O243" s="208"/>
      <c r="P243" s="433"/>
      <c r="Q243" s="360"/>
      <c r="R243" s="60"/>
      <c r="S243" s="50"/>
      <c r="X243" s="264"/>
      <c r="Z243" s="264"/>
      <c r="AA243" s="259"/>
      <c r="AB243" s="264"/>
      <c r="AC243" s="259"/>
      <c r="AD243" s="264"/>
      <c r="AE243" s="259"/>
      <c r="AF243" s="264"/>
      <c r="AG243" s="259"/>
      <c r="AH243" s="264"/>
      <c r="AI243" s="259"/>
    </row>
    <row r="244" spans="1:35" x14ac:dyDescent="0.15">
      <c r="A244" s="395">
        <v>21</v>
      </c>
      <c r="B244" s="387"/>
      <c r="C244" s="388"/>
      <c r="D244" s="388"/>
      <c r="E244" s="389"/>
      <c r="F244" s="306"/>
      <c r="G244" s="53"/>
      <c r="H244" s="207"/>
      <c r="I244" s="207"/>
      <c r="J244" s="214"/>
      <c r="K244" s="55"/>
      <c r="L244" s="306"/>
      <c r="M244" s="208"/>
      <c r="N244" s="432"/>
      <c r="O244" s="208"/>
      <c r="P244" s="433"/>
      <c r="Q244" s="360"/>
      <c r="R244" s="60"/>
      <c r="S244" s="50"/>
      <c r="X244" s="264"/>
      <c r="Z244" s="264"/>
      <c r="AA244" s="259"/>
      <c r="AB244" s="264"/>
      <c r="AC244" s="259"/>
      <c r="AD244" s="264"/>
      <c r="AE244" s="259"/>
      <c r="AF244" s="264"/>
      <c r="AG244" s="259"/>
      <c r="AH244" s="264"/>
      <c r="AI244" s="259"/>
    </row>
    <row r="245" spans="1:35" x14ac:dyDescent="0.15">
      <c r="A245" s="563" t="s">
        <v>877</v>
      </c>
      <c r="B245" s="563"/>
      <c r="C245" s="563"/>
      <c r="D245" s="564"/>
      <c r="E245" s="564"/>
      <c r="F245" s="563"/>
      <c r="G245" s="563"/>
      <c r="H245" s="563"/>
      <c r="I245" s="563"/>
      <c r="J245" s="563"/>
      <c r="K245" s="563"/>
      <c r="L245" s="563"/>
      <c r="M245" s="46">
        <f>SUMIF(Q224:Q238,A245,M224:M238)</f>
        <v>17.519048000000002</v>
      </c>
      <c r="N245" s="58"/>
      <c r="O245" s="46"/>
      <c r="P245" s="59"/>
      <c r="Q245" s="336"/>
      <c r="R245" s="60"/>
      <c r="S245" s="50"/>
      <c r="X245" s="264"/>
      <c r="Z245" s="264"/>
      <c r="AA245" s="259"/>
      <c r="AB245" s="264"/>
      <c r="AC245" s="259"/>
      <c r="AD245" s="264"/>
      <c r="AE245" s="259"/>
      <c r="AF245" s="264"/>
      <c r="AG245" s="259"/>
      <c r="AH245" s="264"/>
      <c r="AI245" s="259"/>
    </row>
    <row r="246" spans="1:35" x14ac:dyDescent="0.15">
      <c r="A246" s="563" t="s">
        <v>879</v>
      </c>
      <c r="B246" s="563"/>
      <c r="C246" s="563"/>
      <c r="D246" s="564"/>
      <c r="E246" s="564"/>
      <c r="F246" s="563"/>
      <c r="G246" s="563"/>
      <c r="H246" s="563"/>
      <c r="I246" s="563"/>
      <c r="J246" s="563"/>
      <c r="K246" s="563"/>
      <c r="L246" s="563"/>
      <c r="M246" s="46">
        <f>SUMIF(Q225:Q245,A246,M225:M245)</f>
        <v>2.1989567999999995</v>
      </c>
      <c r="N246" s="58"/>
      <c r="O246" s="46"/>
      <c r="P246" s="59"/>
      <c r="Q246" s="336"/>
      <c r="R246" s="60"/>
      <c r="S246" s="50"/>
      <c r="X246" s="264"/>
      <c r="Z246" s="264"/>
      <c r="AA246" s="259"/>
      <c r="AB246" s="264"/>
      <c r="AC246" s="259"/>
      <c r="AD246" s="264"/>
      <c r="AE246" s="259"/>
      <c r="AF246" s="264"/>
      <c r="AG246" s="259"/>
      <c r="AH246" s="264"/>
      <c r="AI246" s="259"/>
    </row>
    <row r="247" spans="1:35" x14ac:dyDescent="0.15">
      <c r="A247" s="563" t="s">
        <v>880</v>
      </c>
      <c r="B247" s="563"/>
      <c r="C247" s="563"/>
      <c r="D247" s="564"/>
      <c r="E247" s="564"/>
      <c r="F247" s="563"/>
      <c r="G247" s="563"/>
      <c r="H247" s="563"/>
      <c r="I247" s="563"/>
      <c r="J247" s="563"/>
      <c r="K247" s="563"/>
      <c r="L247" s="563"/>
      <c r="M247" s="46">
        <f>SUMIF(Q226:Q246,A247,M226:M246)</f>
        <v>0.91877320000000018</v>
      </c>
      <c r="N247" s="58"/>
      <c r="O247" s="46"/>
      <c r="P247" s="59"/>
      <c r="Q247" s="336"/>
      <c r="R247" s="60"/>
      <c r="S247" s="50"/>
      <c r="X247" s="264"/>
      <c r="Z247" s="264"/>
      <c r="AA247" s="259"/>
      <c r="AB247" s="264"/>
      <c r="AC247" s="259"/>
      <c r="AD247" s="264"/>
      <c r="AE247" s="259"/>
      <c r="AF247" s="264"/>
      <c r="AG247" s="259"/>
      <c r="AH247" s="264"/>
      <c r="AI247" s="259"/>
    </row>
    <row r="248" spans="1:35" x14ac:dyDescent="0.15">
      <c r="A248" s="61"/>
      <c r="B248" s="552"/>
      <c r="C248" s="557"/>
      <c r="D248" s="557"/>
      <c r="E248" s="553"/>
      <c r="F248" s="552" t="s">
        <v>48</v>
      </c>
      <c r="G248" s="557"/>
      <c r="H248" s="557"/>
      <c r="I248" s="557"/>
      <c r="J248" s="557"/>
      <c r="K248" s="557"/>
      <c r="L248" s="553"/>
      <c r="M248" s="62">
        <f>SUM(M245:M247)</f>
        <v>20.636778000000003</v>
      </c>
      <c r="N248" s="63"/>
      <c r="O248" s="62">
        <f>SUM(O224:O238)</f>
        <v>0</v>
      </c>
      <c r="P248" s="63"/>
      <c r="Q248" s="337"/>
      <c r="R248" s="64"/>
      <c r="S248" s="64"/>
      <c r="X248" s="264"/>
      <c r="Z248" s="264"/>
      <c r="AA248" s="259"/>
      <c r="AB248" s="264"/>
      <c r="AC248" s="259"/>
      <c r="AD248" s="264"/>
      <c r="AE248" s="259"/>
      <c r="AF248" s="264"/>
      <c r="AG248" s="259"/>
      <c r="AH248" s="264"/>
      <c r="AI248" s="259"/>
    </row>
    <row r="249" spans="1:35" ht="24" x14ac:dyDescent="0.15">
      <c r="A249" s="65"/>
      <c r="B249" s="565" t="s">
        <v>49</v>
      </c>
      <c r="C249" s="561"/>
      <c r="D249" s="561"/>
      <c r="E249" s="566"/>
      <c r="F249" s="565" t="s">
        <v>26</v>
      </c>
      <c r="G249" s="566"/>
      <c r="H249" s="66" t="s">
        <v>1007</v>
      </c>
      <c r="I249" s="66" t="s">
        <v>1008</v>
      </c>
      <c r="J249" s="66" t="s">
        <v>50</v>
      </c>
      <c r="K249" s="66" t="s">
        <v>51</v>
      </c>
      <c r="L249" s="67" t="s">
        <v>30</v>
      </c>
      <c r="M249" s="66" t="s">
        <v>52</v>
      </c>
      <c r="N249" s="68" t="s">
        <v>53</v>
      </c>
      <c r="O249" s="68" t="s">
        <v>34</v>
      </c>
      <c r="P249" s="69" t="s">
        <v>35</v>
      </c>
      <c r="Q249" s="42"/>
      <c r="R249" s="67"/>
      <c r="S249" s="67"/>
      <c r="V249" s="270" t="s">
        <v>352</v>
      </c>
      <c r="W249" s="270" t="s">
        <v>353</v>
      </c>
      <c r="X249" s="271" t="s">
        <v>352</v>
      </c>
      <c r="Y249" s="272" t="s">
        <v>353</v>
      </c>
      <c r="Z249" s="271" t="s">
        <v>352</v>
      </c>
      <c r="AA249" s="272" t="s">
        <v>353</v>
      </c>
      <c r="AB249" s="271" t="s">
        <v>352</v>
      </c>
      <c r="AC249" s="272" t="s">
        <v>353</v>
      </c>
      <c r="AD249" s="271" t="s">
        <v>352</v>
      </c>
      <c r="AE249" s="272" t="s">
        <v>353</v>
      </c>
      <c r="AF249" s="271" t="s">
        <v>352</v>
      </c>
      <c r="AG249" s="272" t="s">
        <v>353</v>
      </c>
      <c r="AH249" s="271" t="s">
        <v>352</v>
      </c>
      <c r="AI249" s="272" t="s">
        <v>353</v>
      </c>
    </row>
    <row r="250" spans="1:35" ht="16.5" customHeight="1" x14ac:dyDescent="0.15">
      <c r="A250" s="57">
        <v>1</v>
      </c>
      <c r="B250" s="545" t="s">
        <v>133</v>
      </c>
      <c r="C250" s="546"/>
      <c r="D250" s="546"/>
      <c r="E250" s="547"/>
      <c r="F250" s="545" t="s">
        <v>55</v>
      </c>
      <c r="G250" s="547"/>
      <c r="H250" s="45" t="s">
        <v>1027</v>
      </c>
      <c r="I250" s="45" t="s">
        <v>1010</v>
      </c>
      <c r="J250" s="46">
        <f>IF(G209=65,M216-V250,IF(G209=55,M216-X250,IF(G209=551,M216-Z250,IF(G209=60,M216-AB250,IF(G209=601,M216-AD250,IF(G209=70,M216-AF250,IF(G209=75,AH250-X250)))))))</f>
        <v>475</v>
      </c>
      <c r="K250" s="70">
        <f>IF(G209=65,M213-W250,IF(G209=55,M213-Y250,IF(G209=551,M213-AA250,IF(G209=60,M213-AC250,IF(G209=601,M213-AE250,IF(G209=70,M213-AG250,IF(G209=75,M213-AI250)))))))</f>
        <v>1160</v>
      </c>
      <c r="L250" s="70">
        <v>2</v>
      </c>
      <c r="M250" s="46">
        <f>J250*K250*L250/1000000</f>
        <v>1.1020000000000001</v>
      </c>
      <c r="N250" s="46"/>
      <c r="O250" s="46">
        <f>N250*M250</f>
        <v>0</v>
      </c>
      <c r="P250" s="71"/>
      <c r="Q250" s="240"/>
      <c r="R250" s="72"/>
      <c r="S250" s="72"/>
      <c r="T250" s="456" t="s">
        <v>1595</v>
      </c>
      <c r="U250" s="374" t="s">
        <v>1594</v>
      </c>
      <c r="V250" s="259">
        <f>70+55</f>
        <v>125</v>
      </c>
      <c r="W250" s="259">
        <f>70*2</f>
        <v>140</v>
      </c>
      <c r="X250" s="264">
        <f>72+57</f>
        <v>129</v>
      </c>
      <c r="Y250" s="259">
        <f>72*2</f>
        <v>144</v>
      </c>
      <c r="Z250" s="264">
        <f>72+57</f>
        <v>129</v>
      </c>
      <c r="AA250" s="259">
        <f>72*2</f>
        <v>144</v>
      </c>
      <c r="AB250" s="264">
        <f>72+57</f>
        <v>129</v>
      </c>
      <c r="AC250" s="259">
        <f>72*2</f>
        <v>144</v>
      </c>
      <c r="AD250" s="264">
        <f>72+57</f>
        <v>129</v>
      </c>
      <c r="AE250" s="259">
        <f>72*2</f>
        <v>144</v>
      </c>
      <c r="AF250" s="264">
        <f>72+57</f>
        <v>129</v>
      </c>
      <c r="AG250" s="259">
        <f>72*2</f>
        <v>144</v>
      </c>
      <c r="AH250" s="264">
        <f>72+57</f>
        <v>129</v>
      </c>
      <c r="AI250" s="259">
        <f>72*2</f>
        <v>144</v>
      </c>
    </row>
    <row r="251" spans="1:35" x14ac:dyDescent="0.15">
      <c r="A251" s="57">
        <v>2</v>
      </c>
      <c r="B251" s="545" t="s">
        <v>886</v>
      </c>
      <c r="C251" s="546"/>
      <c r="D251" s="546"/>
      <c r="E251" s="547"/>
      <c r="F251" s="545" t="s">
        <v>135</v>
      </c>
      <c r="G251" s="547"/>
      <c r="H251" s="45" t="s">
        <v>1028</v>
      </c>
      <c r="I251" s="45" t="s">
        <v>1039</v>
      </c>
      <c r="J251" s="46">
        <f>IF(G209=65,M217-V251,IF(G209=55,M217-X251,IF(G209=551,M217-Z251,IF(G209=60,M217-AB251,IF(G209=601,M217-AD251,IF(G209=70,M217-AF251,IF(G209=75,M217-AH251)))))))</f>
        <v>749</v>
      </c>
      <c r="K251" s="70">
        <f>IF(G209=65,M213-W251,IF(G209=55,M213-Y251,IF(G209=551,M213-AA251,IF(G209=60,M213-AC251,IF(G209=601,M213-AE251,IF(G209=70,M213-AG251,IF(G209=75,M213-AI251)))))))</f>
        <v>1234</v>
      </c>
      <c r="L251" s="70">
        <v>1</v>
      </c>
      <c r="M251" s="46">
        <f>J251*K251*L251/1000000</f>
        <v>0.92426600000000003</v>
      </c>
      <c r="N251" s="46"/>
      <c r="O251" s="46">
        <f>N251*M251</f>
        <v>0</v>
      </c>
      <c r="P251" s="71"/>
      <c r="Q251" s="240"/>
      <c r="R251" s="72"/>
      <c r="S251" s="72"/>
      <c r="T251" s="456" t="s">
        <v>1596</v>
      </c>
      <c r="U251" s="374" t="s">
        <v>1597</v>
      </c>
      <c r="V251" s="259">
        <f>18+33</f>
        <v>51</v>
      </c>
      <c r="W251" s="259">
        <f>33*2</f>
        <v>66</v>
      </c>
      <c r="X251" s="264">
        <f>20+35</f>
        <v>55</v>
      </c>
      <c r="Y251" s="259">
        <f>35*2</f>
        <v>70</v>
      </c>
      <c r="Z251" s="264">
        <f>20+35</f>
        <v>55</v>
      </c>
      <c r="AA251" s="259">
        <f>35*2</f>
        <v>70</v>
      </c>
      <c r="AB251" s="264">
        <f>20+35</f>
        <v>55</v>
      </c>
      <c r="AC251" s="259">
        <f>35*2</f>
        <v>70</v>
      </c>
      <c r="AD251" s="264">
        <f>20+35</f>
        <v>55</v>
      </c>
      <c r="AE251" s="259">
        <f>35*2</f>
        <v>70</v>
      </c>
      <c r="AF251" s="264">
        <f>20+35</f>
        <v>55</v>
      </c>
      <c r="AG251" s="259">
        <f>35*2</f>
        <v>70</v>
      </c>
      <c r="AH251" s="264">
        <f>20+35</f>
        <v>55</v>
      </c>
      <c r="AI251" s="259">
        <f>35*2</f>
        <v>70</v>
      </c>
    </row>
    <row r="252" spans="1:35" x14ac:dyDescent="0.15">
      <c r="A252" s="57"/>
      <c r="B252" s="545"/>
      <c r="C252" s="546"/>
      <c r="D252" s="546"/>
      <c r="E252" s="547"/>
      <c r="F252" s="545"/>
      <c r="G252" s="547"/>
      <c r="H252" s="45"/>
      <c r="I252" s="45"/>
      <c r="J252" s="46"/>
      <c r="K252" s="57"/>
      <c r="L252" s="70"/>
      <c r="M252" s="46"/>
      <c r="N252" s="46"/>
      <c r="O252" s="46"/>
      <c r="P252" s="48"/>
      <c r="Q252" s="211"/>
      <c r="R252" s="73"/>
      <c r="S252" s="73"/>
      <c r="X252" s="264"/>
    </row>
    <row r="253" spans="1:35" x14ac:dyDescent="0.15">
      <c r="A253" s="396"/>
      <c r="B253" s="434"/>
      <c r="C253" s="435"/>
      <c r="D253" s="435"/>
      <c r="E253" s="436"/>
      <c r="F253" s="434"/>
      <c r="G253" s="436"/>
      <c r="H253" s="207"/>
      <c r="I253" s="207"/>
      <c r="J253" s="208"/>
      <c r="K253" s="396"/>
      <c r="L253" s="239"/>
      <c r="M253" s="208"/>
      <c r="N253" s="208"/>
      <c r="O253" s="208"/>
      <c r="P253" s="437"/>
      <c r="Q253" s="336"/>
      <c r="R253" s="117"/>
      <c r="S253" s="117"/>
      <c r="X253" s="265"/>
    </row>
    <row r="254" spans="1:35" x14ac:dyDescent="0.15">
      <c r="A254" s="396"/>
      <c r="B254" s="434"/>
      <c r="C254" s="435"/>
      <c r="D254" s="435"/>
      <c r="E254" s="436"/>
      <c r="F254" s="434"/>
      <c r="G254" s="436"/>
      <c r="H254" s="207"/>
      <c r="I254" s="207"/>
      <c r="J254" s="208"/>
      <c r="K254" s="396"/>
      <c r="L254" s="239"/>
      <c r="M254" s="208"/>
      <c r="N254" s="208"/>
      <c r="O254" s="208"/>
      <c r="P254" s="437"/>
      <c r="Q254" s="336"/>
      <c r="R254" s="117"/>
      <c r="S254" s="117"/>
      <c r="X254" s="265"/>
    </row>
    <row r="255" spans="1:35" x14ac:dyDescent="0.15">
      <c r="A255" s="396"/>
      <c r="B255" s="434"/>
      <c r="C255" s="435"/>
      <c r="D255" s="435"/>
      <c r="E255" s="436"/>
      <c r="F255" s="434"/>
      <c r="G255" s="436"/>
      <c r="H255" s="207"/>
      <c r="I255" s="207"/>
      <c r="J255" s="208"/>
      <c r="K255" s="396"/>
      <c r="L255" s="239"/>
      <c r="M255" s="208"/>
      <c r="N255" s="208"/>
      <c r="O255" s="208"/>
      <c r="P255" s="437"/>
      <c r="Q255" s="336"/>
      <c r="R255" s="117"/>
      <c r="S255" s="117"/>
      <c r="X255" s="265"/>
    </row>
    <row r="256" spans="1:35" x14ac:dyDescent="0.15">
      <c r="A256" s="74"/>
      <c r="B256" s="552"/>
      <c r="C256" s="557"/>
      <c r="D256" s="557"/>
      <c r="E256" s="553"/>
      <c r="F256" s="554" t="s">
        <v>56</v>
      </c>
      <c r="G256" s="554"/>
      <c r="H256" s="554"/>
      <c r="I256" s="554"/>
      <c r="J256" s="570"/>
      <c r="K256" s="570"/>
      <c r="L256" s="554"/>
      <c r="M256" s="62">
        <f>SUM(M250:M255)</f>
        <v>2.0262660000000001</v>
      </c>
      <c r="N256" s="75"/>
      <c r="O256" s="62">
        <f>SUM(O250:O255)</f>
        <v>0</v>
      </c>
      <c r="P256" s="63" t="s">
        <v>57</v>
      </c>
      <c r="Q256" s="337"/>
      <c r="R256" s="64"/>
      <c r="S256" s="64"/>
    </row>
    <row r="257" spans="1:23" ht="24" x14ac:dyDescent="0.15">
      <c r="A257" s="65"/>
      <c r="B257" s="565" t="s">
        <v>58</v>
      </c>
      <c r="C257" s="561"/>
      <c r="D257" s="561"/>
      <c r="E257" s="566"/>
      <c r="F257" s="565" t="s">
        <v>26</v>
      </c>
      <c r="G257" s="566"/>
      <c r="H257" s="66" t="s">
        <v>59</v>
      </c>
      <c r="I257" s="66"/>
      <c r="J257" s="66" t="s">
        <v>60</v>
      </c>
      <c r="K257" s="66" t="s">
        <v>6</v>
      </c>
      <c r="L257" s="67" t="s">
        <v>61</v>
      </c>
      <c r="M257" s="66" t="s">
        <v>30</v>
      </c>
      <c r="N257" s="68" t="s">
        <v>62</v>
      </c>
      <c r="O257" s="68" t="s">
        <v>34</v>
      </c>
      <c r="P257" s="69" t="s">
        <v>57</v>
      </c>
      <c r="Q257" s="42"/>
      <c r="R257" s="67"/>
      <c r="S257" s="67"/>
    </row>
    <row r="258" spans="1:23" ht="25.5" customHeight="1" x14ac:dyDescent="0.15">
      <c r="A258" s="57">
        <v>1</v>
      </c>
      <c r="B258" s="545"/>
      <c r="C258" s="546"/>
      <c r="D258" s="546"/>
      <c r="E258" s="547"/>
      <c r="F258" s="545" t="s">
        <v>63</v>
      </c>
      <c r="G258" s="547"/>
      <c r="H258" s="45"/>
      <c r="I258" s="45"/>
      <c r="J258" s="45"/>
      <c r="K258" s="46" t="str">
        <f>VLOOKUP($F:$F,材料单价表!$B$3:$G$42,4,0)</f>
        <v>套</v>
      </c>
      <c r="L258" s="72"/>
      <c r="M258" s="46">
        <v>2</v>
      </c>
      <c r="N258" s="46">
        <f>VLOOKUP($F:$F,材料单价表!$B$3:$G$42,5,0)</f>
        <v>0</v>
      </c>
      <c r="O258" s="46">
        <f t="shared" ref="O258" si="33">N258*M258</f>
        <v>0</v>
      </c>
      <c r="P258" s="48"/>
      <c r="Q258" s="211"/>
      <c r="R258" s="73"/>
      <c r="S258" s="73"/>
    </row>
    <row r="259" spans="1:23" x14ac:dyDescent="0.15">
      <c r="A259" s="74"/>
      <c r="B259" s="552"/>
      <c r="C259" s="557"/>
      <c r="D259" s="557"/>
      <c r="E259" s="553"/>
      <c r="F259" s="554" t="s">
        <v>64</v>
      </c>
      <c r="G259" s="554"/>
      <c r="H259" s="554"/>
      <c r="I259" s="554"/>
      <c r="J259" s="570"/>
      <c r="K259" s="570"/>
      <c r="L259" s="554"/>
      <c r="M259" s="62">
        <f>M258</f>
        <v>2</v>
      </c>
      <c r="N259" s="75"/>
      <c r="O259" s="62">
        <f>SUM(O258:O258)</f>
        <v>0</v>
      </c>
      <c r="P259" s="63" t="s">
        <v>57</v>
      </c>
      <c r="Q259" s="337"/>
      <c r="R259" s="64"/>
      <c r="S259" s="64"/>
    </row>
    <row r="260" spans="1:23" ht="24" x14ac:dyDescent="0.15">
      <c r="A260" s="65"/>
      <c r="B260" s="565" t="s">
        <v>65</v>
      </c>
      <c r="C260" s="561"/>
      <c r="D260" s="561"/>
      <c r="E260" s="566"/>
      <c r="F260" s="565" t="s">
        <v>26</v>
      </c>
      <c r="G260" s="566"/>
      <c r="H260" s="66" t="s">
        <v>59</v>
      </c>
      <c r="I260" s="66"/>
      <c r="J260" s="66" t="s">
        <v>60</v>
      </c>
      <c r="K260" s="66" t="s">
        <v>6</v>
      </c>
      <c r="L260" s="67" t="s">
        <v>61</v>
      </c>
      <c r="M260" s="66" t="s">
        <v>30</v>
      </c>
      <c r="N260" s="68" t="s">
        <v>62</v>
      </c>
      <c r="O260" s="68" t="s">
        <v>34</v>
      </c>
      <c r="P260" s="69" t="s">
        <v>57</v>
      </c>
      <c r="Q260" s="42"/>
      <c r="R260" s="67"/>
      <c r="S260" s="67"/>
    </row>
    <row r="261" spans="1:23" ht="13.5" customHeight="1" x14ac:dyDescent="0.15">
      <c r="A261" s="76">
        <v>1</v>
      </c>
      <c r="B261" s="545"/>
      <c r="C261" s="546"/>
      <c r="D261" s="546"/>
      <c r="E261" s="547"/>
      <c r="F261" s="558" t="s">
        <v>66</v>
      </c>
      <c r="G261" s="559"/>
      <c r="H261" s="78"/>
      <c r="I261" s="78"/>
      <c r="J261" s="77"/>
      <c r="K261" s="46" t="str">
        <f>VLOOKUP($F:$F,材料单价表!$B$3:$G$42,4,0)</f>
        <v>m</v>
      </c>
      <c r="L261" s="46"/>
      <c r="M261" s="80">
        <f>M222</f>
        <v>7</v>
      </c>
      <c r="N261" s="46">
        <f>VLOOKUP($F:$F,材料单价表!$B$3:$G$42,5,0)</f>
        <v>0</v>
      </c>
      <c r="O261" s="46">
        <f>N261*M261</f>
        <v>0</v>
      </c>
      <c r="P261" s="48"/>
      <c r="Q261" s="59"/>
      <c r="R261" s="81"/>
      <c r="S261" s="79"/>
    </row>
    <row r="262" spans="1:23" ht="15.75" customHeight="1" x14ac:dyDescent="0.15">
      <c r="A262" s="76">
        <v>2</v>
      </c>
      <c r="B262" s="545"/>
      <c r="C262" s="546"/>
      <c r="D262" s="546"/>
      <c r="E262" s="547"/>
      <c r="F262" s="558" t="s">
        <v>68</v>
      </c>
      <c r="G262" s="559"/>
      <c r="H262" s="78" t="s">
        <v>67</v>
      </c>
      <c r="I262" s="78"/>
      <c r="J262" s="77"/>
      <c r="K262" s="46" t="str">
        <f>VLOOKUP($F:$F,材料单价表!$B$3:$G$42,4,0)</f>
        <v>m</v>
      </c>
      <c r="L262" s="46"/>
      <c r="M262" s="80">
        <f>(J230*K230+J233*K233+J231*K231+J232*K232)/1000*2</f>
        <v>21.558400000000002</v>
      </c>
      <c r="N262" s="46">
        <f>VLOOKUP($F:$F,材料单价表!$B$3:$G$42,5,0)</f>
        <v>0</v>
      </c>
      <c r="O262" s="46">
        <f t="shared" ref="O262:O268" si="34">N262*M262</f>
        <v>0</v>
      </c>
      <c r="P262" s="48"/>
      <c r="Q262" s="59"/>
      <c r="R262" s="81"/>
      <c r="S262" s="79"/>
      <c r="V262" s="104"/>
      <c r="W262" s="104"/>
    </row>
    <row r="263" spans="1:23" ht="13.5" customHeight="1" x14ac:dyDescent="0.15">
      <c r="A263" s="76">
        <v>3</v>
      </c>
      <c r="B263" s="545"/>
      <c r="C263" s="546"/>
      <c r="D263" s="546"/>
      <c r="E263" s="547"/>
      <c r="F263" s="558" t="s">
        <v>68</v>
      </c>
      <c r="G263" s="559"/>
      <c r="H263" s="78" t="s">
        <v>69</v>
      </c>
      <c r="I263" s="78"/>
      <c r="J263" s="77"/>
      <c r="K263" s="46" t="str">
        <f>VLOOKUP($F:$F,材料单价表!$B$3:$G$42,4,0)</f>
        <v>m</v>
      </c>
      <c r="L263" s="46"/>
      <c r="M263" s="80">
        <f>M222</f>
        <v>7</v>
      </c>
      <c r="N263" s="46">
        <f>VLOOKUP($F:$F,材料单价表!$B$3:$G$42,5,0)</f>
        <v>0</v>
      </c>
      <c r="O263" s="46">
        <f t="shared" si="34"/>
        <v>0</v>
      </c>
      <c r="P263" s="48"/>
      <c r="Q263" s="59"/>
      <c r="R263" s="81"/>
      <c r="S263" s="79"/>
      <c r="V263" s="104"/>
      <c r="W263" s="104"/>
    </row>
    <row r="264" spans="1:23" ht="13.5" customHeight="1" x14ac:dyDescent="0.15">
      <c r="A264" s="76">
        <v>4</v>
      </c>
      <c r="B264" s="545"/>
      <c r="C264" s="546"/>
      <c r="D264" s="546"/>
      <c r="E264" s="547"/>
      <c r="F264" s="558" t="s">
        <v>68</v>
      </c>
      <c r="G264" s="559"/>
      <c r="H264" s="78" t="s">
        <v>70</v>
      </c>
      <c r="I264" s="78"/>
      <c r="J264" s="77"/>
      <c r="K264" s="46" t="str">
        <f>VLOOKUP($F:$F,材料单价表!$B$3:$G$42,4,0)</f>
        <v>m</v>
      </c>
      <c r="L264" s="46"/>
      <c r="M264" s="80">
        <f>M222</f>
        <v>7</v>
      </c>
      <c r="N264" s="46">
        <f>VLOOKUP($F:$F,材料单价表!$B$3:$G$42,5,0)</f>
        <v>0</v>
      </c>
      <c r="O264" s="46">
        <f t="shared" si="34"/>
        <v>0</v>
      </c>
      <c r="P264" s="48"/>
      <c r="Q264" s="59"/>
      <c r="R264" s="81"/>
      <c r="S264" s="79"/>
      <c r="V264" s="104"/>
      <c r="W264" s="104"/>
    </row>
    <row r="265" spans="1:23" ht="13.5" customHeight="1" x14ac:dyDescent="0.15">
      <c r="A265" s="76">
        <v>5</v>
      </c>
      <c r="B265" s="545"/>
      <c r="C265" s="546"/>
      <c r="D265" s="546"/>
      <c r="E265" s="547"/>
      <c r="F265" s="558" t="s">
        <v>71</v>
      </c>
      <c r="G265" s="559"/>
      <c r="H265" s="78"/>
      <c r="I265" s="78"/>
      <c r="J265" s="77"/>
      <c r="K265" s="46" t="str">
        <f>VLOOKUP($F:$F,材料单价表!$B$3:$G$42,4,0)</f>
        <v>个</v>
      </c>
      <c r="L265" s="79"/>
      <c r="M265" s="80">
        <f>K234+K235+K237</f>
        <v>16</v>
      </c>
      <c r="N265" s="46">
        <f>VLOOKUP($F:$F,材料单价表!$B$3:$G$42,5,0)</f>
        <v>0</v>
      </c>
      <c r="O265" s="46">
        <f t="shared" si="34"/>
        <v>0</v>
      </c>
      <c r="P265" s="48"/>
      <c r="Q265" s="59"/>
      <c r="R265" s="81"/>
      <c r="S265" s="79"/>
    </row>
    <row r="266" spans="1:23" ht="13.5" customHeight="1" x14ac:dyDescent="0.15">
      <c r="A266" s="76">
        <v>6</v>
      </c>
      <c r="B266" s="545"/>
      <c r="C266" s="546"/>
      <c r="D266" s="546"/>
      <c r="E266" s="547"/>
      <c r="F266" s="558" t="s">
        <v>121</v>
      </c>
      <c r="G266" s="559"/>
      <c r="H266" s="78"/>
      <c r="I266" s="78"/>
      <c r="J266" s="77"/>
      <c r="K266" s="46" t="str">
        <f>VLOOKUP($F:$F,材料单价表!$B$3:$G$42,4,0)</f>
        <v>m</v>
      </c>
      <c r="L266" s="79"/>
      <c r="M266" s="80">
        <f>(J226*K226+J227*K227)/1000*2</f>
        <v>14.616</v>
      </c>
      <c r="N266" s="46">
        <f>VLOOKUP($F:$F,材料单价表!$B$3:$G$42,5,0)</f>
        <v>0</v>
      </c>
      <c r="O266" s="46">
        <f t="shared" si="34"/>
        <v>0</v>
      </c>
      <c r="P266" s="48"/>
      <c r="Q266" s="59"/>
      <c r="R266" s="81"/>
      <c r="S266" s="46"/>
    </row>
    <row r="267" spans="1:23" ht="13.5" customHeight="1" x14ac:dyDescent="0.15">
      <c r="A267" s="76">
        <v>7</v>
      </c>
      <c r="B267" s="545"/>
      <c r="C267" s="546"/>
      <c r="D267" s="546"/>
      <c r="E267" s="547"/>
      <c r="F267" s="558" t="s">
        <v>121</v>
      </c>
      <c r="G267" s="559"/>
      <c r="H267" s="78"/>
      <c r="I267" s="78"/>
      <c r="J267" s="77"/>
      <c r="K267" s="46" t="str">
        <f>VLOOKUP($F:$F,材料单价表!$B$3:$G$42,4,0)</f>
        <v>m</v>
      </c>
      <c r="L267" s="79"/>
      <c r="M267" s="80">
        <f>(J227*K227+J226*K226)/1000*1</f>
        <v>7.3079999999999998</v>
      </c>
      <c r="N267" s="46">
        <f>VLOOKUP($F:$F,材料单价表!$B$3:$G$42,5,0)</f>
        <v>0</v>
      </c>
      <c r="O267" s="46">
        <f t="shared" si="34"/>
        <v>0</v>
      </c>
      <c r="P267" s="48"/>
      <c r="Q267" s="59"/>
      <c r="R267" s="81"/>
      <c r="S267" s="46"/>
    </row>
    <row r="268" spans="1:23" x14ac:dyDescent="0.15">
      <c r="A268" s="76">
        <v>8</v>
      </c>
      <c r="B268" s="545"/>
      <c r="C268" s="546"/>
      <c r="D268" s="546"/>
      <c r="E268" s="547"/>
      <c r="F268" s="558" t="s">
        <v>72</v>
      </c>
      <c r="G268" s="559"/>
      <c r="H268" s="45"/>
      <c r="I268" s="45"/>
      <c r="J268" s="45"/>
      <c r="K268" s="46" t="str">
        <f>VLOOKUP($F:$F,材料单价表!$B$3:$G$42,4,0)</f>
        <v>m2</v>
      </c>
      <c r="L268" s="72"/>
      <c r="M268" s="46">
        <f>M273</f>
        <v>2.94</v>
      </c>
      <c r="N268" s="46">
        <f>VLOOKUP($F:$F,材料单价表!$B$3:$G$42,5,0)</f>
        <v>0</v>
      </c>
      <c r="O268" s="46">
        <f t="shared" si="34"/>
        <v>0</v>
      </c>
      <c r="P268" s="48"/>
      <c r="Q268" s="211"/>
      <c r="R268" s="73"/>
      <c r="S268" s="73"/>
    </row>
    <row r="269" spans="1:23" x14ac:dyDescent="0.15">
      <c r="A269" s="76">
        <v>9</v>
      </c>
      <c r="B269" s="545"/>
      <c r="C269" s="546"/>
      <c r="D269" s="546"/>
      <c r="E269" s="547"/>
      <c r="F269" s="558"/>
      <c r="G269" s="559"/>
      <c r="H269" s="45"/>
      <c r="I269" s="45"/>
      <c r="J269" s="45"/>
      <c r="K269" s="45"/>
      <c r="L269" s="72"/>
      <c r="M269" s="46"/>
      <c r="N269" s="46"/>
      <c r="O269" s="82"/>
      <c r="P269" s="48"/>
      <c r="Q269" s="211"/>
      <c r="R269" s="73"/>
      <c r="S269" s="73"/>
    </row>
    <row r="270" spans="1:23" x14ac:dyDescent="0.15">
      <c r="A270" s="74"/>
      <c r="B270" s="552"/>
      <c r="C270" s="557"/>
      <c r="D270" s="557"/>
      <c r="E270" s="553"/>
      <c r="F270" s="552" t="s">
        <v>73</v>
      </c>
      <c r="G270" s="557"/>
      <c r="H270" s="557"/>
      <c r="I270" s="557"/>
      <c r="J270" s="557"/>
      <c r="K270" s="557"/>
      <c r="L270" s="557"/>
      <c r="M270" s="61"/>
      <c r="N270" s="61"/>
      <c r="O270" s="62">
        <f>SUM(O261:O269)</f>
        <v>0</v>
      </c>
      <c r="P270" s="63" t="s">
        <v>57</v>
      </c>
      <c r="Q270" s="337"/>
      <c r="R270" s="64"/>
      <c r="S270" s="64"/>
    </row>
    <row r="271" spans="1:23" x14ac:dyDescent="0.15">
      <c r="A271" s="74"/>
      <c r="B271" s="552"/>
      <c r="C271" s="557"/>
      <c r="D271" s="557"/>
      <c r="E271" s="553"/>
      <c r="F271" s="552" t="s">
        <v>74</v>
      </c>
      <c r="G271" s="557"/>
      <c r="H271" s="557"/>
      <c r="I271" s="557"/>
      <c r="J271" s="557"/>
      <c r="K271" s="557"/>
      <c r="L271" s="557"/>
      <c r="M271" s="557"/>
      <c r="N271" s="553"/>
      <c r="O271" s="62">
        <f>O270+O259+O256+O248</f>
        <v>0</v>
      </c>
      <c r="P271" s="63" t="s">
        <v>57</v>
      </c>
      <c r="Q271" s="337"/>
      <c r="R271" s="64"/>
      <c r="S271" s="64"/>
    </row>
    <row r="272" spans="1:23" ht="24" x14ac:dyDescent="0.15">
      <c r="A272" s="65"/>
      <c r="B272" s="565" t="s">
        <v>75</v>
      </c>
      <c r="C272" s="561"/>
      <c r="D272" s="561"/>
      <c r="E272" s="566"/>
      <c r="F272" s="565" t="s">
        <v>26</v>
      </c>
      <c r="G272" s="566"/>
      <c r="H272" s="66"/>
      <c r="I272" s="66"/>
      <c r="J272" s="66"/>
      <c r="K272" s="66" t="s">
        <v>6</v>
      </c>
      <c r="L272" s="83" t="s">
        <v>61</v>
      </c>
      <c r="M272" s="66" t="s">
        <v>76</v>
      </c>
      <c r="N272" s="68" t="s">
        <v>62</v>
      </c>
      <c r="O272" s="68" t="s">
        <v>34</v>
      </c>
      <c r="P272" s="84" t="s">
        <v>57</v>
      </c>
      <c r="Q272" s="84"/>
      <c r="R272" s="67"/>
      <c r="S272" s="67"/>
    </row>
    <row r="273" spans="1:19" x14ac:dyDescent="0.15">
      <c r="A273" s="57">
        <v>1</v>
      </c>
      <c r="B273" s="545"/>
      <c r="C273" s="546"/>
      <c r="D273" s="546"/>
      <c r="E273" s="547"/>
      <c r="F273" s="545" t="s">
        <v>77</v>
      </c>
      <c r="G273" s="547"/>
      <c r="H273" s="45"/>
      <c r="I273" s="45"/>
      <c r="J273" s="46"/>
      <c r="K273" s="45" t="s">
        <v>78</v>
      </c>
      <c r="L273" s="72"/>
      <c r="M273" s="85">
        <f>O209</f>
        <v>2.94</v>
      </c>
      <c r="N273" s="46">
        <f>VLOOKUP($F:$F,材料单价表!$B$3:$G$42,5,0)</f>
        <v>0</v>
      </c>
      <c r="O273" s="46">
        <f>N273*M273</f>
        <v>0</v>
      </c>
      <c r="P273" s="48"/>
      <c r="Q273" s="211"/>
      <c r="R273" s="72"/>
      <c r="S273" s="72"/>
    </row>
    <row r="274" spans="1:19" x14ac:dyDescent="0.15">
      <c r="A274" s="57">
        <v>2</v>
      </c>
      <c r="B274" s="545"/>
      <c r="C274" s="546"/>
      <c r="D274" s="546"/>
      <c r="E274" s="547"/>
      <c r="F274" s="545" t="s">
        <v>79</v>
      </c>
      <c r="G274" s="547"/>
      <c r="H274" s="45"/>
      <c r="I274" s="45"/>
      <c r="J274" s="46"/>
      <c r="K274" s="45" t="s">
        <v>78</v>
      </c>
      <c r="L274" s="72"/>
      <c r="M274" s="85">
        <f>M273</f>
        <v>2.94</v>
      </c>
      <c r="N274" s="46">
        <f>VLOOKUP($F:$F,材料单价表!$B$3:$G$42,5,0)</f>
        <v>0</v>
      </c>
      <c r="O274" s="46">
        <f>N274*M274</f>
        <v>0</v>
      </c>
      <c r="P274" s="48"/>
      <c r="Q274" s="211"/>
      <c r="R274" s="72"/>
      <c r="S274" s="72"/>
    </row>
    <row r="275" spans="1:19" ht="24.75" customHeight="1" x14ac:dyDescent="0.15">
      <c r="A275" s="74"/>
      <c r="B275" s="552"/>
      <c r="C275" s="557"/>
      <c r="D275" s="557"/>
      <c r="E275" s="553"/>
      <c r="F275" s="552" t="s">
        <v>80</v>
      </c>
      <c r="G275" s="553"/>
      <c r="H275" s="86"/>
      <c r="I275" s="325"/>
      <c r="J275" s="554" t="s">
        <v>81</v>
      </c>
      <c r="K275" s="554"/>
      <c r="L275" s="554"/>
      <c r="M275" s="554"/>
      <c r="N275" s="87"/>
      <c r="O275" s="62">
        <f>O271+O273+O274</f>
        <v>0</v>
      </c>
      <c r="P275" s="63" t="s">
        <v>57</v>
      </c>
      <c r="Q275" s="337"/>
      <c r="R275" s="64"/>
      <c r="S275" s="64"/>
    </row>
    <row r="276" spans="1:19" ht="24" customHeight="1" x14ac:dyDescent="0.15">
      <c r="A276" s="74"/>
      <c r="B276" s="552"/>
      <c r="C276" s="557"/>
      <c r="D276" s="557"/>
      <c r="E276" s="553"/>
      <c r="F276" s="555" t="s">
        <v>82</v>
      </c>
      <c r="G276" s="556"/>
      <c r="H276" s="105"/>
      <c r="I276" s="324"/>
      <c r="J276" s="552" t="s">
        <v>81</v>
      </c>
      <c r="K276" s="557"/>
      <c r="L276" s="557"/>
      <c r="M276" s="557"/>
      <c r="N276" s="62"/>
      <c r="O276" s="62">
        <f>O275/O209</f>
        <v>0</v>
      </c>
      <c r="P276" s="89" t="s">
        <v>57</v>
      </c>
      <c r="Q276" s="89"/>
      <c r="R276" s="90"/>
      <c r="S276" s="90"/>
    </row>
    <row r="277" spans="1:19" ht="18.75" customHeight="1" x14ac:dyDescent="0.15">
      <c r="A277" s="549" t="s">
        <v>0</v>
      </c>
      <c r="B277" s="549"/>
      <c r="C277" s="549"/>
      <c r="D277" s="549"/>
      <c r="E277" s="549"/>
      <c r="F277" s="549"/>
      <c r="G277" s="549"/>
      <c r="H277" s="549"/>
      <c r="I277" s="549"/>
      <c r="J277" s="549"/>
      <c r="K277" s="549"/>
      <c r="L277" s="550"/>
      <c r="M277" s="549"/>
      <c r="N277" s="549"/>
      <c r="O277" s="549"/>
      <c r="P277" s="549"/>
      <c r="Q277" s="549"/>
      <c r="R277" s="551"/>
      <c r="S277" s="551"/>
    </row>
    <row r="278" spans="1:19" x14ac:dyDescent="0.15">
      <c r="A278" s="2" t="s">
        <v>1</v>
      </c>
      <c r="B278" s="339" t="str">
        <f>$B$2</f>
        <v>NC</v>
      </c>
      <c r="C278" s="3">
        <v>5</v>
      </c>
      <c r="D278" s="340"/>
      <c r="E278" s="3"/>
      <c r="F278" s="4" t="s">
        <v>2</v>
      </c>
      <c r="G278" s="5">
        <v>65</v>
      </c>
      <c r="H278" s="106" t="s">
        <v>126</v>
      </c>
      <c r="I278" s="106"/>
      <c r="J278" s="4" t="s">
        <v>3</v>
      </c>
      <c r="K278" s="6">
        <f>L281</f>
        <v>600</v>
      </c>
      <c r="L278" s="7" t="s">
        <v>83</v>
      </c>
      <c r="M278" s="6">
        <f>L280</f>
        <v>1400</v>
      </c>
      <c r="N278" s="8" t="s">
        <v>4</v>
      </c>
      <c r="O278" s="9">
        <f>M290</f>
        <v>0.84</v>
      </c>
      <c r="P278" s="10"/>
      <c r="Q278" s="10"/>
      <c r="R278" s="10" t="s">
        <v>5</v>
      </c>
      <c r="S278" s="11"/>
    </row>
    <row r="279" spans="1:19" ht="14.25" x14ac:dyDescent="0.2">
      <c r="A279" s="12"/>
      <c r="B279" s="13"/>
      <c r="C279" s="13"/>
      <c r="D279" s="13"/>
      <c r="E279" s="13"/>
      <c r="F279" s="14"/>
      <c r="G279" s="14"/>
      <c r="H279" s="15"/>
      <c r="I279" s="15"/>
      <c r="J279" s="16"/>
      <c r="K279" s="16" t="s">
        <v>6</v>
      </c>
      <c r="L279" s="17" t="s">
        <v>7</v>
      </c>
      <c r="M279" s="16" t="s">
        <v>8</v>
      </c>
      <c r="N279" s="18"/>
      <c r="O279" s="548" t="s">
        <v>940</v>
      </c>
      <c r="P279" s="548"/>
      <c r="Q279" s="16" t="s">
        <v>1018</v>
      </c>
      <c r="R279" s="529" t="s">
        <v>1066</v>
      </c>
      <c r="S279" s="530" t="s">
        <v>1592</v>
      </c>
    </row>
    <row r="280" spans="1:19" ht="14.25" x14ac:dyDescent="0.2">
      <c r="A280" s="402" t="s">
        <v>884</v>
      </c>
      <c r="B280" s="403" t="s">
        <v>888</v>
      </c>
      <c r="C280" s="22"/>
      <c r="D280" s="22"/>
      <c r="E280" s="22"/>
      <c r="F280" s="23"/>
      <c r="G280" s="23"/>
      <c r="H280" s="107"/>
      <c r="I280" s="107"/>
      <c r="J280" s="24" t="s">
        <v>9</v>
      </c>
      <c r="K280" s="16" t="s">
        <v>10</v>
      </c>
      <c r="L280" s="25">
        <v>1400</v>
      </c>
      <c r="M280" s="113">
        <f>L280-M289*2</f>
        <v>1300</v>
      </c>
      <c r="N280" s="18"/>
      <c r="O280" s="356" t="s">
        <v>941</v>
      </c>
      <c r="P280" s="357"/>
      <c r="Q280" s="16" t="s">
        <v>1019</v>
      </c>
      <c r="R280" s="529"/>
      <c r="S280" s="530"/>
    </row>
    <row r="281" spans="1:19" ht="14.25" x14ac:dyDescent="0.2">
      <c r="A281" s="21"/>
      <c r="B281" s="22"/>
      <c r="C281" s="22"/>
      <c r="D281" s="22"/>
      <c r="E281" s="22"/>
      <c r="F281" s="23"/>
      <c r="G281" s="23"/>
      <c r="H281" s="18"/>
      <c r="I281" s="18"/>
      <c r="J281" s="24" t="s">
        <v>11</v>
      </c>
      <c r="K281" s="16" t="s">
        <v>10</v>
      </c>
      <c r="L281" s="25">
        <v>600</v>
      </c>
      <c r="M281" s="113">
        <f>L281-M289*2</f>
        <v>500</v>
      </c>
      <c r="N281" s="18"/>
      <c r="O281" s="356" t="s">
        <v>924</v>
      </c>
      <c r="P281" s="357"/>
      <c r="Q281" s="16" t="s">
        <v>1020</v>
      </c>
      <c r="R281" s="529" t="s">
        <v>1067</v>
      </c>
      <c r="S281" s="530" t="s">
        <v>1086</v>
      </c>
    </row>
    <row r="282" spans="1:19" ht="14.25" x14ac:dyDescent="0.2">
      <c r="A282" s="21"/>
      <c r="B282" s="22"/>
      <c r="C282" s="22"/>
      <c r="D282" s="22"/>
      <c r="E282" s="22"/>
      <c r="F282" s="23"/>
      <c r="G282" s="23"/>
      <c r="H282" s="18"/>
      <c r="I282" s="18"/>
      <c r="J282" s="24" t="s">
        <v>12</v>
      </c>
      <c r="K282" s="16" t="s">
        <v>10</v>
      </c>
      <c r="L282" s="26"/>
      <c r="M282" s="113">
        <f>M280-M283</f>
        <v>900</v>
      </c>
      <c r="N282" s="18"/>
      <c r="O282" s="356" t="s">
        <v>925</v>
      </c>
      <c r="P282" s="357"/>
      <c r="Q282" s="16" t="s">
        <v>1021</v>
      </c>
      <c r="R282" s="529"/>
      <c r="S282" s="530"/>
    </row>
    <row r="283" spans="1:19" ht="14.25" x14ac:dyDescent="0.2">
      <c r="A283" s="21"/>
      <c r="B283" s="22"/>
      <c r="C283" s="22"/>
      <c r="D283" s="22"/>
      <c r="E283" s="22"/>
      <c r="F283" s="23"/>
      <c r="G283" s="23"/>
      <c r="H283" s="18"/>
      <c r="I283" s="18"/>
      <c r="J283" s="24" t="s">
        <v>13</v>
      </c>
      <c r="K283" s="16" t="s">
        <v>10</v>
      </c>
      <c r="L283" s="26"/>
      <c r="M283" s="25">
        <v>400</v>
      </c>
      <c r="N283" s="540" t="s">
        <v>137</v>
      </c>
      <c r="O283" s="356" t="s">
        <v>926</v>
      </c>
      <c r="P283" s="357"/>
      <c r="Q283" s="16" t="s">
        <v>1022</v>
      </c>
      <c r="R283" s="27"/>
      <c r="S283" s="28"/>
    </row>
    <row r="284" spans="1:19" ht="14.25" x14ac:dyDescent="0.2">
      <c r="A284" s="21"/>
      <c r="B284" s="22"/>
      <c r="C284" s="22"/>
      <c r="D284" s="22"/>
      <c r="E284" s="22"/>
      <c r="F284" s="23"/>
      <c r="G284" s="23"/>
      <c r="H284" s="18"/>
      <c r="I284" s="18"/>
      <c r="J284" s="24" t="s">
        <v>14</v>
      </c>
      <c r="K284" s="16" t="s">
        <v>10</v>
      </c>
      <c r="L284" s="26"/>
      <c r="M284" s="113"/>
      <c r="N284" s="540"/>
      <c r="O284" s="356" t="s">
        <v>927</v>
      </c>
      <c r="P284" s="357"/>
      <c r="Q284" s="16" t="s">
        <v>1023</v>
      </c>
      <c r="R284" s="27"/>
      <c r="S284" s="28"/>
    </row>
    <row r="285" spans="1:19" ht="14.25" x14ac:dyDescent="0.2">
      <c r="A285" s="21"/>
      <c r="B285" s="22"/>
      <c r="C285" s="22"/>
      <c r="D285" s="22"/>
      <c r="E285" s="22"/>
      <c r="F285" s="23"/>
      <c r="G285" s="23"/>
      <c r="H285" s="18"/>
      <c r="I285" s="18"/>
      <c r="J285" s="24" t="s">
        <v>15</v>
      </c>
      <c r="K285" s="16" t="s">
        <v>10</v>
      </c>
      <c r="L285" s="26"/>
      <c r="M285" s="113">
        <f>M281</f>
        <v>500</v>
      </c>
      <c r="N285" s="540"/>
      <c r="O285" s="356" t="s">
        <v>928</v>
      </c>
      <c r="P285" s="357"/>
      <c r="Q285" s="16" t="s">
        <v>1005</v>
      </c>
      <c r="R285" s="27"/>
      <c r="S285" s="28"/>
    </row>
    <row r="286" spans="1:19" ht="14.25" x14ac:dyDescent="0.2">
      <c r="A286" s="21"/>
      <c r="B286" s="22"/>
      <c r="C286" s="22"/>
      <c r="D286" s="22"/>
      <c r="E286" s="22"/>
      <c r="F286" s="23"/>
      <c r="G286" s="23"/>
      <c r="H286" s="18"/>
      <c r="I286" s="18"/>
      <c r="J286" s="24" t="s">
        <v>16</v>
      </c>
      <c r="K286" s="16" t="s">
        <v>10</v>
      </c>
      <c r="L286" s="26"/>
      <c r="M286" s="113"/>
      <c r="N286" s="540"/>
      <c r="O286" s="356" t="s">
        <v>929</v>
      </c>
      <c r="P286" s="357"/>
      <c r="Q286" s="16" t="s">
        <v>1024</v>
      </c>
      <c r="R286" s="27"/>
      <c r="S286" s="28"/>
    </row>
    <row r="287" spans="1:19" ht="14.25" x14ac:dyDescent="0.2">
      <c r="A287" s="21"/>
      <c r="B287" s="22"/>
      <c r="C287" s="22"/>
      <c r="D287" s="22"/>
      <c r="E287" s="22"/>
      <c r="F287" s="23"/>
      <c r="G287" s="23"/>
      <c r="H287" s="18"/>
      <c r="I287" s="18"/>
      <c r="J287" s="24" t="s">
        <v>17</v>
      </c>
      <c r="K287" s="16" t="s">
        <v>10</v>
      </c>
      <c r="L287" s="26"/>
      <c r="M287" s="113"/>
      <c r="N287" s="540"/>
      <c r="O287" s="356" t="s">
        <v>930</v>
      </c>
      <c r="P287" s="357"/>
      <c r="Q287" s="16" t="s">
        <v>931</v>
      </c>
      <c r="R287" s="27"/>
      <c r="S287" s="28"/>
    </row>
    <row r="288" spans="1:19" ht="14.25" x14ac:dyDescent="0.2">
      <c r="A288" s="21"/>
      <c r="B288" s="22"/>
      <c r="C288" s="22"/>
      <c r="D288" s="22"/>
      <c r="E288" s="22"/>
      <c r="F288" s="23"/>
      <c r="G288" s="23"/>
      <c r="H288" s="18"/>
      <c r="I288" s="18"/>
      <c r="J288" s="24" t="s">
        <v>18</v>
      </c>
      <c r="K288" s="16" t="s">
        <v>10</v>
      </c>
      <c r="L288" s="26"/>
      <c r="M288" s="113"/>
      <c r="N288" s="540"/>
      <c r="O288" s="356" t="s">
        <v>932</v>
      </c>
      <c r="P288" s="357"/>
      <c r="Q288" s="16" t="s">
        <v>933</v>
      </c>
      <c r="R288" s="27"/>
      <c r="S288" s="28"/>
    </row>
    <row r="289" spans="1:35" ht="14.25" x14ac:dyDescent="0.2">
      <c r="A289" s="21"/>
      <c r="B289" s="22"/>
      <c r="C289" s="22"/>
      <c r="D289" s="22"/>
      <c r="E289" s="22"/>
      <c r="F289" s="23"/>
      <c r="G289" s="23"/>
      <c r="H289" s="18"/>
      <c r="I289" s="18"/>
      <c r="J289" s="24" t="s">
        <v>19</v>
      </c>
      <c r="K289" s="16" t="s">
        <v>10</v>
      </c>
      <c r="L289" s="26"/>
      <c r="M289" s="25">
        <v>50</v>
      </c>
      <c r="N289" s="540"/>
      <c r="O289" s="356" t="s">
        <v>934</v>
      </c>
      <c r="P289" s="357"/>
      <c r="Q289" s="16" t="s">
        <v>935</v>
      </c>
      <c r="R289" s="27"/>
      <c r="S289" s="28"/>
    </row>
    <row r="290" spans="1:35" ht="14.25" x14ac:dyDescent="0.2">
      <c r="A290" s="21"/>
      <c r="B290" s="22"/>
      <c r="C290" s="22"/>
      <c r="D290" s="22"/>
      <c r="E290" s="22"/>
      <c r="F290" s="23"/>
      <c r="G290" s="23"/>
      <c r="H290" s="18"/>
      <c r="I290" s="18"/>
      <c r="J290" s="29" t="s">
        <v>20</v>
      </c>
      <c r="K290" s="16" t="s">
        <v>21</v>
      </c>
      <c r="L290" s="30"/>
      <c r="M290" s="31">
        <f>L280*L281/1000000</f>
        <v>0.84</v>
      </c>
      <c r="N290" s="540"/>
      <c r="O290" s="356" t="s">
        <v>936</v>
      </c>
      <c r="P290" s="357"/>
      <c r="Q290" s="16" t="s">
        <v>937</v>
      </c>
      <c r="R290" s="27"/>
      <c r="S290" s="28"/>
    </row>
    <row r="291" spans="1:35" ht="14.25" x14ac:dyDescent="0.2">
      <c r="A291" s="32"/>
      <c r="B291" s="33"/>
      <c r="C291" s="33"/>
      <c r="D291" s="33"/>
      <c r="E291" s="33"/>
      <c r="F291" s="34"/>
      <c r="G291" s="34"/>
      <c r="H291" s="35"/>
      <c r="I291" s="35"/>
      <c r="J291" s="29" t="s">
        <v>22</v>
      </c>
      <c r="K291" s="16" t="s">
        <v>23</v>
      </c>
      <c r="L291" s="30"/>
      <c r="M291" s="36">
        <f>(L280+L281)*2/1000</f>
        <v>4</v>
      </c>
      <c r="N291" s="541"/>
      <c r="O291" s="356" t="s">
        <v>938</v>
      </c>
      <c r="P291" s="357"/>
      <c r="Q291" s="16" t="s">
        <v>939</v>
      </c>
      <c r="R291" s="37"/>
      <c r="S291" s="38"/>
    </row>
    <row r="292" spans="1:35" ht="36" x14ac:dyDescent="0.15">
      <c r="A292" s="39" t="s">
        <v>24</v>
      </c>
      <c r="B292" s="560" t="s">
        <v>25</v>
      </c>
      <c r="C292" s="561"/>
      <c r="D292" s="561"/>
      <c r="E292" s="562"/>
      <c r="F292" s="40" t="s">
        <v>26</v>
      </c>
      <c r="G292" s="40" t="s">
        <v>27</v>
      </c>
      <c r="H292" s="40" t="s">
        <v>28</v>
      </c>
      <c r="I292" s="40" t="s">
        <v>898</v>
      </c>
      <c r="J292" s="40" t="s">
        <v>29</v>
      </c>
      <c r="K292" s="40" t="s">
        <v>30</v>
      </c>
      <c r="L292" s="41" t="s">
        <v>31</v>
      </c>
      <c r="M292" s="40" t="s">
        <v>32</v>
      </c>
      <c r="N292" s="40" t="s">
        <v>33</v>
      </c>
      <c r="O292" s="40" t="s">
        <v>34</v>
      </c>
      <c r="P292" s="42" t="s">
        <v>35</v>
      </c>
      <c r="Q292" s="338" t="s">
        <v>875</v>
      </c>
      <c r="R292" s="43" t="s">
        <v>36</v>
      </c>
      <c r="S292" s="43" t="s">
        <v>37</v>
      </c>
      <c r="V292" s="261" t="s">
        <v>127</v>
      </c>
      <c r="W292" s="261"/>
      <c r="X292" s="273" t="s">
        <v>128</v>
      </c>
      <c r="Y292" s="261"/>
      <c r="Z292" s="273" t="s">
        <v>438</v>
      </c>
      <c r="AA292" s="261"/>
      <c r="AB292" s="273" t="s">
        <v>439</v>
      </c>
      <c r="AC292" s="261"/>
      <c r="AD292" s="273" t="s">
        <v>444</v>
      </c>
      <c r="AE292" s="261"/>
      <c r="AF292" s="273" t="s">
        <v>441</v>
      </c>
      <c r="AG292" s="261"/>
      <c r="AH292" s="273" t="s">
        <v>442</v>
      </c>
      <c r="AI292" s="261"/>
    </row>
    <row r="293" spans="1:35" x14ac:dyDescent="0.15">
      <c r="A293" s="57">
        <v>1</v>
      </c>
      <c r="B293" s="531" t="s">
        <v>38</v>
      </c>
      <c r="C293" s="532"/>
      <c r="D293" s="532"/>
      <c r="E293" s="533"/>
      <c r="F293" s="47" t="str">
        <f>VLOOKUP($H:$H,型材表!$B$5:$I$45,2,0)</f>
        <v>窗框</v>
      </c>
      <c r="G293" s="45" t="s">
        <v>39</v>
      </c>
      <c r="H293" s="45" t="str">
        <f>IF(G278=65,"SN65AK001",IF(G278=55,"SN55K001",IF(G278=551,"SN55BK001",IF(G278=60,"SN60K001",IF(G278=601,"SN60AK001",IF(G278=70,"SN70K001",IF(G278=75,"SN75K001")))))))</f>
        <v>SN65AK001</v>
      </c>
      <c r="I293" s="45" t="s">
        <v>900</v>
      </c>
      <c r="J293" s="46">
        <f>M280</f>
        <v>1300</v>
      </c>
      <c r="K293" s="45">
        <v>2</v>
      </c>
      <c r="L293" s="47">
        <f>VLOOKUP($H:$H,型材表!$B$5:$I$45,4,0)</f>
        <v>1.02</v>
      </c>
      <c r="M293" s="46">
        <f>J293*K293*L293/1000</f>
        <v>2.6520000000000001</v>
      </c>
      <c r="N293" s="72">
        <f>VLOOKUP($H:$H,型材表!$B$5:$I$45,7,0)</f>
        <v>0</v>
      </c>
      <c r="O293" s="46">
        <f>N293*M293</f>
        <v>0</v>
      </c>
      <c r="P293" s="100">
        <f>VLOOKUP($H:$H,型材表!$B$5:$I$45,5,0)</f>
        <v>0.125</v>
      </c>
      <c r="Q293" s="100" t="str">
        <f>VLOOKUP($H:$H,型材表!$B$5:$I$468,6,0)</f>
        <v>断桥隔热铝型材</v>
      </c>
      <c r="R293" s="49"/>
      <c r="S293" s="50"/>
      <c r="X293" s="264"/>
      <c r="Z293" s="264"/>
      <c r="AA293" s="259"/>
      <c r="AB293" s="264"/>
      <c r="AC293" s="259"/>
      <c r="AD293" s="264"/>
      <c r="AE293" s="259"/>
      <c r="AF293" s="264"/>
      <c r="AG293" s="259"/>
      <c r="AH293" s="264"/>
      <c r="AI293" s="259"/>
    </row>
    <row r="294" spans="1:35" x14ac:dyDescent="0.15">
      <c r="A294" s="57">
        <v>2</v>
      </c>
      <c r="B294" s="537"/>
      <c r="C294" s="538"/>
      <c r="D294" s="538"/>
      <c r="E294" s="539"/>
      <c r="F294" s="47" t="str">
        <f>VLOOKUP($H:$H,型材表!$B$5:$I$45,2,0)</f>
        <v>窗框</v>
      </c>
      <c r="G294" s="45" t="s">
        <v>40</v>
      </c>
      <c r="H294" s="45" t="str">
        <f>H293</f>
        <v>SN65AK001</v>
      </c>
      <c r="I294" s="45" t="s">
        <v>999</v>
      </c>
      <c r="J294" s="46">
        <f>M281</f>
        <v>500</v>
      </c>
      <c r="K294" s="45">
        <v>2</v>
      </c>
      <c r="L294" s="47">
        <f>VLOOKUP($H:$H,型材表!$B$5:$I$45,4,0)</f>
        <v>1.02</v>
      </c>
      <c r="M294" s="46">
        <f t="shared" ref="M294:M297" si="35">J294*K294*L294/1000</f>
        <v>1.02</v>
      </c>
      <c r="N294" s="72">
        <f>VLOOKUP($H:$H,型材表!$B$5:$I$45,7,0)</f>
        <v>0</v>
      </c>
      <c r="O294" s="46">
        <f t="shared" ref="O294:O295" si="36">N294*M294</f>
        <v>0</v>
      </c>
      <c r="P294" s="100">
        <f>VLOOKUP($H:$H,型材表!$B$5:$I$45,5,0)</f>
        <v>0.125</v>
      </c>
      <c r="Q294" s="100" t="str">
        <f>VLOOKUP($H:$H,型材表!$B$5:$I$468,6,0)</f>
        <v>断桥隔热铝型材</v>
      </c>
      <c r="R294" s="49"/>
      <c r="S294" s="50"/>
      <c r="X294" s="264"/>
      <c r="Z294" s="264"/>
      <c r="AA294" s="259"/>
      <c r="AB294" s="264"/>
      <c r="AC294" s="259"/>
      <c r="AD294" s="264"/>
      <c r="AE294" s="259"/>
      <c r="AF294" s="264"/>
      <c r="AG294" s="259"/>
      <c r="AH294" s="264"/>
      <c r="AI294" s="259"/>
    </row>
    <row r="295" spans="1:35" x14ac:dyDescent="0.15">
      <c r="A295" s="350">
        <v>3</v>
      </c>
      <c r="B295" s="531" t="s">
        <v>41</v>
      </c>
      <c r="C295" s="532"/>
      <c r="D295" s="532"/>
      <c r="E295" s="533"/>
      <c r="F295" s="47" t="str">
        <f>VLOOKUP($H:$H,型材表!$B$5:$I$45,2,0)</f>
        <v>窗扇</v>
      </c>
      <c r="G295" s="45" t="s">
        <v>39</v>
      </c>
      <c r="H295" s="45" t="str">
        <f>IF(G278=65,"SN65AS001",IF(G278=55,"SN55S001",IF(G278=551,"SN55BS001",IF(G278=60,"SN60S001",IF(G278=601,"SN60AS001",IF(G278=70,"SN70S001",IF(G278=75,"SN75S001")))))))</f>
        <v>SN65AS001</v>
      </c>
      <c r="I295" s="45" t="s">
        <v>1040</v>
      </c>
      <c r="J295" s="46">
        <f>IF(G278=65,M282-V295,IF(G278=55,M282-X295,IF(G278=551,M282-Z295,IF(G278=60,M282-AB295,IF(G278=601,M282-AD295,IF(G278=70,M282-AF295,IF(G278=75,M282-AH295)))))))</f>
        <v>871</v>
      </c>
      <c r="K295" s="45">
        <v>2</v>
      </c>
      <c r="L295" s="47">
        <f>VLOOKUP($H:$H,型材表!$B$5:$I$45,4,0)</f>
        <v>1.292</v>
      </c>
      <c r="M295" s="46">
        <f t="shared" si="35"/>
        <v>2.250664</v>
      </c>
      <c r="N295" s="72">
        <f>VLOOKUP($H:$H,型材表!$B$5:$I$45,7,0)</f>
        <v>0</v>
      </c>
      <c r="O295" s="46">
        <f t="shared" si="36"/>
        <v>0</v>
      </c>
      <c r="P295" s="100">
        <f>VLOOKUP($H:$H,型材表!$B$5:$I$45,5,0)</f>
        <v>0.125</v>
      </c>
      <c r="Q295" s="100" t="str">
        <f>VLOOKUP($H:$H,型材表!$B$5:$I$468,6,0)</f>
        <v>断桥隔热铝型材</v>
      </c>
      <c r="R295" s="49"/>
      <c r="S295" s="50"/>
      <c r="U295" s="374" t="s">
        <v>1123</v>
      </c>
      <c r="V295" s="259">
        <f>22+7</f>
        <v>29</v>
      </c>
      <c r="X295" s="264">
        <f>22+7</f>
        <v>29</v>
      </c>
      <c r="Z295" s="264">
        <f>22+7</f>
        <v>29</v>
      </c>
      <c r="AA295" s="259"/>
      <c r="AB295" s="264">
        <f>22+7</f>
        <v>29</v>
      </c>
      <c r="AC295" s="259"/>
      <c r="AD295" s="264">
        <f>22+7</f>
        <v>29</v>
      </c>
      <c r="AE295" s="259"/>
      <c r="AF295" s="264">
        <f>22+7</f>
        <v>29</v>
      </c>
      <c r="AG295" s="259"/>
      <c r="AH295" s="264">
        <f>22+7</f>
        <v>29</v>
      </c>
      <c r="AI295" s="259"/>
    </row>
    <row r="296" spans="1:35" x14ac:dyDescent="0.15">
      <c r="A296" s="395">
        <v>4</v>
      </c>
      <c r="B296" s="534"/>
      <c r="C296" s="535"/>
      <c r="D296" s="535"/>
      <c r="E296" s="536"/>
      <c r="F296" s="47" t="str">
        <f>VLOOKUP($H:$H,型材表!$B$5:$I$45,2,0)</f>
        <v>窗扇</v>
      </c>
      <c r="G296" s="45" t="s">
        <v>40</v>
      </c>
      <c r="H296" s="45" t="str">
        <f>H295</f>
        <v>SN65AS001</v>
      </c>
      <c r="I296" s="45" t="s">
        <v>1002</v>
      </c>
      <c r="J296" s="46">
        <f>IF(G278=65,M285-V296,IF(G278=55,M285-X296,IF(G278=551,M285-Z296,IF(G278=60,M285-AB296,IF(G278=601,M285-AD296,IF(G278=70,M285-AF296,IF(G278=75,M285-AH296)))))))</f>
        <v>456</v>
      </c>
      <c r="K296" s="45">
        <v>2</v>
      </c>
      <c r="L296" s="47">
        <f>VLOOKUP($H:$H,型材表!$B$5:$I$45,4,0)</f>
        <v>1.292</v>
      </c>
      <c r="M296" s="46">
        <f t="shared" si="35"/>
        <v>1.178304</v>
      </c>
      <c r="N296" s="72">
        <f>VLOOKUP($H:$H,型材表!$B$5:$I$45,7,0)</f>
        <v>0</v>
      </c>
      <c r="O296" s="46">
        <f>N296*M296</f>
        <v>0</v>
      </c>
      <c r="P296" s="100">
        <f>VLOOKUP($H:$H,型材表!$B$5:$I$45,5,0)</f>
        <v>0.125</v>
      </c>
      <c r="Q296" s="100" t="str">
        <f>VLOOKUP($H:$H,型材表!$B$5:$I$468,6,0)</f>
        <v>断桥隔热铝型材</v>
      </c>
      <c r="R296" s="49"/>
      <c r="S296" s="50"/>
      <c r="U296" s="374" t="s">
        <v>1124</v>
      </c>
      <c r="V296" s="259">
        <f>22*2</f>
        <v>44</v>
      </c>
      <c r="X296" s="264">
        <f>22*2</f>
        <v>44</v>
      </c>
      <c r="Z296" s="264">
        <f>22*2</f>
        <v>44</v>
      </c>
      <c r="AA296" s="259"/>
      <c r="AB296" s="264">
        <f>22*2</f>
        <v>44</v>
      </c>
      <c r="AC296" s="259"/>
      <c r="AD296" s="264">
        <f>22*2</f>
        <v>44</v>
      </c>
      <c r="AE296" s="259"/>
      <c r="AF296" s="264">
        <f>22*2</f>
        <v>44</v>
      </c>
      <c r="AG296" s="259"/>
      <c r="AH296" s="264">
        <f>22*2</f>
        <v>44</v>
      </c>
      <c r="AI296" s="259"/>
    </row>
    <row r="297" spans="1:35" x14ac:dyDescent="0.15">
      <c r="A297" s="395">
        <v>5</v>
      </c>
      <c r="B297" s="534"/>
      <c r="C297" s="535"/>
      <c r="D297" s="535"/>
      <c r="E297" s="536"/>
      <c r="F297" s="47" t="str">
        <f>VLOOKUP($H:$H,型材表!$B$5:$I$45,2,0)</f>
        <v>中梃</v>
      </c>
      <c r="G297" s="45"/>
      <c r="H297" s="116" t="str">
        <f>IF(G278=65,"SN65AT001",IF(G278=55,"SN55T001",IF(G278=551,"SN55BT001",IF(G278=60,"SN60T001",IF(G278=601,"SN60AT001",IF(G278=70,"SN70T001",IF(G278=75,"SN75T001")))))))</f>
        <v>SN65AT001</v>
      </c>
      <c r="I297" s="45" t="s">
        <v>1041</v>
      </c>
      <c r="J297" s="46">
        <f>IF(G278=65,M285-V297,IF(G278=55,M285-X297,IF(G278=551,M285-Z297,IF(G278=60,M285-AB297,IF(G278=601,M285-AD297,IF(G278=70,M285-AF297,IF(G278=75,M285-AH297)))))))</f>
        <v>454</v>
      </c>
      <c r="K297" s="45">
        <v>1</v>
      </c>
      <c r="L297" s="47">
        <f>VLOOKUP($H:$H,型材表!$B$5:$I$45,4,0)</f>
        <v>1.214</v>
      </c>
      <c r="M297" s="46">
        <f t="shared" si="35"/>
        <v>0.55115599999999998</v>
      </c>
      <c r="N297" s="72">
        <f>VLOOKUP($H:$H,型材表!$B$5:$I$45,7,0)</f>
        <v>0</v>
      </c>
      <c r="O297" s="46">
        <f>N297*M297</f>
        <v>0</v>
      </c>
      <c r="P297" s="100">
        <f>VLOOKUP($H:$H,型材表!$B$5:$I$45,5,0)</f>
        <v>0.125</v>
      </c>
      <c r="Q297" s="100" t="str">
        <f>VLOOKUP($H:$H,型材表!$B$5:$I$468,6,0)</f>
        <v>断桥隔热铝型材</v>
      </c>
      <c r="R297" s="49"/>
      <c r="S297" s="50"/>
      <c r="U297" s="374" t="s">
        <v>1125</v>
      </c>
      <c r="V297" s="259">
        <f>23*2</f>
        <v>46</v>
      </c>
      <c r="X297" s="264">
        <f>23*2</f>
        <v>46</v>
      </c>
      <c r="Z297" s="264">
        <f>23*2</f>
        <v>46</v>
      </c>
      <c r="AA297" s="259"/>
      <c r="AB297" s="264">
        <f>23*2</f>
        <v>46</v>
      </c>
      <c r="AC297" s="259"/>
      <c r="AD297" s="264">
        <f>23*2</f>
        <v>46</v>
      </c>
      <c r="AE297" s="259"/>
      <c r="AF297" s="264">
        <f>23*2</f>
        <v>46</v>
      </c>
      <c r="AG297" s="259"/>
      <c r="AH297" s="264">
        <f>23*2</f>
        <v>46</v>
      </c>
      <c r="AI297" s="259"/>
    </row>
    <row r="298" spans="1:35" x14ac:dyDescent="0.15">
      <c r="A298" s="395">
        <v>6</v>
      </c>
      <c r="B298" s="537"/>
      <c r="C298" s="538"/>
      <c r="D298" s="538"/>
      <c r="E298" s="539"/>
      <c r="F298" s="47"/>
      <c r="G298" s="45"/>
      <c r="H298" s="45"/>
      <c r="I298" s="45"/>
      <c r="J298" s="46"/>
      <c r="K298" s="45"/>
      <c r="L298" s="47"/>
      <c r="M298" s="46"/>
      <c r="N298" s="72"/>
      <c r="O298" s="46"/>
      <c r="P298" s="100"/>
      <c r="Q298" s="100"/>
      <c r="R298" s="49"/>
      <c r="S298" s="50"/>
      <c r="X298" s="264"/>
      <c r="Z298" s="264"/>
      <c r="AA298" s="259"/>
      <c r="AB298" s="264"/>
      <c r="AC298" s="259"/>
      <c r="AD298" s="264"/>
      <c r="AE298" s="259"/>
      <c r="AF298" s="264"/>
      <c r="AG298" s="259"/>
      <c r="AH298" s="264"/>
      <c r="AI298" s="259"/>
    </row>
    <row r="299" spans="1:35" x14ac:dyDescent="0.15">
      <c r="A299" s="395">
        <v>7</v>
      </c>
      <c r="B299" s="531" t="s">
        <v>42</v>
      </c>
      <c r="C299" s="532"/>
      <c r="D299" s="532"/>
      <c r="E299" s="533"/>
      <c r="F299" s="47" t="str">
        <f>VLOOKUP($H:$H,型材表!$B$5:$I$45,2,0)</f>
        <v>压线</v>
      </c>
      <c r="G299" s="45" t="s">
        <v>39</v>
      </c>
      <c r="H299" s="45" t="str">
        <f>IF(G278=65,"SN65AY002",IF(G278=55,"SN55Y002",IF(G278=551,"SN55BY002",IF(G278=60,"SN60Y002",IF(G278=601,"SN60Y002",IF(G278=70,"SN70Y002",IF(G278=75,"SN75Y002")))))))</f>
        <v>SN65AY002</v>
      </c>
      <c r="I299" s="45" t="s">
        <v>1042</v>
      </c>
      <c r="J299" s="46">
        <f>IF(G278=65,M282-V299,IF(G278=55,M282-X299,IF(G278=551,M282-Z299,IF(G278=60,M282-AB299,IF(G278=601,M282-AD299,IF(G278=70,M282-AF299,IF(G278=75,M282-AH299)))))))</f>
        <v>795.4</v>
      </c>
      <c r="K299" s="45">
        <v>2</v>
      </c>
      <c r="L299" s="47">
        <f>VLOOKUP($H:$H,型材表!$B$5:$I$45,4,0)</f>
        <v>0.20399999999999999</v>
      </c>
      <c r="M299" s="46">
        <f t="shared" ref="M299:M307" si="37">J299*K299*L299/1000</f>
        <v>0.32452319999999996</v>
      </c>
      <c r="N299" s="72">
        <f>VLOOKUP($H:$H,型材表!$B$5:$I$45,7,0)</f>
        <v>0</v>
      </c>
      <c r="O299" s="46">
        <f t="shared" ref="O299:O307" si="38">N299*M299</f>
        <v>0</v>
      </c>
      <c r="P299" s="100">
        <f>VLOOKUP($H:$H,型材表!$B$5:$I$45,5,0)</f>
        <v>0.125</v>
      </c>
      <c r="Q299" s="100" t="str">
        <f>VLOOKUP($H:$H,型材表!$B$5:$I$468,6,0)</f>
        <v>非断桥隔热铝型材</v>
      </c>
      <c r="R299" s="49"/>
      <c r="S299" s="50"/>
      <c r="U299" s="374" t="s">
        <v>1126</v>
      </c>
      <c r="V299" s="259">
        <f>59.8+44.8</f>
        <v>104.6</v>
      </c>
      <c r="X299" s="286">
        <f>59.8+44.8</f>
        <v>104.6</v>
      </c>
      <c r="Z299" s="286">
        <f>59.8+44.8</f>
        <v>104.6</v>
      </c>
      <c r="AA299" s="259"/>
      <c r="AB299" s="286">
        <f>59.8+44.8</f>
        <v>104.6</v>
      </c>
      <c r="AC299" s="259"/>
      <c r="AD299" s="286">
        <f>59.8+44.8</f>
        <v>104.6</v>
      </c>
      <c r="AE299" s="259"/>
      <c r="AF299" s="286">
        <f>59.8+44.8</f>
        <v>104.6</v>
      </c>
      <c r="AG299" s="259"/>
      <c r="AH299" s="286">
        <f>59.8+44.8</f>
        <v>104.6</v>
      </c>
      <c r="AI299" s="259"/>
    </row>
    <row r="300" spans="1:35" x14ac:dyDescent="0.15">
      <c r="A300" s="395">
        <v>8</v>
      </c>
      <c r="B300" s="534"/>
      <c r="C300" s="535"/>
      <c r="D300" s="535"/>
      <c r="E300" s="536"/>
      <c r="F300" s="47" t="str">
        <f>VLOOKUP($H:$H,型材表!$B$5:$I$45,2,0)</f>
        <v>压线</v>
      </c>
      <c r="G300" s="45" t="s">
        <v>39</v>
      </c>
      <c r="H300" s="207" t="str">
        <f>H299</f>
        <v>SN65AY002</v>
      </c>
      <c r="I300" s="45" t="s">
        <v>1043</v>
      </c>
      <c r="J300" s="208">
        <f>IF(G278=65,M283-V300,IF(G278=55,M283-X300,IF(G278=551,M283-Z300,IF(G278=60,M283-AB300,IF(G278=601,M283-AD300,IF(G278=70,M283-AF300,IF(G278=75,M283-AH300)))))))</f>
        <v>369</v>
      </c>
      <c r="K300" s="45">
        <v>2</v>
      </c>
      <c r="L300" s="47">
        <f>VLOOKUP($H:$H,型材表!$B$5:$I$45,4,0)</f>
        <v>0.20399999999999999</v>
      </c>
      <c r="M300" s="46">
        <f t="shared" ref="M300:M301" si="39">J300*K300*L300/1000</f>
        <v>0.15055199999999999</v>
      </c>
      <c r="N300" s="72">
        <f>VLOOKUP($H:$H,型材表!$B$5:$I$45,7,0)</f>
        <v>0</v>
      </c>
      <c r="O300" s="46">
        <f t="shared" ref="O300:O301" si="40">N300*M300</f>
        <v>0</v>
      </c>
      <c r="P300" s="100">
        <f>VLOOKUP($H:$H,型材表!$B$5:$I$45,5,0)</f>
        <v>0.125</v>
      </c>
      <c r="Q300" s="100" t="str">
        <f>VLOOKUP($H:$H,型材表!$B$5:$I$468,6,0)</f>
        <v>非断桥隔热铝型材</v>
      </c>
      <c r="R300" s="210"/>
      <c r="S300" s="50"/>
      <c r="U300" s="374" t="s">
        <v>1127</v>
      </c>
      <c r="V300" s="259">
        <f>8+23</f>
        <v>31</v>
      </c>
      <c r="X300" s="286">
        <f>8+23</f>
        <v>31</v>
      </c>
      <c r="Z300" s="286">
        <f>8+23</f>
        <v>31</v>
      </c>
      <c r="AA300" s="259"/>
      <c r="AB300" s="286">
        <f>8+23</f>
        <v>31</v>
      </c>
      <c r="AC300" s="259"/>
      <c r="AD300" s="286">
        <f>8+23</f>
        <v>31</v>
      </c>
      <c r="AE300" s="259"/>
      <c r="AF300" s="286">
        <f>8+23</f>
        <v>31</v>
      </c>
      <c r="AG300" s="259"/>
      <c r="AH300" s="286">
        <f>8+23</f>
        <v>31</v>
      </c>
      <c r="AI300" s="259"/>
    </row>
    <row r="301" spans="1:35" x14ac:dyDescent="0.15">
      <c r="A301" s="395">
        <v>9</v>
      </c>
      <c r="B301" s="534"/>
      <c r="C301" s="535"/>
      <c r="D301" s="535"/>
      <c r="E301" s="536"/>
      <c r="F301" s="47" t="str">
        <f>VLOOKUP($H:$H,型材表!$B$5:$I$45,2,0)</f>
        <v>压线</v>
      </c>
      <c r="G301" s="45" t="s">
        <v>40</v>
      </c>
      <c r="H301" s="207" t="str">
        <f>H300</f>
        <v>SN65AY002</v>
      </c>
      <c r="I301" s="207" t="s">
        <v>1014</v>
      </c>
      <c r="J301" s="208">
        <f>IF(G278=65,M285-V301,IF(G278=55,M285-X301,IF(G278=551,M285-Z301,IF(G278=60,M285-AB301,IF(G278=601,M285-AD301,IF(G278=70,M285-AF301,IF(G278=75,M285-AH301)))))))</f>
        <v>380.4</v>
      </c>
      <c r="K301" s="45">
        <v>2</v>
      </c>
      <c r="L301" s="47">
        <f>VLOOKUP($H:$H,型材表!$B$5:$I$45,4,0)</f>
        <v>0.20399999999999999</v>
      </c>
      <c r="M301" s="46">
        <f t="shared" si="39"/>
        <v>0.15520319999999999</v>
      </c>
      <c r="N301" s="72">
        <f>VLOOKUP($H:$H,型材表!$B$5:$I$45,7,0)</f>
        <v>0</v>
      </c>
      <c r="O301" s="46">
        <f t="shared" si="40"/>
        <v>0</v>
      </c>
      <c r="P301" s="100">
        <f>VLOOKUP($H:$H,型材表!$B$5:$I$45,5,0)</f>
        <v>0.125</v>
      </c>
      <c r="Q301" s="100" t="str">
        <f>VLOOKUP($H:$H,型材表!$B$5:$I$468,6,0)</f>
        <v>非断桥隔热铝型材</v>
      </c>
      <c r="R301" s="210"/>
      <c r="S301" s="50"/>
      <c r="U301" s="374" t="s">
        <v>992</v>
      </c>
      <c r="V301" s="259">
        <f>59.8*2</f>
        <v>119.6</v>
      </c>
      <c r="X301" s="286">
        <f>59.8*2</f>
        <v>119.6</v>
      </c>
      <c r="Z301" s="286">
        <f>59.8*2</f>
        <v>119.6</v>
      </c>
      <c r="AA301" s="259"/>
      <c r="AB301" s="286">
        <f>59.8*2</f>
        <v>119.6</v>
      </c>
      <c r="AC301" s="259"/>
      <c r="AD301" s="286">
        <f>59.8*2</f>
        <v>119.6</v>
      </c>
      <c r="AE301" s="259"/>
      <c r="AF301" s="286">
        <f>59.8*2</f>
        <v>119.6</v>
      </c>
      <c r="AG301" s="259"/>
      <c r="AH301" s="286">
        <f>59.8*2</f>
        <v>119.6</v>
      </c>
      <c r="AI301" s="259"/>
    </row>
    <row r="302" spans="1:35" x14ac:dyDescent="0.15">
      <c r="A302" s="395">
        <v>10</v>
      </c>
      <c r="B302" s="537"/>
      <c r="C302" s="538"/>
      <c r="D302" s="538"/>
      <c r="E302" s="539"/>
      <c r="F302" s="47" t="str">
        <f>VLOOKUP($H:$H,型材表!$B$5:$I$45,2,0)</f>
        <v>压线</v>
      </c>
      <c r="G302" s="45" t="s">
        <v>40</v>
      </c>
      <c r="H302" s="45" t="str">
        <f>H299</f>
        <v>SN65AY002</v>
      </c>
      <c r="I302" s="207" t="s">
        <v>1044</v>
      </c>
      <c r="J302" s="46">
        <f>IF(G278=65,M285-V302,IF(G278=55,M285-X302,IF(G278=551,M285-Z302,IF(G278=60,M285-AB302,IF(G278=601,M285-AD302,IF(G278=70,M285-AF302,IF(G278=75,M285-AH302)))))))</f>
        <v>454</v>
      </c>
      <c r="K302" s="45">
        <v>2</v>
      </c>
      <c r="L302" s="47">
        <f>VLOOKUP($H:$H,型材表!$B$5:$I$45,4,0)</f>
        <v>0.20399999999999999</v>
      </c>
      <c r="M302" s="46">
        <f t="shared" si="37"/>
        <v>0.18523200000000001</v>
      </c>
      <c r="N302" s="72">
        <f>VLOOKUP($H:$H,型材表!$B$5:$I$45,7,0)</f>
        <v>0</v>
      </c>
      <c r="O302" s="46">
        <f t="shared" si="38"/>
        <v>0</v>
      </c>
      <c r="P302" s="100">
        <f>VLOOKUP($H:$H,型材表!$B$5:$I$45,5,0)</f>
        <v>0.125</v>
      </c>
      <c r="Q302" s="100" t="str">
        <f>VLOOKUP($H:$H,型材表!$B$5:$I$468,6,0)</f>
        <v>非断桥隔热铝型材</v>
      </c>
      <c r="R302" s="49"/>
      <c r="S302" s="50"/>
      <c r="U302" s="374" t="s">
        <v>1128</v>
      </c>
      <c r="V302" s="259">
        <f>23*2</f>
        <v>46</v>
      </c>
      <c r="X302" s="286">
        <f>23*2</f>
        <v>46</v>
      </c>
      <c r="Z302" s="286">
        <f>23*2</f>
        <v>46</v>
      </c>
      <c r="AA302" s="259"/>
      <c r="AB302" s="286">
        <f>23*2</f>
        <v>46</v>
      </c>
      <c r="AC302" s="259"/>
      <c r="AD302" s="286">
        <f>23*2</f>
        <v>46</v>
      </c>
      <c r="AE302" s="259"/>
      <c r="AF302" s="286">
        <f>23*2</f>
        <v>46</v>
      </c>
      <c r="AG302" s="259"/>
      <c r="AH302" s="286">
        <f>23*2</f>
        <v>46</v>
      </c>
      <c r="AI302" s="259"/>
    </row>
    <row r="303" spans="1:35" x14ac:dyDescent="0.15">
      <c r="A303" s="395">
        <v>11</v>
      </c>
      <c r="B303" s="531" t="s">
        <v>44</v>
      </c>
      <c r="C303" s="532"/>
      <c r="D303" s="532"/>
      <c r="E303" s="533"/>
      <c r="F303" s="47" t="str">
        <f>VLOOKUP($H:$H,型材表!$B$5:$I$45,2,0)</f>
        <v>角码</v>
      </c>
      <c r="G303" s="51" t="s">
        <v>446</v>
      </c>
      <c r="H303" s="45" t="str">
        <f>IF(G278=65,"SW55F001","SN55F003")</f>
        <v>SW55F001</v>
      </c>
      <c r="I303" s="45" t="s">
        <v>1006</v>
      </c>
      <c r="J303" s="52">
        <f>IF(G278=65,V303,IF(G278=55,X303,IF(G278=551,Z303,IF(G278=60,AB303,IF(G278=601,AD303,IF(G278=70,AF303,IF(G278=75,AH303)))))))</f>
        <v>32.200000000000003</v>
      </c>
      <c r="K303" s="45">
        <f>K293*2</f>
        <v>4</v>
      </c>
      <c r="L303" s="47">
        <f>VLOOKUP($H:$H,型材表!$B$5:$I$45,4,0)</f>
        <v>2.0950000000000002</v>
      </c>
      <c r="M303" s="46">
        <f t="shared" si="37"/>
        <v>0.26983600000000008</v>
      </c>
      <c r="N303" s="72">
        <f>VLOOKUP($H:$H,型材表!$B$5:$I$45,7,0)</f>
        <v>0</v>
      </c>
      <c r="O303" s="46">
        <f t="shared" si="38"/>
        <v>0</v>
      </c>
      <c r="P303" s="100">
        <f>VLOOKUP($H:$H,型材表!$B$5:$I$45,5,0)</f>
        <v>0.125</v>
      </c>
      <c r="Q303" s="100" t="str">
        <f>VLOOKUP($H:$H,型材表!$B$5:$I$468,6,0)</f>
        <v>阳极氧化铝型材</v>
      </c>
      <c r="R303" s="49"/>
      <c r="S303" s="50"/>
      <c r="U303" s="374" t="s">
        <v>994</v>
      </c>
      <c r="V303" s="259">
        <f>19.5-1+14.7-1</f>
        <v>32.200000000000003</v>
      </c>
      <c r="X303" s="264">
        <f>19.5-1+14.7-1</f>
        <v>32.200000000000003</v>
      </c>
      <c r="Y303" s="265"/>
      <c r="Z303" s="264">
        <f>19.5-1+10.9-1</f>
        <v>28.4</v>
      </c>
      <c r="AA303" s="277"/>
      <c r="AB303" s="264">
        <f>19.5-1+14.7-1</f>
        <v>32.200000000000003</v>
      </c>
      <c r="AC303" s="277"/>
      <c r="AD303" s="264">
        <f>19.5-1+10.9-1</f>
        <v>28.4</v>
      </c>
      <c r="AE303" s="277"/>
      <c r="AF303" s="264">
        <f>19.5-1+14.7-1</f>
        <v>32.200000000000003</v>
      </c>
      <c r="AG303" s="277"/>
      <c r="AH303" s="264">
        <f>19.5-1+14.7-1</f>
        <v>32.200000000000003</v>
      </c>
      <c r="AI303" s="259"/>
    </row>
    <row r="304" spans="1:35" x14ac:dyDescent="0.15">
      <c r="A304" s="395">
        <v>12</v>
      </c>
      <c r="B304" s="534"/>
      <c r="C304" s="535"/>
      <c r="D304" s="535"/>
      <c r="E304" s="536"/>
      <c r="F304" s="47" t="str">
        <f>VLOOKUP($H:$H,型材表!$B$5:$I$45,2,0)</f>
        <v>角码</v>
      </c>
      <c r="G304" s="51" t="s">
        <v>447</v>
      </c>
      <c r="H304" s="45" t="str">
        <f>IF(G278=65,"SN55F003","SN55F003")</f>
        <v>SN55F003</v>
      </c>
      <c r="I304" s="45" t="s">
        <v>995</v>
      </c>
      <c r="J304" s="52">
        <f t="shared" ref="J304:J307" si="41">V304</f>
        <v>27.1</v>
      </c>
      <c r="K304" s="45">
        <v>4</v>
      </c>
      <c r="L304" s="47">
        <f>VLOOKUP($H:$H,型材表!$B$5:$I$45,4,0)</f>
        <v>1.7490000000000001</v>
      </c>
      <c r="M304" s="46">
        <f t="shared" si="37"/>
        <v>0.18959160000000003</v>
      </c>
      <c r="N304" s="72">
        <f>VLOOKUP($H:$H,型材表!$B$5:$I$45,7,0)</f>
        <v>0</v>
      </c>
      <c r="O304" s="46">
        <f t="shared" si="38"/>
        <v>0</v>
      </c>
      <c r="P304" s="100">
        <f>VLOOKUP($H:$H,型材表!$B$5:$I$45,5,0)</f>
        <v>0.125</v>
      </c>
      <c r="Q304" s="100" t="str">
        <f>VLOOKUP($H:$H,型材表!$B$5:$I$468,6,0)</f>
        <v>阳极氧化铝型材</v>
      </c>
      <c r="R304" s="49"/>
      <c r="S304" s="50"/>
      <c r="U304" s="374" t="s">
        <v>995</v>
      </c>
      <c r="V304" s="259">
        <f>28.1-1</f>
        <v>27.1</v>
      </c>
      <c r="X304" s="264"/>
      <c r="Z304" s="264"/>
      <c r="AA304" s="259"/>
      <c r="AB304" s="264"/>
      <c r="AC304" s="259"/>
      <c r="AD304" s="264"/>
      <c r="AE304" s="259"/>
      <c r="AF304" s="264"/>
      <c r="AG304" s="259"/>
      <c r="AH304" s="264"/>
      <c r="AI304" s="259"/>
    </row>
    <row r="305" spans="1:35" x14ac:dyDescent="0.15">
      <c r="A305" s="395">
        <v>13</v>
      </c>
      <c r="B305" s="534"/>
      <c r="C305" s="535"/>
      <c r="D305" s="535"/>
      <c r="E305" s="536"/>
      <c r="F305" s="47" t="str">
        <f>VLOOKUP($H:$H,型材表!$B$5:$I$45,2,0)</f>
        <v>角码</v>
      </c>
      <c r="G305" s="51" t="s">
        <v>447</v>
      </c>
      <c r="H305" s="45" t="str">
        <f>IF(G278=70,"SW50F002",IF(G278=75,"SW50F002","SN55F003"))</f>
        <v>SN55F003</v>
      </c>
      <c r="I305" s="45" t="s">
        <v>996</v>
      </c>
      <c r="J305" s="52">
        <f>IF(G278=65,V305,IF(G278=55,X305,IF(G278=551,Z305,IF(G278=60,AB305,IF(G278=601,AD305,IF(G278=70,AF305,IF(G278=75,AH305)))))))</f>
        <v>8</v>
      </c>
      <c r="K305" s="45">
        <f>K304</f>
        <v>4</v>
      </c>
      <c r="L305" s="47">
        <f>VLOOKUP($H:$H,型材表!$B$5:$I$45,4,0)</f>
        <v>1.7490000000000001</v>
      </c>
      <c r="M305" s="46">
        <f t="shared" si="37"/>
        <v>5.5968000000000004E-2</v>
      </c>
      <c r="N305" s="72">
        <f>VLOOKUP($H:$H,型材表!$B$5:$I$45,7,0)</f>
        <v>0</v>
      </c>
      <c r="O305" s="46">
        <f t="shared" si="38"/>
        <v>0</v>
      </c>
      <c r="P305" s="100">
        <f>VLOOKUP($H:$H,型材表!$B$5:$I$45,5,0)</f>
        <v>0.125</v>
      </c>
      <c r="Q305" s="100" t="str">
        <f>VLOOKUP($H:$H,型材表!$B$5:$I$468,6,0)</f>
        <v>阳极氧化铝型材</v>
      </c>
      <c r="R305" s="49"/>
      <c r="S305" s="50"/>
      <c r="U305" s="374" t="s">
        <v>996</v>
      </c>
      <c r="V305" s="259">
        <f>9-1</f>
        <v>8</v>
      </c>
      <c r="X305" s="264">
        <f>9-1</f>
        <v>8</v>
      </c>
      <c r="Y305" s="265"/>
      <c r="Z305" s="264">
        <f>5.2-1</f>
        <v>4.2</v>
      </c>
      <c r="AA305" s="277"/>
      <c r="AB305" s="264">
        <f>9-1</f>
        <v>8</v>
      </c>
      <c r="AC305" s="277"/>
      <c r="AD305" s="264">
        <f>5.2-1</f>
        <v>4.2</v>
      </c>
      <c r="AE305" s="277"/>
      <c r="AF305" s="264">
        <f>9-1</f>
        <v>8</v>
      </c>
      <c r="AG305" s="277"/>
      <c r="AH305" s="264">
        <f>9-1</f>
        <v>8</v>
      </c>
      <c r="AI305" s="259"/>
    </row>
    <row r="306" spans="1:35" x14ac:dyDescent="0.15">
      <c r="A306" s="395">
        <v>14</v>
      </c>
      <c r="B306" s="534"/>
      <c r="C306" s="535"/>
      <c r="D306" s="535"/>
      <c r="E306" s="536"/>
      <c r="F306" s="47" t="str">
        <f>VLOOKUP($H:$H,型材表!$B$5:$I$45,2,0)</f>
        <v>中梃角码</v>
      </c>
      <c r="G306" s="51"/>
      <c r="H306" s="45" t="str">
        <f>IF(G278=65,"SN55F001","SN55F001")</f>
        <v>SN55F001</v>
      </c>
      <c r="I306" s="45" t="s">
        <v>997</v>
      </c>
      <c r="J306" s="52">
        <f t="shared" si="41"/>
        <v>18.5</v>
      </c>
      <c r="K306" s="45">
        <v>2</v>
      </c>
      <c r="L306" s="47">
        <f>VLOOKUP($H:$H,型材表!$B$5:$I$45,4,0)</f>
        <v>1.4730000000000001</v>
      </c>
      <c r="M306" s="46">
        <f t="shared" si="37"/>
        <v>5.4501000000000008E-2</v>
      </c>
      <c r="N306" s="72">
        <f>VLOOKUP($H:$H,型材表!$B$5:$I$45,7,0)</f>
        <v>0</v>
      </c>
      <c r="O306" s="46">
        <f t="shared" si="38"/>
        <v>0</v>
      </c>
      <c r="P306" s="100">
        <f>VLOOKUP($H:$H,型材表!$B$5:$I$45,5,0)</f>
        <v>0.125</v>
      </c>
      <c r="Q306" s="100" t="str">
        <f>VLOOKUP($H:$H,型材表!$B$5:$I$468,6,0)</f>
        <v>阳极氧化铝型材</v>
      </c>
      <c r="R306" s="49"/>
      <c r="S306" s="50"/>
      <c r="U306" s="374" t="s">
        <v>997</v>
      </c>
      <c r="V306" s="259">
        <f>19.5-1</f>
        <v>18.5</v>
      </c>
      <c r="X306" s="264"/>
      <c r="Z306" s="264"/>
      <c r="AA306" s="259"/>
      <c r="AB306" s="264"/>
      <c r="AC306" s="259"/>
      <c r="AD306" s="264"/>
      <c r="AE306" s="259"/>
      <c r="AF306" s="264"/>
      <c r="AG306" s="259"/>
      <c r="AH306" s="264"/>
      <c r="AI306" s="259"/>
    </row>
    <row r="307" spans="1:35" x14ac:dyDescent="0.15">
      <c r="A307" s="395">
        <v>15</v>
      </c>
      <c r="B307" s="537"/>
      <c r="C307" s="538"/>
      <c r="D307" s="538"/>
      <c r="E307" s="539"/>
      <c r="F307" s="47" t="str">
        <f>VLOOKUP($H:$H,型材表!$B$5:$I$45,2,0)</f>
        <v>中梃角码</v>
      </c>
      <c r="G307" s="53"/>
      <c r="H307" s="45" t="str">
        <f>IF(G278=70,"SN70F001",IF(G278=75,"SN70F001",IF(G278=551,"SN55BF001",IF(G278=601,"SN55BF001","SN55F002"))))</f>
        <v>SN55F002</v>
      </c>
      <c r="I307" s="45" t="s">
        <v>939</v>
      </c>
      <c r="J307" s="52">
        <f t="shared" si="41"/>
        <v>13.5</v>
      </c>
      <c r="K307" s="55">
        <f>K306</f>
        <v>2</v>
      </c>
      <c r="L307" s="47">
        <f>VLOOKUP($H:$H,型材表!$B$5:$I$45,4,0)</f>
        <v>0.90400000000000003</v>
      </c>
      <c r="M307" s="46">
        <f t="shared" si="37"/>
        <v>2.4408000000000003E-2</v>
      </c>
      <c r="N307" s="72">
        <f>VLOOKUP($H:$H,型材表!$B$5:$I$45,7,0)</f>
        <v>0</v>
      </c>
      <c r="O307" s="46">
        <f t="shared" si="38"/>
        <v>0</v>
      </c>
      <c r="P307" s="100">
        <f>VLOOKUP($H:$H,型材表!$B$5:$I$45,5,0)</f>
        <v>0.125</v>
      </c>
      <c r="Q307" s="100" t="str">
        <f>VLOOKUP($H:$H,型材表!$B$5:$I$468,6,0)</f>
        <v>阳极氧化铝型材</v>
      </c>
      <c r="R307" s="49"/>
      <c r="S307" s="50"/>
      <c r="U307" s="374" t="s">
        <v>939</v>
      </c>
      <c r="V307" s="259">
        <f>14.5-1</f>
        <v>13.5</v>
      </c>
      <c r="X307" s="264"/>
      <c r="Z307" s="264"/>
      <c r="AA307" s="259"/>
      <c r="AB307" s="264"/>
      <c r="AC307" s="259"/>
      <c r="AD307" s="264"/>
      <c r="AE307" s="259"/>
      <c r="AF307" s="264"/>
      <c r="AG307" s="259"/>
      <c r="AH307" s="264"/>
      <c r="AI307" s="259"/>
    </row>
    <row r="308" spans="1:35" x14ac:dyDescent="0.15">
      <c r="A308" s="395">
        <v>16</v>
      </c>
      <c r="B308" s="387"/>
      <c r="C308" s="388"/>
      <c r="D308" s="388"/>
      <c r="E308" s="389"/>
      <c r="F308" s="306"/>
      <c r="G308" s="53"/>
      <c r="H308" s="207"/>
      <c r="I308" s="207"/>
      <c r="J308" s="214"/>
      <c r="K308" s="55"/>
      <c r="L308" s="306"/>
      <c r="M308" s="208"/>
      <c r="N308" s="432"/>
      <c r="O308" s="208"/>
      <c r="P308" s="433"/>
      <c r="Q308" s="360"/>
      <c r="R308" s="60"/>
      <c r="S308" s="50"/>
      <c r="X308" s="264"/>
      <c r="Z308" s="264"/>
      <c r="AA308" s="259"/>
      <c r="AB308" s="264"/>
      <c r="AC308" s="259"/>
      <c r="AD308" s="264"/>
      <c r="AE308" s="259"/>
      <c r="AF308" s="264"/>
      <c r="AG308" s="259"/>
      <c r="AH308" s="264"/>
      <c r="AI308" s="259"/>
    </row>
    <row r="309" spans="1:35" x14ac:dyDescent="0.15">
      <c r="A309" s="395">
        <v>17</v>
      </c>
      <c r="B309" s="387"/>
      <c r="C309" s="388"/>
      <c r="D309" s="388"/>
      <c r="E309" s="389"/>
      <c r="F309" s="306"/>
      <c r="G309" s="53"/>
      <c r="H309" s="207"/>
      <c r="I309" s="207"/>
      <c r="J309" s="214"/>
      <c r="K309" s="55"/>
      <c r="L309" s="306"/>
      <c r="M309" s="208"/>
      <c r="N309" s="432"/>
      <c r="O309" s="208"/>
      <c r="P309" s="433"/>
      <c r="Q309" s="360"/>
      <c r="R309" s="60"/>
      <c r="S309" s="50"/>
      <c r="X309" s="264"/>
      <c r="Z309" s="264"/>
      <c r="AA309" s="259"/>
      <c r="AB309" s="264"/>
      <c r="AC309" s="259"/>
      <c r="AD309" s="264"/>
      <c r="AE309" s="259"/>
      <c r="AF309" s="264"/>
      <c r="AG309" s="259"/>
      <c r="AH309" s="264"/>
      <c r="AI309" s="259"/>
    </row>
    <row r="310" spans="1:35" x14ac:dyDescent="0.15">
      <c r="A310" s="395">
        <v>18</v>
      </c>
      <c r="B310" s="387"/>
      <c r="C310" s="388"/>
      <c r="D310" s="388"/>
      <c r="E310" s="389"/>
      <c r="F310" s="306"/>
      <c r="G310" s="53"/>
      <c r="H310" s="207"/>
      <c r="I310" s="207"/>
      <c r="J310" s="214"/>
      <c r="K310" s="55"/>
      <c r="L310" s="306"/>
      <c r="M310" s="208"/>
      <c r="N310" s="432"/>
      <c r="O310" s="208"/>
      <c r="P310" s="433"/>
      <c r="Q310" s="360"/>
      <c r="R310" s="60"/>
      <c r="S310" s="50"/>
      <c r="X310" s="264"/>
      <c r="Z310" s="264"/>
      <c r="AA310" s="259"/>
      <c r="AB310" s="264"/>
      <c r="AC310" s="259"/>
      <c r="AD310" s="264"/>
      <c r="AE310" s="259"/>
      <c r="AF310" s="264"/>
      <c r="AG310" s="259"/>
      <c r="AH310" s="264"/>
      <c r="AI310" s="259"/>
    </row>
    <row r="311" spans="1:35" x14ac:dyDescent="0.15">
      <c r="A311" s="395">
        <v>19</v>
      </c>
      <c r="B311" s="387"/>
      <c r="C311" s="388"/>
      <c r="D311" s="388"/>
      <c r="E311" s="389"/>
      <c r="F311" s="306"/>
      <c r="G311" s="53"/>
      <c r="H311" s="207"/>
      <c r="I311" s="207"/>
      <c r="J311" s="214"/>
      <c r="K311" s="55"/>
      <c r="L311" s="306"/>
      <c r="M311" s="208"/>
      <c r="N311" s="432"/>
      <c r="O311" s="208"/>
      <c r="P311" s="433"/>
      <c r="Q311" s="360"/>
      <c r="R311" s="60"/>
      <c r="S311" s="50"/>
      <c r="X311" s="264"/>
      <c r="Z311" s="264"/>
      <c r="AA311" s="259"/>
      <c r="AB311" s="264"/>
      <c r="AC311" s="259"/>
      <c r="AD311" s="264"/>
      <c r="AE311" s="259"/>
      <c r="AF311" s="264"/>
      <c r="AG311" s="259"/>
      <c r="AH311" s="264"/>
      <c r="AI311" s="259"/>
    </row>
    <row r="312" spans="1:35" x14ac:dyDescent="0.15">
      <c r="A312" s="395">
        <v>20</v>
      </c>
      <c r="B312" s="387"/>
      <c r="C312" s="388"/>
      <c r="D312" s="388"/>
      <c r="E312" s="389"/>
      <c r="F312" s="306"/>
      <c r="G312" s="53"/>
      <c r="H312" s="207"/>
      <c r="I312" s="207"/>
      <c r="J312" s="214"/>
      <c r="K312" s="55"/>
      <c r="L312" s="306"/>
      <c r="M312" s="208"/>
      <c r="N312" s="432"/>
      <c r="O312" s="208"/>
      <c r="P312" s="433"/>
      <c r="Q312" s="360"/>
      <c r="R312" s="60"/>
      <c r="S312" s="50"/>
      <c r="X312" s="264"/>
      <c r="Z312" s="264"/>
      <c r="AA312" s="259"/>
      <c r="AB312" s="264"/>
      <c r="AC312" s="259"/>
      <c r="AD312" s="264"/>
      <c r="AE312" s="259"/>
      <c r="AF312" s="264"/>
      <c r="AG312" s="259"/>
      <c r="AH312" s="264"/>
      <c r="AI312" s="259"/>
    </row>
    <row r="313" spans="1:35" x14ac:dyDescent="0.15">
      <c r="A313" s="395">
        <v>21</v>
      </c>
      <c r="B313" s="387"/>
      <c r="C313" s="388"/>
      <c r="D313" s="388"/>
      <c r="E313" s="389"/>
      <c r="F313" s="306"/>
      <c r="G313" s="53"/>
      <c r="H313" s="207"/>
      <c r="I313" s="207"/>
      <c r="J313" s="214"/>
      <c r="K313" s="55"/>
      <c r="L313" s="306"/>
      <c r="M313" s="208"/>
      <c r="N313" s="432"/>
      <c r="O313" s="208"/>
      <c r="P313" s="433"/>
      <c r="Q313" s="360"/>
      <c r="R313" s="60"/>
      <c r="S313" s="50"/>
      <c r="X313" s="264"/>
      <c r="Z313" s="264"/>
      <c r="AA313" s="259"/>
      <c r="AB313" s="264"/>
      <c r="AC313" s="259"/>
      <c r="AD313" s="264"/>
      <c r="AE313" s="259"/>
      <c r="AF313" s="264"/>
      <c r="AG313" s="259"/>
      <c r="AH313" s="264"/>
      <c r="AI313" s="259"/>
    </row>
    <row r="314" spans="1:35" x14ac:dyDescent="0.15">
      <c r="A314" s="563" t="s">
        <v>877</v>
      </c>
      <c r="B314" s="563"/>
      <c r="C314" s="563"/>
      <c r="D314" s="564"/>
      <c r="E314" s="564"/>
      <c r="F314" s="563"/>
      <c r="G314" s="563"/>
      <c r="H314" s="563"/>
      <c r="I314" s="563"/>
      <c r="J314" s="563"/>
      <c r="K314" s="563"/>
      <c r="L314" s="563"/>
      <c r="M314" s="46">
        <f>SUMIF($Q$293:$Q$307,A314,$M$293:$M$307)</f>
        <v>7.6521239999999997</v>
      </c>
      <c r="N314" s="58"/>
      <c r="O314" s="46"/>
      <c r="P314" s="59"/>
      <c r="Q314" s="336"/>
      <c r="R314" s="60"/>
      <c r="S314" s="50"/>
      <c r="X314" s="264"/>
      <c r="Z314" s="264"/>
      <c r="AA314" s="259"/>
      <c r="AB314" s="264"/>
      <c r="AC314" s="259"/>
      <c r="AD314" s="264"/>
      <c r="AE314" s="259"/>
      <c r="AF314" s="264"/>
      <c r="AG314" s="259"/>
      <c r="AH314" s="264"/>
      <c r="AI314" s="259"/>
    </row>
    <row r="315" spans="1:35" x14ac:dyDescent="0.15">
      <c r="A315" s="563" t="s">
        <v>879</v>
      </c>
      <c r="B315" s="563"/>
      <c r="C315" s="563"/>
      <c r="D315" s="564"/>
      <c r="E315" s="564"/>
      <c r="F315" s="563"/>
      <c r="G315" s="563"/>
      <c r="H315" s="563"/>
      <c r="I315" s="563"/>
      <c r="J315" s="563"/>
      <c r="K315" s="563"/>
      <c r="L315" s="563"/>
      <c r="M315" s="46">
        <f>SUMIF($Q$293:$Q$307,A315,$M$293:$M$307)</f>
        <v>0.81551039999999997</v>
      </c>
      <c r="N315" s="58"/>
      <c r="O315" s="46"/>
      <c r="P315" s="59"/>
      <c r="Q315" s="336"/>
      <c r="R315" s="60"/>
      <c r="S315" s="50"/>
      <c r="X315" s="264"/>
      <c r="Z315" s="264"/>
      <c r="AA315" s="259"/>
      <c r="AB315" s="264"/>
      <c r="AC315" s="259"/>
      <c r="AD315" s="264"/>
      <c r="AE315" s="259"/>
      <c r="AF315" s="264"/>
      <c r="AG315" s="259"/>
      <c r="AH315" s="264"/>
      <c r="AI315" s="259"/>
    </row>
    <row r="316" spans="1:35" x14ac:dyDescent="0.15">
      <c r="A316" s="563" t="s">
        <v>880</v>
      </c>
      <c r="B316" s="563"/>
      <c r="C316" s="563"/>
      <c r="D316" s="564"/>
      <c r="E316" s="564"/>
      <c r="F316" s="563"/>
      <c r="G316" s="563"/>
      <c r="H316" s="563"/>
      <c r="I316" s="563"/>
      <c r="J316" s="563"/>
      <c r="K316" s="563"/>
      <c r="L316" s="563"/>
      <c r="M316" s="46">
        <f>SUMIF($Q$293:$Q$307,A316,$M$293:$M$307)</f>
        <v>0.59430460000000007</v>
      </c>
      <c r="N316" s="58"/>
      <c r="O316" s="46"/>
      <c r="P316" s="59"/>
      <c r="Q316" s="336"/>
      <c r="R316" s="60"/>
      <c r="S316" s="50"/>
      <c r="X316" s="264"/>
      <c r="Z316" s="264"/>
      <c r="AA316" s="259"/>
      <c r="AB316" s="264"/>
      <c r="AC316" s="259"/>
      <c r="AD316" s="264"/>
      <c r="AE316" s="259"/>
      <c r="AF316" s="264"/>
      <c r="AG316" s="259"/>
      <c r="AH316" s="264"/>
      <c r="AI316" s="259"/>
    </row>
    <row r="317" spans="1:35" x14ac:dyDescent="0.15">
      <c r="A317" s="552"/>
      <c r="B317" s="557"/>
      <c r="C317" s="557"/>
      <c r="D317" s="557"/>
      <c r="E317" s="553"/>
      <c r="F317" s="552" t="s">
        <v>48</v>
      </c>
      <c r="G317" s="557"/>
      <c r="H317" s="557"/>
      <c r="I317" s="557"/>
      <c r="J317" s="557"/>
      <c r="K317" s="557"/>
      <c r="L317" s="553"/>
      <c r="M317" s="62">
        <f>SUM(M314:M316)</f>
        <v>9.0619389999999989</v>
      </c>
      <c r="N317" s="63"/>
      <c r="O317" s="62">
        <f>SUM(O293:O307)</f>
        <v>0</v>
      </c>
      <c r="P317" s="63"/>
      <c r="Q317" s="337"/>
      <c r="R317" s="64"/>
      <c r="S317" s="64"/>
      <c r="X317" s="264"/>
      <c r="Z317" s="264"/>
      <c r="AA317" s="259"/>
      <c r="AB317" s="264"/>
      <c r="AC317" s="259"/>
      <c r="AD317" s="264"/>
      <c r="AE317" s="259"/>
      <c r="AF317" s="264"/>
      <c r="AG317" s="259"/>
      <c r="AH317" s="264"/>
      <c r="AI317" s="259"/>
    </row>
    <row r="318" spans="1:35" ht="24" x14ac:dyDescent="0.15">
      <c r="A318" s="347"/>
      <c r="B318" s="565" t="s">
        <v>49</v>
      </c>
      <c r="C318" s="561"/>
      <c r="D318" s="561"/>
      <c r="E318" s="566"/>
      <c r="F318" s="565" t="s">
        <v>26</v>
      </c>
      <c r="G318" s="566"/>
      <c r="H318" s="66" t="s">
        <v>1007</v>
      </c>
      <c r="I318" s="66" t="s">
        <v>1008</v>
      </c>
      <c r="J318" s="66" t="s">
        <v>50</v>
      </c>
      <c r="K318" s="66" t="s">
        <v>51</v>
      </c>
      <c r="L318" s="67" t="s">
        <v>30</v>
      </c>
      <c r="M318" s="66" t="s">
        <v>52</v>
      </c>
      <c r="N318" s="68" t="s">
        <v>53</v>
      </c>
      <c r="O318" s="68" t="s">
        <v>34</v>
      </c>
      <c r="P318" s="69" t="s">
        <v>35</v>
      </c>
      <c r="Q318" s="42"/>
      <c r="R318" s="67"/>
      <c r="S318" s="67"/>
      <c r="V318" s="270" t="s">
        <v>352</v>
      </c>
      <c r="W318" s="270" t="s">
        <v>353</v>
      </c>
      <c r="X318" s="271" t="s">
        <v>352</v>
      </c>
      <c r="Y318" s="272" t="s">
        <v>353</v>
      </c>
      <c r="Z318" s="271" t="s">
        <v>352</v>
      </c>
      <c r="AA318" s="272" t="s">
        <v>353</v>
      </c>
      <c r="AB318" s="271" t="s">
        <v>352</v>
      </c>
      <c r="AC318" s="272" t="s">
        <v>353</v>
      </c>
      <c r="AD318" s="271" t="s">
        <v>352</v>
      </c>
      <c r="AE318" s="272" t="s">
        <v>353</v>
      </c>
      <c r="AF318" s="271" t="s">
        <v>352</v>
      </c>
      <c r="AG318" s="272" t="s">
        <v>353</v>
      </c>
      <c r="AH318" s="271" t="s">
        <v>352</v>
      </c>
      <c r="AI318" s="272" t="s">
        <v>353</v>
      </c>
    </row>
    <row r="319" spans="1:35" ht="17.25" customHeight="1" x14ac:dyDescent="0.15">
      <c r="A319" s="326">
        <v>1</v>
      </c>
      <c r="B319" s="545" t="s">
        <v>133</v>
      </c>
      <c r="C319" s="546"/>
      <c r="D319" s="546"/>
      <c r="E319" s="547"/>
      <c r="F319" s="545" t="s">
        <v>55</v>
      </c>
      <c r="G319" s="547"/>
      <c r="H319" s="45" t="s">
        <v>1009</v>
      </c>
      <c r="I319" s="45" t="s">
        <v>1046</v>
      </c>
      <c r="J319" s="46">
        <f>IF(G278=65,M285-V319,IF(G278=55,M285-X319,IF(G278=551,M285-Z319,IF(G278=60,M285-AB319,IF(G278=601,M285-AD319,IF(G278=70,M285-AF319,IF(G278=75,AH319-X319)))))))</f>
        <v>360</v>
      </c>
      <c r="K319" s="70">
        <f>IF(G278=65,M282-W319,IF(G278=55,M282-Y319,IF(G278=551,M282-AA319,IF(G278=60,M282-AC319,IF(G278=601,M282-AE319,IF(G278=70,M282-AG319,IF(G278=75,M282-AI319)))))))</f>
        <v>775</v>
      </c>
      <c r="L319" s="70">
        <v>1</v>
      </c>
      <c r="M319" s="46">
        <f>J319*K319*L319/1000000</f>
        <v>0.27900000000000003</v>
      </c>
      <c r="N319" s="46"/>
      <c r="O319" s="46">
        <f>N319*M319</f>
        <v>0</v>
      </c>
      <c r="P319" s="71"/>
      <c r="Q319" s="240"/>
      <c r="R319" s="72"/>
      <c r="S319" s="72"/>
      <c r="T319" s="456" t="s">
        <v>1593</v>
      </c>
      <c r="U319" s="374" t="s">
        <v>1600</v>
      </c>
      <c r="V319" s="259">
        <f>70*2</f>
        <v>140</v>
      </c>
      <c r="W319" s="259">
        <f>70+55</f>
        <v>125</v>
      </c>
      <c r="X319" s="264">
        <f>72*2</f>
        <v>144</v>
      </c>
      <c r="Y319" s="259">
        <f>72+57</f>
        <v>129</v>
      </c>
      <c r="Z319" s="264">
        <f>72*2</f>
        <v>144</v>
      </c>
      <c r="AA319" s="259">
        <f>72+57</f>
        <v>129</v>
      </c>
      <c r="AB319" s="264">
        <f>72*2</f>
        <v>144</v>
      </c>
      <c r="AC319" s="259">
        <f>72+57</f>
        <v>129</v>
      </c>
      <c r="AD319" s="264">
        <f>72*2</f>
        <v>144</v>
      </c>
      <c r="AE319" s="259">
        <f>72+57</f>
        <v>129</v>
      </c>
      <c r="AF319" s="264">
        <f>72*2</f>
        <v>144</v>
      </c>
      <c r="AG319" s="259">
        <f>72+57</f>
        <v>129</v>
      </c>
      <c r="AH319" s="264">
        <f>72*2</f>
        <v>144</v>
      </c>
      <c r="AI319" s="259">
        <f>72+57</f>
        <v>129</v>
      </c>
    </row>
    <row r="320" spans="1:35" x14ac:dyDescent="0.15">
      <c r="A320" s="57">
        <v>2</v>
      </c>
      <c r="B320" s="545" t="s">
        <v>889</v>
      </c>
      <c r="C320" s="546"/>
      <c r="D320" s="546"/>
      <c r="E320" s="547"/>
      <c r="F320" s="545" t="s">
        <v>135</v>
      </c>
      <c r="G320" s="547"/>
      <c r="H320" s="45" t="s">
        <v>1045</v>
      </c>
      <c r="I320" s="45" t="s">
        <v>1047</v>
      </c>
      <c r="J320" s="46">
        <f>IF(G278=65,M285-V320,IF(G278=55,M285-X320,IF(G278=551,M285-Z320,IF(G278=60,M285-AB320,IF(G278=601,M285-AD320,IF(G278=70,M285-AF320,IF(G278=75,M285-AH320)))))))</f>
        <v>434</v>
      </c>
      <c r="K320" s="70">
        <f>IF(G278=65,M283-W320,IF(G278=55,M283-Y320,IF(G278=551,M283-AA320,IF(G278=60,M283-AC320,IF(G278=601,M283-AE320,IF(G278=70,M283-AG320,IF(G278=75,M283-AI320)))))))</f>
        <v>349</v>
      </c>
      <c r="L320" s="70">
        <v>1</v>
      </c>
      <c r="M320" s="46">
        <f>J320*K320*L320/1000000</f>
        <v>0.15146599999999999</v>
      </c>
      <c r="N320" s="46"/>
      <c r="O320" s="46">
        <f>N320*M320</f>
        <v>0</v>
      </c>
      <c r="P320" s="71"/>
      <c r="Q320" s="240"/>
      <c r="R320" s="72"/>
      <c r="S320" s="72"/>
      <c r="T320" s="456" t="s">
        <v>1599</v>
      </c>
      <c r="U320" s="374" t="s">
        <v>1601</v>
      </c>
      <c r="V320" s="259">
        <f>33*2</f>
        <v>66</v>
      </c>
      <c r="W320" s="259">
        <f>33+18</f>
        <v>51</v>
      </c>
      <c r="X320" s="264">
        <f>35*2</f>
        <v>70</v>
      </c>
      <c r="Y320" s="259">
        <f>35+20</f>
        <v>55</v>
      </c>
      <c r="Z320" s="264">
        <f>35*2</f>
        <v>70</v>
      </c>
      <c r="AA320" s="259">
        <f>35+20</f>
        <v>55</v>
      </c>
      <c r="AB320" s="264">
        <f>35*2</f>
        <v>70</v>
      </c>
      <c r="AC320" s="259">
        <f>35+20</f>
        <v>55</v>
      </c>
      <c r="AD320" s="264">
        <f>35*2</f>
        <v>70</v>
      </c>
      <c r="AE320" s="259">
        <f>35+20</f>
        <v>55</v>
      </c>
      <c r="AF320" s="264">
        <f>35*2</f>
        <v>70</v>
      </c>
      <c r="AG320" s="259">
        <f>35+20</f>
        <v>55</v>
      </c>
      <c r="AH320" s="264">
        <f>35*2</f>
        <v>70</v>
      </c>
      <c r="AI320" s="259">
        <f>35+20</f>
        <v>55</v>
      </c>
    </row>
    <row r="321" spans="1:23" x14ac:dyDescent="0.15">
      <c r="A321" s="395">
        <v>3</v>
      </c>
      <c r="B321" s="545"/>
      <c r="C321" s="546"/>
      <c r="D321" s="546"/>
      <c r="E321" s="547"/>
      <c r="F321" s="545"/>
      <c r="G321" s="547"/>
      <c r="H321" s="45"/>
      <c r="I321" s="45"/>
      <c r="J321" s="46"/>
      <c r="K321" s="57"/>
      <c r="L321" s="70"/>
      <c r="M321" s="46"/>
      <c r="N321" s="46"/>
      <c r="O321" s="46"/>
      <c r="P321" s="48"/>
      <c r="Q321" s="211"/>
      <c r="R321" s="73"/>
      <c r="S321" s="73"/>
    </row>
    <row r="322" spans="1:23" x14ac:dyDescent="0.15">
      <c r="A322" s="395">
        <v>4</v>
      </c>
      <c r="B322" s="435"/>
      <c r="C322" s="435"/>
      <c r="D322" s="435"/>
      <c r="E322" s="436"/>
      <c r="F322" s="434"/>
      <c r="G322" s="436"/>
      <c r="H322" s="207"/>
      <c r="I322" s="207"/>
      <c r="J322" s="208"/>
      <c r="K322" s="396"/>
      <c r="L322" s="239"/>
      <c r="M322" s="208"/>
      <c r="N322" s="208"/>
      <c r="O322" s="208"/>
      <c r="P322" s="437"/>
      <c r="Q322" s="336"/>
      <c r="R322" s="117"/>
      <c r="S322" s="117"/>
    </row>
    <row r="323" spans="1:23" x14ac:dyDescent="0.15">
      <c r="A323" s="395">
        <v>5</v>
      </c>
      <c r="B323" s="435"/>
      <c r="C323" s="435"/>
      <c r="D323" s="435"/>
      <c r="E323" s="436"/>
      <c r="F323" s="434"/>
      <c r="G323" s="436"/>
      <c r="H323" s="207"/>
      <c r="I323" s="207"/>
      <c r="J323" s="208"/>
      <c r="K323" s="396"/>
      <c r="L323" s="239"/>
      <c r="M323" s="208"/>
      <c r="N323" s="208"/>
      <c r="O323" s="208"/>
      <c r="P323" s="437"/>
      <c r="Q323" s="336"/>
      <c r="R323" s="117"/>
      <c r="S323" s="117"/>
    </row>
    <row r="324" spans="1:23" x14ac:dyDescent="0.15">
      <c r="A324" s="395">
        <v>6</v>
      </c>
      <c r="B324" s="435"/>
      <c r="C324" s="435"/>
      <c r="D324" s="435"/>
      <c r="E324" s="436"/>
      <c r="F324" s="434"/>
      <c r="G324" s="436"/>
      <c r="H324" s="207"/>
      <c r="I324" s="207"/>
      <c r="J324" s="208"/>
      <c r="K324" s="396"/>
      <c r="L324" s="239"/>
      <c r="M324" s="208"/>
      <c r="N324" s="208"/>
      <c r="O324" s="208"/>
      <c r="P324" s="437"/>
      <c r="Q324" s="336"/>
      <c r="R324" s="117"/>
      <c r="S324" s="117"/>
    </row>
    <row r="325" spans="1:23" x14ac:dyDescent="0.15">
      <c r="A325" s="552"/>
      <c r="B325" s="557"/>
      <c r="C325" s="557"/>
      <c r="D325" s="557"/>
      <c r="E325" s="553"/>
      <c r="F325" s="554" t="s">
        <v>56</v>
      </c>
      <c r="G325" s="554"/>
      <c r="H325" s="554"/>
      <c r="I325" s="554"/>
      <c r="J325" s="570"/>
      <c r="K325" s="570"/>
      <c r="L325" s="554"/>
      <c r="M325" s="62">
        <f>SUM(M319:M324)</f>
        <v>0.43046600000000002</v>
      </c>
      <c r="N325" s="75"/>
      <c r="O325" s="62">
        <f>SUM(O319:O324)</f>
        <v>0</v>
      </c>
      <c r="P325" s="63" t="s">
        <v>57</v>
      </c>
      <c r="Q325" s="337"/>
      <c r="R325" s="64"/>
      <c r="S325" s="64"/>
    </row>
    <row r="326" spans="1:23" ht="24" x14ac:dyDescent="0.15">
      <c r="A326" s="347"/>
      <c r="B326" s="565" t="s">
        <v>58</v>
      </c>
      <c r="C326" s="561"/>
      <c r="D326" s="561"/>
      <c r="E326" s="566"/>
      <c r="F326" s="565" t="s">
        <v>26</v>
      </c>
      <c r="G326" s="566"/>
      <c r="H326" s="66" t="s">
        <v>59</v>
      </c>
      <c r="I326" s="66"/>
      <c r="J326" s="66" t="s">
        <v>60</v>
      </c>
      <c r="K326" s="66" t="s">
        <v>6</v>
      </c>
      <c r="L326" s="67" t="s">
        <v>61</v>
      </c>
      <c r="M326" s="66" t="s">
        <v>30</v>
      </c>
      <c r="N326" s="68" t="s">
        <v>62</v>
      </c>
      <c r="O326" s="68" t="s">
        <v>34</v>
      </c>
      <c r="P326" s="69" t="s">
        <v>57</v>
      </c>
      <c r="Q326" s="42"/>
      <c r="R326" s="67"/>
      <c r="S326" s="67"/>
    </row>
    <row r="327" spans="1:23" ht="25.5" customHeight="1" x14ac:dyDescent="0.15">
      <c r="A327" s="57">
        <v>1</v>
      </c>
      <c r="B327" s="545"/>
      <c r="C327" s="546"/>
      <c r="D327" s="546"/>
      <c r="E327" s="547"/>
      <c r="F327" s="545" t="s">
        <v>63</v>
      </c>
      <c r="G327" s="547"/>
      <c r="H327" s="45"/>
      <c r="I327" s="45"/>
      <c r="J327" s="45"/>
      <c r="K327" s="46" t="str">
        <f>VLOOKUP($F:$F,材料单价表!$B$3:$G$42,4,0)</f>
        <v>套</v>
      </c>
      <c r="L327" s="72"/>
      <c r="M327" s="46">
        <v>1</v>
      </c>
      <c r="N327" s="46">
        <f>VLOOKUP($F:$F,材料单价表!$B$3:$G$42,5,0)</f>
        <v>0</v>
      </c>
      <c r="O327" s="46">
        <f t="shared" ref="O327" si="42">N327*M327</f>
        <v>0</v>
      </c>
      <c r="P327" s="48"/>
      <c r="Q327" s="211"/>
      <c r="R327" s="73"/>
      <c r="S327" s="73"/>
    </row>
    <row r="328" spans="1:23" x14ac:dyDescent="0.15">
      <c r="A328" s="552"/>
      <c r="B328" s="557"/>
      <c r="C328" s="557"/>
      <c r="D328" s="557"/>
      <c r="E328" s="553"/>
      <c r="F328" s="554" t="s">
        <v>64</v>
      </c>
      <c r="G328" s="554"/>
      <c r="H328" s="554"/>
      <c r="I328" s="554"/>
      <c r="J328" s="570"/>
      <c r="K328" s="570"/>
      <c r="L328" s="554"/>
      <c r="M328" s="62">
        <f>M327</f>
        <v>1</v>
      </c>
      <c r="N328" s="75"/>
      <c r="O328" s="62">
        <f>SUM(O327:O327)</f>
        <v>0</v>
      </c>
      <c r="P328" s="63" t="s">
        <v>57</v>
      </c>
      <c r="Q328" s="337"/>
      <c r="R328" s="64"/>
      <c r="S328" s="64"/>
    </row>
    <row r="329" spans="1:23" ht="24" x14ac:dyDescent="0.15">
      <c r="A329" s="347"/>
      <c r="B329" s="565" t="s">
        <v>65</v>
      </c>
      <c r="C329" s="561"/>
      <c r="D329" s="561"/>
      <c r="E329" s="566"/>
      <c r="F329" s="565" t="s">
        <v>26</v>
      </c>
      <c r="G329" s="566"/>
      <c r="H329" s="66" t="s">
        <v>59</v>
      </c>
      <c r="I329" s="66"/>
      <c r="J329" s="66" t="s">
        <v>60</v>
      </c>
      <c r="K329" s="66" t="s">
        <v>6</v>
      </c>
      <c r="L329" s="67" t="s">
        <v>61</v>
      </c>
      <c r="M329" s="66" t="s">
        <v>30</v>
      </c>
      <c r="N329" s="68" t="s">
        <v>62</v>
      </c>
      <c r="O329" s="68" t="s">
        <v>34</v>
      </c>
      <c r="P329" s="69" t="s">
        <v>57</v>
      </c>
      <c r="Q329" s="42"/>
      <c r="R329" s="67"/>
      <c r="S329" s="67"/>
    </row>
    <row r="330" spans="1:23" ht="13.5" customHeight="1" x14ac:dyDescent="0.15">
      <c r="A330" s="76">
        <v>1</v>
      </c>
      <c r="B330" s="545"/>
      <c r="C330" s="546"/>
      <c r="D330" s="546"/>
      <c r="E330" s="547"/>
      <c r="F330" s="558" t="s">
        <v>66</v>
      </c>
      <c r="G330" s="559"/>
      <c r="H330" s="78"/>
      <c r="I330" s="78"/>
      <c r="J330" s="77"/>
      <c r="K330" s="46" t="str">
        <f>VLOOKUP($F:$F,材料单价表!$B$3:$G$42,4,0)</f>
        <v>m</v>
      </c>
      <c r="L330" s="46"/>
      <c r="M330" s="80">
        <f>M291</f>
        <v>4</v>
      </c>
      <c r="N330" s="46">
        <f>VLOOKUP($F:$F,材料单价表!$B$3:$G$42,5,0)</f>
        <v>0</v>
      </c>
      <c r="O330" s="46">
        <f>N330*M330</f>
        <v>0</v>
      </c>
      <c r="P330" s="48"/>
      <c r="Q330" s="59"/>
      <c r="R330" s="81"/>
      <c r="S330" s="79"/>
    </row>
    <row r="331" spans="1:23" ht="15.75" customHeight="1" x14ac:dyDescent="0.15">
      <c r="A331" s="76">
        <v>2</v>
      </c>
      <c r="B331" s="545"/>
      <c r="C331" s="546"/>
      <c r="D331" s="546"/>
      <c r="E331" s="547"/>
      <c r="F331" s="558" t="s">
        <v>68</v>
      </c>
      <c r="G331" s="559"/>
      <c r="H331" s="78" t="s">
        <v>67</v>
      </c>
      <c r="I331" s="78"/>
      <c r="J331" s="77"/>
      <c r="K331" s="46" t="str">
        <f>VLOOKUP($F:$F,材料单价表!$B$3:$G$42,4,0)</f>
        <v>m</v>
      </c>
      <c r="L331" s="46"/>
      <c r="M331" s="80">
        <f>(J299*K299+J302*K302+J300*K300+J301*K301)/1000*2</f>
        <v>7.9952000000000005</v>
      </c>
      <c r="N331" s="46">
        <f>VLOOKUP($F:$F,材料单价表!$B$3:$G$42,5,0)</f>
        <v>0</v>
      </c>
      <c r="O331" s="46">
        <f t="shared" ref="O331:O337" si="43">N331*M331</f>
        <v>0</v>
      </c>
      <c r="P331" s="48"/>
      <c r="Q331" s="59"/>
      <c r="R331" s="81"/>
      <c r="S331" s="79"/>
      <c r="V331" s="104"/>
      <c r="W331" s="104"/>
    </row>
    <row r="332" spans="1:23" ht="13.5" customHeight="1" x14ac:dyDescent="0.15">
      <c r="A332" s="76">
        <v>3</v>
      </c>
      <c r="B332" s="545"/>
      <c r="C332" s="546"/>
      <c r="D332" s="546"/>
      <c r="E332" s="547"/>
      <c r="F332" s="558" t="s">
        <v>68</v>
      </c>
      <c r="G332" s="559"/>
      <c r="H332" s="78" t="s">
        <v>69</v>
      </c>
      <c r="I332" s="78"/>
      <c r="J332" s="77"/>
      <c r="K332" s="46" t="str">
        <f>VLOOKUP($F:$F,材料单价表!$B$3:$G$42,4,0)</f>
        <v>m</v>
      </c>
      <c r="L332" s="46"/>
      <c r="M332" s="80">
        <f>M291</f>
        <v>4</v>
      </c>
      <c r="N332" s="46">
        <f>VLOOKUP($F:$F,材料单价表!$B$3:$G$42,5,0)</f>
        <v>0</v>
      </c>
      <c r="O332" s="46">
        <f t="shared" si="43"/>
        <v>0</v>
      </c>
      <c r="P332" s="48"/>
      <c r="Q332" s="59"/>
      <c r="R332" s="81"/>
      <c r="S332" s="79"/>
      <c r="V332" s="104"/>
      <c r="W332" s="104"/>
    </row>
    <row r="333" spans="1:23" ht="13.5" customHeight="1" x14ac:dyDescent="0.15">
      <c r="A333" s="76">
        <v>4</v>
      </c>
      <c r="B333" s="545"/>
      <c r="C333" s="546"/>
      <c r="D333" s="546"/>
      <c r="E333" s="547"/>
      <c r="F333" s="558" t="s">
        <v>68</v>
      </c>
      <c r="G333" s="559"/>
      <c r="H333" s="78" t="s">
        <v>70</v>
      </c>
      <c r="I333" s="78"/>
      <c r="J333" s="77"/>
      <c r="K333" s="46" t="str">
        <f>VLOOKUP($F:$F,材料单价表!$B$3:$G$42,4,0)</f>
        <v>m</v>
      </c>
      <c r="L333" s="46"/>
      <c r="M333" s="80">
        <f>M291</f>
        <v>4</v>
      </c>
      <c r="N333" s="46">
        <f>VLOOKUP($F:$F,材料单价表!$B$3:$G$42,5,0)</f>
        <v>0</v>
      </c>
      <c r="O333" s="46">
        <f t="shared" si="43"/>
        <v>0</v>
      </c>
      <c r="P333" s="48"/>
      <c r="Q333" s="59"/>
      <c r="R333" s="81"/>
      <c r="S333" s="79"/>
      <c r="V333" s="104"/>
      <c r="W333" s="104"/>
    </row>
    <row r="334" spans="1:23" ht="13.5" customHeight="1" x14ac:dyDescent="0.15">
      <c r="A334" s="76">
        <v>5</v>
      </c>
      <c r="B334" s="545"/>
      <c r="C334" s="546"/>
      <c r="D334" s="546"/>
      <c r="E334" s="547"/>
      <c r="F334" s="558" t="s">
        <v>71</v>
      </c>
      <c r="G334" s="559"/>
      <c r="H334" s="78"/>
      <c r="I334" s="78"/>
      <c r="J334" s="77"/>
      <c r="K334" s="46" t="str">
        <f>VLOOKUP($F:$F,材料单价表!$B$3:$G$42,4,0)</f>
        <v>个</v>
      </c>
      <c r="L334" s="79"/>
      <c r="M334" s="80">
        <f>K303+K304+K306</f>
        <v>10</v>
      </c>
      <c r="N334" s="46">
        <f>VLOOKUP($F:$F,材料单价表!$B$3:$G$42,5,0)</f>
        <v>0</v>
      </c>
      <c r="O334" s="46">
        <f t="shared" si="43"/>
        <v>0</v>
      </c>
      <c r="P334" s="48"/>
      <c r="Q334" s="59"/>
      <c r="R334" s="81"/>
      <c r="S334" s="79"/>
    </row>
    <row r="335" spans="1:23" ht="13.5" customHeight="1" x14ac:dyDescent="0.15">
      <c r="A335" s="76">
        <v>6</v>
      </c>
      <c r="B335" s="545"/>
      <c r="C335" s="546"/>
      <c r="D335" s="546"/>
      <c r="E335" s="547"/>
      <c r="F335" s="558" t="s">
        <v>121</v>
      </c>
      <c r="G335" s="559"/>
      <c r="H335" s="78"/>
      <c r="I335" s="78"/>
      <c r="J335" s="77"/>
      <c r="K335" s="46" t="str">
        <f>VLOOKUP($F:$F,材料单价表!$B$3:$G$42,4,0)</f>
        <v>m</v>
      </c>
      <c r="L335" s="79"/>
      <c r="M335" s="80">
        <f>(J295*K295+J296*K296)/1000*2</f>
        <v>5.3079999999999998</v>
      </c>
      <c r="N335" s="46">
        <f>VLOOKUP($F:$F,材料单价表!$B$3:$G$42,5,0)</f>
        <v>0</v>
      </c>
      <c r="O335" s="46">
        <f t="shared" si="43"/>
        <v>0</v>
      </c>
      <c r="P335" s="48"/>
      <c r="Q335" s="59"/>
      <c r="R335" s="81"/>
      <c r="S335" s="46"/>
    </row>
    <row r="336" spans="1:23" ht="13.5" customHeight="1" x14ac:dyDescent="0.15">
      <c r="A336" s="76">
        <v>7</v>
      </c>
      <c r="B336" s="545"/>
      <c r="C336" s="546"/>
      <c r="D336" s="546"/>
      <c r="E336" s="547"/>
      <c r="F336" s="558" t="s">
        <v>121</v>
      </c>
      <c r="G336" s="559"/>
      <c r="H336" s="78"/>
      <c r="I336" s="78"/>
      <c r="J336" s="77"/>
      <c r="K336" s="46" t="str">
        <f>VLOOKUP($F:$F,材料单价表!$B$3:$G$42,4,0)</f>
        <v>m</v>
      </c>
      <c r="L336" s="79"/>
      <c r="M336" s="80">
        <f>(J296*K296+J295*K295)/1000*1</f>
        <v>2.6539999999999999</v>
      </c>
      <c r="N336" s="46">
        <f>VLOOKUP($F:$F,材料单价表!$B$3:$G$42,5,0)</f>
        <v>0</v>
      </c>
      <c r="O336" s="46">
        <f t="shared" si="43"/>
        <v>0</v>
      </c>
      <c r="P336" s="48"/>
      <c r="Q336" s="59"/>
      <c r="R336" s="81"/>
      <c r="S336" s="46"/>
    </row>
    <row r="337" spans="1:19" x14ac:dyDescent="0.15">
      <c r="A337" s="76">
        <v>8</v>
      </c>
      <c r="B337" s="545"/>
      <c r="C337" s="546"/>
      <c r="D337" s="546"/>
      <c r="E337" s="547"/>
      <c r="F337" s="558" t="s">
        <v>72</v>
      </c>
      <c r="G337" s="559"/>
      <c r="H337" s="45"/>
      <c r="I337" s="45"/>
      <c r="J337" s="45"/>
      <c r="K337" s="46" t="str">
        <f>VLOOKUP($F:$F,材料单价表!$B$3:$G$42,4,0)</f>
        <v>m2</v>
      </c>
      <c r="L337" s="72"/>
      <c r="M337" s="46">
        <f>M342</f>
        <v>0.84</v>
      </c>
      <c r="N337" s="46">
        <f>VLOOKUP($F:$F,材料单价表!$B$3:$G$42,5,0)</f>
        <v>0</v>
      </c>
      <c r="O337" s="46">
        <f t="shared" si="43"/>
        <v>0</v>
      </c>
      <c r="P337" s="48"/>
      <c r="Q337" s="211"/>
      <c r="R337" s="73"/>
      <c r="S337" s="73"/>
    </row>
    <row r="338" spans="1:19" x14ac:dyDescent="0.15">
      <c r="A338" s="76">
        <v>9</v>
      </c>
      <c r="B338" s="545"/>
      <c r="C338" s="546"/>
      <c r="D338" s="546"/>
      <c r="E338" s="547"/>
      <c r="F338" s="558"/>
      <c r="G338" s="559"/>
      <c r="H338" s="45"/>
      <c r="I338" s="45"/>
      <c r="J338" s="45"/>
      <c r="K338" s="45"/>
      <c r="L338" s="72"/>
      <c r="M338" s="46"/>
      <c r="N338" s="46"/>
      <c r="O338" s="82"/>
      <c r="P338" s="48"/>
      <c r="Q338" s="211"/>
      <c r="R338" s="73"/>
      <c r="S338" s="73"/>
    </row>
    <row r="339" spans="1:19" x14ac:dyDescent="0.15">
      <c r="A339" s="552"/>
      <c r="B339" s="557"/>
      <c r="C339" s="557"/>
      <c r="D339" s="557"/>
      <c r="E339" s="553"/>
      <c r="F339" s="552" t="s">
        <v>73</v>
      </c>
      <c r="G339" s="557"/>
      <c r="H339" s="557"/>
      <c r="I339" s="557"/>
      <c r="J339" s="557"/>
      <c r="K339" s="557"/>
      <c r="L339" s="557"/>
      <c r="M339" s="61"/>
      <c r="N339" s="61"/>
      <c r="O339" s="62">
        <f>SUM(O330:O338)</f>
        <v>0</v>
      </c>
      <c r="P339" s="63" t="s">
        <v>57</v>
      </c>
      <c r="Q339" s="337"/>
      <c r="R339" s="64"/>
      <c r="S339" s="64"/>
    </row>
    <row r="340" spans="1:19" x14ac:dyDescent="0.15">
      <c r="A340" s="552"/>
      <c r="B340" s="557"/>
      <c r="C340" s="557"/>
      <c r="D340" s="557"/>
      <c r="E340" s="553"/>
      <c r="F340" s="552" t="s">
        <v>74</v>
      </c>
      <c r="G340" s="557"/>
      <c r="H340" s="557"/>
      <c r="I340" s="557"/>
      <c r="J340" s="557"/>
      <c r="K340" s="557"/>
      <c r="L340" s="557"/>
      <c r="M340" s="557"/>
      <c r="N340" s="553"/>
      <c r="O340" s="62">
        <f>O339+O328+O325+O317</f>
        <v>0</v>
      </c>
      <c r="P340" s="63" t="s">
        <v>57</v>
      </c>
      <c r="Q340" s="337"/>
      <c r="R340" s="64"/>
      <c r="S340" s="64"/>
    </row>
    <row r="341" spans="1:19" ht="24" x14ac:dyDescent="0.15">
      <c r="A341" s="347"/>
      <c r="B341" s="565" t="s">
        <v>75</v>
      </c>
      <c r="C341" s="561"/>
      <c r="D341" s="561"/>
      <c r="E341" s="566"/>
      <c r="F341" s="565" t="s">
        <v>26</v>
      </c>
      <c r="G341" s="566"/>
      <c r="H341" s="66"/>
      <c r="I341" s="66"/>
      <c r="J341" s="66"/>
      <c r="K341" s="66" t="s">
        <v>6</v>
      </c>
      <c r="L341" s="83" t="s">
        <v>61</v>
      </c>
      <c r="M341" s="66" t="s">
        <v>76</v>
      </c>
      <c r="N341" s="68" t="s">
        <v>62</v>
      </c>
      <c r="O341" s="68" t="s">
        <v>34</v>
      </c>
      <c r="P341" s="84" t="s">
        <v>57</v>
      </c>
      <c r="Q341" s="84"/>
      <c r="R341" s="67"/>
      <c r="S341" s="67"/>
    </row>
    <row r="342" spans="1:19" x14ac:dyDescent="0.15">
      <c r="A342" s="57">
        <v>1</v>
      </c>
      <c r="B342" s="545"/>
      <c r="C342" s="546"/>
      <c r="D342" s="546"/>
      <c r="E342" s="547"/>
      <c r="F342" s="545" t="s">
        <v>77</v>
      </c>
      <c r="G342" s="547"/>
      <c r="H342" s="45"/>
      <c r="I342" s="45"/>
      <c r="J342" s="46"/>
      <c r="K342" s="45" t="s">
        <v>78</v>
      </c>
      <c r="L342" s="72"/>
      <c r="M342" s="85">
        <f>O278</f>
        <v>0.84</v>
      </c>
      <c r="N342" s="46">
        <f>VLOOKUP($F:$F,材料单价表!$B$3:$G$42,5,0)</f>
        <v>0</v>
      </c>
      <c r="O342" s="46">
        <f>N342*M342</f>
        <v>0</v>
      </c>
      <c r="P342" s="48"/>
      <c r="Q342" s="211"/>
      <c r="R342" s="72"/>
      <c r="S342" s="72"/>
    </row>
    <row r="343" spans="1:19" x14ac:dyDescent="0.15">
      <c r="A343" s="57">
        <v>2</v>
      </c>
      <c r="B343" s="545"/>
      <c r="C343" s="546"/>
      <c r="D343" s="546"/>
      <c r="E343" s="547"/>
      <c r="F343" s="545" t="s">
        <v>79</v>
      </c>
      <c r="G343" s="547"/>
      <c r="H343" s="45"/>
      <c r="I343" s="45"/>
      <c r="J343" s="46"/>
      <c r="K343" s="45" t="s">
        <v>78</v>
      </c>
      <c r="L343" s="72"/>
      <c r="M343" s="85">
        <f>M342</f>
        <v>0.84</v>
      </c>
      <c r="N343" s="46">
        <f>VLOOKUP($F:$F,材料单价表!$B$3:$G$42,5,0)</f>
        <v>0</v>
      </c>
      <c r="O343" s="46">
        <f>N343*M343</f>
        <v>0</v>
      </c>
      <c r="P343" s="48"/>
      <c r="Q343" s="211"/>
      <c r="R343" s="72"/>
      <c r="S343" s="72"/>
    </row>
    <row r="344" spans="1:19" ht="24.75" customHeight="1" x14ac:dyDescent="0.15">
      <c r="A344" s="552"/>
      <c r="B344" s="557"/>
      <c r="C344" s="557"/>
      <c r="D344" s="557"/>
      <c r="E344" s="553"/>
      <c r="F344" s="552" t="s">
        <v>80</v>
      </c>
      <c r="G344" s="553"/>
      <c r="H344" s="86"/>
      <c r="I344" s="325"/>
      <c r="J344" s="554" t="s">
        <v>81</v>
      </c>
      <c r="K344" s="554"/>
      <c r="L344" s="554"/>
      <c r="M344" s="554"/>
      <c r="N344" s="87"/>
      <c r="O344" s="62">
        <f>O340+O342+O343</f>
        <v>0</v>
      </c>
      <c r="P344" s="63" t="s">
        <v>57</v>
      </c>
      <c r="Q344" s="337"/>
      <c r="R344" s="64"/>
      <c r="S344" s="64"/>
    </row>
    <row r="345" spans="1:19" ht="24" customHeight="1" x14ac:dyDescent="0.15">
      <c r="A345" s="552"/>
      <c r="B345" s="557"/>
      <c r="C345" s="557"/>
      <c r="D345" s="557"/>
      <c r="E345" s="553"/>
      <c r="F345" s="555" t="s">
        <v>82</v>
      </c>
      <c r="G345" s="556"/>
      <c r="H345" s="105"/>
      <c r="I345" s="324"/>
      <c r="J345" s="552" t="s">
        <v>81</v>
      </c>
      <c r="K345" s="557"/>
      <c r="L345" s="557"/>
      <c r="M345" s="557"/>
      <c r="N345" s="62"/>
      <c r="O345" s="62">
        <f>O344/O278</f>
        <v>0</v>
      </c>
      <c r="P345" s="89" t="s">
        <v>57</v>
      </c>
      <c r="Q345" s="89"/>
      <c r="R345" s="90"/>
      <c r="S345" s="90"/>
    </row>
    <row r="346" spans="1:19" ht="18.75" customHeight="1" x14ac:dyDescent="0.15">
      <c r="A346" s="549" t="s">
        <v>0</v>
      </c>
      <c r="B346" s="549"/>
      <c r="C346" s="549"/>
      <c r="D346" s="549"/>
      <c r="E346" s="549"/>
      <c r="F346" s="549"/>
      <c r="G346" s="549"/>
      <c r="H346" s="549"/>
      <c r="I346" s="549"/>
      <c r="J346" s="549"/>
      <c r="K346" s="549"/>
      <c r="L346" s="550"/>
      <c r="M346" s="549"/>
      <c r="N346" s="549"/>
      <c r="O346" s="549"/>
      <c r="P346" s="549"/>
      <c r="Q346" s="549"/>
      <c r="R346" s="551"/>
      <c r="S346" s="551"/>
    </row>
    <row r="347" spans="1:19" x14ac:dyDescent="0.15">
      <c r="A347" s="2" t="s">
        <v>1</v>
      </c>
      <c r="B347" s="339" t="str">
        <f>$B$2</f>
        <v>NC</v>
      </c>
      <c r="C347" s="3">
        <v>6</v>
      </c>
      <c r="D347" s="3"/>
      <c r="E347" s="3"/>
      <c r="F347" s="4" t="s">
        <v>2</v>
      </c>
      <c r="G347" s="5">
        <v>65</v>
      </c>
      <c r="H347" s="106" t="s">
        <v>126</v>
      </c>
      <c r="I347" s="106"/>
      <c r="J347" s="4" t="s">
        <v>3</v>
      </c>
      <c r="K347" s="6">
        <f>L350</f>
        <v>1300</v>
      </c>
      <c r="L347" s="7" t="s">
        <v>83</v>
      </c>
      <c r="M347" s="6">
        <f>L349</f>
        <v>1400</v>
      </c>
      <c r="N347" s="8" t="s">
        <v>4</v>
      </c>
      <c r="O347" s="9">
        <f>M359</f>
        <v>1.82</v>
      </c>
      <c r="P347" s="10"/>
      <c r="Q347" s="10"/>
      <c r="R347" s="10" t="s">
        <v>5</v>
      </c>
      <c r="S347" s="11"/>
    </row>
    <row r="348" spans="1:19" ht="14.25" x14ac:dyDescent="0.2">
      <c r="A348" s="12"/>
      <c r="B348" s="13"/>
      <c r="C348" s="13"/>
      <c r="D348" s="13"/>
      <c r="E348" s="13"/>
      <c r="F348" s="14"/>
      <c r="G348" s="14"/>
      <c r="H348" s="15"/>
      <c r="I348" s="15"/>
      <c r="J348" s="16"/>
      <c r="K348" s="16" t="s">
        <v>6</v>
      </c>
      <c r="L348" s="17" t="s">
        <v>7</v>
      </c>
      <c r="M348" s="16" t="s">
        <v>8</v>
      </c>
      <c r="N348" s="18"/>
      <c r="O348" s="548" t="s">
        <v>940</v>
      </c>
      <c r="P348" s="548"/>
      <c r="Q348" s="16" t="s">
        <v>1018</v>
      </c>
      <c r="R348" s="529" t="s">
        <v>1066</v>
      </c>
      <c r="S348" s="530" t="s">
        <v>1592</v>
      </c>
    </row>
    <row r="349" spans="1:19" ht="14.25" x14ac:dyDescent="0.2">
      <c r="A349" s="398" t="s">
        <v>884</v>
      </c>
      <c r="B349" s="401" t="s">
        <v>890</v>
      </c>
      <c r="C349" s="22"/>
      <c r="D349" s="22"/>
      <c r="E349" s="22"/>
      <c r="F349" s="23"/>
      <c r="G349" s="23"/>
      <c r="H349" s="107"/>
      <c r="I349" s="107"/>
      <c r="J349" s="24" t="s">
        <v>9</v>
      </c>
      <c r="K349" s="16" t="s">
        <v>10</v>
      </c>
      <c r="L349" s="25">
        <v>1400</v>
      </c>
      <c r="M349" s="113">
        <f>L349-M358*2</f>
        <v>1300</v>
      </c>
      <c r="N349" s="18"/>
      <c r="O349" s="356" t="s">
        <v>941</v>
      </c>
      <c r="P349" s="357"/>
      <c r="Q349" s="16" t="s">
        <v>1019</v>
      </c>
      <c r="R349" s="529"/>
      <c r="S349" s="530"/>
    </row>
    <row r="350" spans="1:19" ht="14.25" x14ac:dyDescent="0.2">
      <c r="A350" s="21"/>
      <c r="B350" s="22"/>
      <c r="C350" s="22"/>
      <c r="D350" s="22"/>
      <c r="E350" s="22"/>
      <c r="F350" s="23"/>
      <c r="G350" s="23"/>
      <c r="H350" s="18"/>
      <c r="I350" s="18"/>
      <c r="J350" s="24" t="s">
        <v>11</v>
      </c>
      <c r="K350" s="16" t="s">
        <v>10</v>
      </c>
      <c r="L350" s="25">
        <v>1300</v>
      </c>
      <c r="M350" s="113">
        <f>L350-M358*2</f>
        <v>1200</v>
      </c>
      <c r="N350" s="18"/>
      <c r="O350" s="356" t="s">
        <v>924</v>
      </c>
      <c r="P350" s="357"/>
      <c r="Q350" s="16" t="s">
        <v>1020</v>
      </c>
      <c r="R350" s="529" t="s">
        <v>1067</v>
      </c>
      <c r="S350" s="530" t="s">
        <v>1086</v>
      </c>
    </row>
    <row r="351" spans="1:19" ht="14.25" x14ac:dyDescent="0.2">
      <c r="A351" s="21"/>
      <c r="B351" s="22"/>
      <c r="C351" s="22"/>
      <c r="D351" s="22"/>
      <c r="E351" s="22"/>
      <c r="F351" s="23"/>
      <c r="G351" s="23"/>
      <c r="H351" s="18"/>
      <c r="I351" s="18"/>
      <c r="J351" s="24" t="s">
        <v>12</v>
      </c>
      <c r="K351" s="16" t="s">
        <v>10</v>
      </c>
      <c r="L351" s="26"/>
      <c r="M351" s="113">
        <f>M349-M352</f>
        <v>900</v>
      </c>
      <c r="N351" s="18"/>
      <c r="O351" s="356" t="s">
        <v>925</v>
      </c>
      <c r="P351" s="357"/>
      <c r="Q351" s="16" t="s">
        <v>1021</v>
      </c>
      <c r="R351" s="529"/>
      <c r="S351" s="530"/>
    </row>
    <row r="352" spans="1:19" ht="14.25" x14ac:dyDescent="0.2">
      <c r="A352" s="21"/>
      <c r="B352" s="22"/>
      <c r="C352" s="22"/>
      <c r="D352" s="22"/>
      <c r="E352" s="22"/>
      <c r="F352" s="23"/>
      <c r="G352" s="23"/>
      <c r="H352" s="18"/>
      <c r="I352" s="18"/>
      <c r="J352" s="24" t="s">
        <v>13</v>
      </c>
      <c r="K352" s="16" t="s">
        <v>10</v>
      </c>
      <c r="L352" s="26"/>
      <c r="M352" s="25">
        <v>400</v>
      </c>
      <c r="N352" s="540" t="s">
        <v>142</v>
      </c>
      <c r="O352" s="356" t="s">
        <v>926</v>
      </c>
      <c r="P352" s="357"/>
      <c r="Q352" s="16" t="s">
        <v>1022</v>
      </c>
      <c r="R352" s="27"/>
      <c r="S352" s="28"/>
    </row>
    <row r="353" spans="1:35" ht="14.25" x14ac:dyDescent="0.2">
      <c r="A353" s="21"/>
      <c r="B353" s="22"/>
      <c r="C353" s="22"/>
      <c r="D353" s="22"/>
      <c r="E353" s="22"/>
      <c r="F353" s="23"/>
      <c r="G353" s="23"/>
      <c r="H353" s="18"/>
      <c r="I353" s="18"/>
      <c r="J353" s="24" t="s">
        <v>14</v>
      </c>
      <c r="K353" s="16" t="s">
        <v>10</v>
      </c>
      <c r="L353" s="26"/>
      <c r="M353" s="113"/>
      <c r="N353" s="540"/>
      <c r="O353" s="356" t="s">
        <v>927</v>
      </c>
      <c r="P353" s="357"/>
      <c r="Q353" s="16" t="s">
        <v>1023</v>
      </c>
      <c r="R353" s="27"/>
      <c r="S353" s="28"/>
    </row>
    <row r="354" spans="1:35" ht="14.25" x14ac:dyDescent="0.2">
      <c r="A354" s="21"/>
      <c r="B354" s="22"/>
      <c r="C354" s="22"/>
      <c r="D354" s="22"/>
      <c r="E354" s="22"/>
      <c r="F354" s="23"/>
      <c r="G354" s="23"/>
      <c r="H354" s="18"/>
      <c r="I354" s="18"/>
      <c r="J354" s="24" t="s">
        <v>15</v>
      </c>
      <c r="K354" s="16" t="s">
        <v>10</v>
      </c>
      <c r="L354" s="26"/>
      <c r="M354" s="113">
        <f>M350/2</f>
        <v>600</v>
      </c>
      <c r="N354" s="540"/>
      <c r="O354" s="356" t="s">
        <v>928</v>
      </c>
      <c r="P354" s="357"/>
      <c r="Q354" s="16" t="s">
        <v>1005</v>
      </c>
      <c r="R354" s="27"/>
      <c r="S354" s="28"/>
    </row>
    <row r="355" spans="1:35" ht="14.25" x14ac:dyDescent="0.2">
      <c r="A355" s="21"/>
      <c r="B355" s="22"/>
      <c r="C355" s="22"/>
      <c r="D355" s="22"/>
      <c r="E355" s="22"/>
      <c r="F355" s="23"/>
      <c r="G355" s="23"/>
      <c r="H355" s="18"/>
      <c r="I355" s="18"/>
      <c r="J355" s="24" t="s">
        <v>16</v>
      </c>
      <c r="K355" s="16" t="s">
        <v>10</v>
      </c>
      <c r="L355" s="26"/>
      <c r="M355" s="113"/>
      <c r="N355" s="540"/>
      <c r="O355" s="356" t="s">
        <v>929</v>
      </c>
      <c r="P355" s="357"/>
      <c r="Q355" s="16" t="s">
        <v>1024</v>
      </c>
      <c r="R355" s="27"/>
      <c r="S355" s="28"/>
    </row>
    <row r="356" spans="1:35" ht="14.25" x14ac:dyDescent="0.2">
      <c r="A356" s="21"/>
      <c r="B356" s="22"/>
      <c r="C356" s="22"/>
      <c r="D356" s="22"/>
      <c r="E356" s="22"/>
      <c r="F356" s="23"/>
      <c r="G356" s="23"/>
      <c r="H356" s="18"/>
      <c r="I356" s="18"/>
      <c r="J356" s="24" t="s">
        <v>17</v>
      </c>
      <c r="K356" s="16" t="s">
        <v>10</v>
      </c>
      <c r="L356" s="26"/>
      <c r="M356" s="113"/>
      <c r="N356" s="540"/>
      <c r="O356" s="356" t="s">
        <v>930</v>
      </c>
      <c r="P356" s="357"/>
      <c r="Q356" s="16" t="s">
        <v>931</v>
      </c>
      <c r="R356" s="27"/>
      <c r="S356" s="28"/>
    </row>
    <row r="357" spans="1:35" ht="14.25" x14ac:dyDescent="0.2">
      <c r="A357" s="21"/>
      <c r="B357" s="22"/>
      <c r="C357" s="22"/>
      <c r="D357" s="22"/>
      <c r="E357" s="22"/>
      <c r="F357" s="23"/>
      <c r="G357" s="23"/>
      <c r="H357" s="18"/>
      <c r="I357" s="18"/>
      <c r="J357" s="24" t="s">
        <v>18</v>
      </c>
      <c r="K357" s="16" t="s">
        <v>10</v>
      </c>
      <c r="L357" s="26"/>
      <c r="M357" s="113"/>
      <c r="N357" s="540"/>
      <c r="O357" s="356" t="s">
        <v>932</v>
      </c>
      <c r="P357" s="357"/>
      <c r="Q357" s="16" t="s">
        <v>933</v>
      </c>
      <c r="R357" s="27"/>
      <c r="S357" s="28"/>
    </row>
    <row r="358" spans="1:35" ht="14.25" x14ac:dyDescent="0.2">
      <c r="A358" s="21"/>
      <c r="B358" s="22"/>
      <c r="C358" s="22"/>
      <c r="D358" s="22"/>
      <c r="E358" s="22"/>
      <c r="F358" s="23"/>
      <c r="G358" s="23"/>
      <c r="H358" s="18"/>
      <c r="I358" s="18"/>
      <c r="J358" s="24" t="s">
        <v>19</v>
      </c>
      <c r="K358" s="16" t="s">
        <v>10</v>
      </c>
      <c r="L358" s="26"/>
      <c r="M358" s="25">
        <v>50</v>
      </c>
      <c r="N358" s="540"/>
      <c r="O358" s="356" t="s">
        <v>934</v>
      </c>
      <c r="P358" s="357"/>
      <c r="Q358" s="16" t="s">
        <v>935</v>
      </c>
      <c r="R358" s="27"/>
      <c r="S358" s="28"/>
    </row>
    <row r="359" spans="1:35" ht="14.25" x14ac:dyDescent="0.2">
      <c r="A359" s="21"/>
      <c r="B359" s="22"/>
      <c r="C359" s="22"/>
      <c r="D359" s="22"/>
      <c r="E359" s="22"/>
      <c r="F359" s="23"/>
      <c r="G359" s="23"/>
      <c r="H359" s="18"/>
      <c r="I359" s="18"/>
      <c r="J359" s="29" t="s">
        <v>20</v>
      </c>
      <c r="K359" s="16" t="s">
        <v>21</v>
      </c>
      <c r="L359" s="30"/>
      <c r="M359" s="31">
        <f>L349*L350/1000000</f>
        <v>1.82</v>
      </c>
      <c r="N359" s="540"/>
      <c r="O359" s="356" t="s">
        <v>936</v>
      </c>
      <c r="P359" s="357"/>
      <c r="Q359" s="16" t="s">
        <v>937</v>
      </c>
      <c r="R359" s="27"/>
      <c r="S359" s="28"/>
    </row>
    <row r="360" spans="1:35" ht="14.25" x14ac:dyDescent="0.2">
      <c r="A360" s="32"/>
      <c r="B360" s="33"/>
      <c r="C360" s="33"/>
      <c r="D360" s="33"/>
      <c r="E360" s="33"/>
      <c r="F360" s="34"/>
      <c r="G360" s="34"/>
      <c r="H360" s="35"/>
      <c r="I360" s="35"/>
      <c r="J360" s="29" t="s">
        <v>22</v>
      </c>
      <c r="K360" s="16" t="s">
        <v>23</v>
      </c>
      <c r="L360" s="30"/>
      <c r="M360" s="36">
        <f>(L349+L350)*2/1000</f>
        <v>5.4</v>
      </c>
      <c r="N360" s="541"/>
      <c r="O360" s="356" t="s">
        <v>938</v>
      </c>
      <c r="P360" s="357"/>
      <c r="Q360" s="16" t="s">
        <v>939</v>
      </c>
      <c r="R360" s="37"/>
      <c r="S360" s="38"/>
    </row>
    <row r="361" spans="1:35" ht="36" x14ac:dyDescent="0.15">
      <c r="A361" s="39" t="s">
        <v>24</v>
      </c>
      <c r="B361" s="560" t="s">
        <v>25</v>
      </c>
      <c r="C361" s="561"/>
      <c r="D361" s="561"/>
      <c r="E361" s="562"/>
      <c r="F361" s="40" t="s">
        <v>26</v>
      </c>
      <c r="G361" s="40" t="s">
        <v>27</v>
      </c>
      <c r="H361" s="40" t="s">
        <v>28</v>
      </c>
      <c r="I361" s="40" t="s">
        <v>898</v>
      </c>
      <c r="J361" s="40" t="s">
        <v>29</v>
      </c>
      <c r="K361" s="40" t="s">
        <v>30</v>
      </c>
      <c r="L361" s="41" t="s">
        <v>31</v>
      </c>
      <c r="M361" s="40" t="s">
        <v>32</v>
      </c>
      <c r="N361" s="40" t="s">
        <v>33</v>
      </c>
      <c r="O361" s="40" t="s">
        <v>34</v>
      </c>
      <c r="P361" s="42" t="s">
        <v>35</v>
      </c>
      <c r="Q361" s="338" t="s">
        <v>875</v>
      </c>
      <c r="R361" s="43" t="s">
        <v>36</v>
      </c>
      <c r="S361" s="43" t="s">
        <v>37</v>
      </c>
      <c r="V361" s="261" t="s">
        <v>127</v>
      </c>
      <c r="W361" s="261"/>
      <c r="X361" s="273" t="s">
        <v>128</v>
      </c>
      <c r="Y361" s="274"/>
      <c r="Z361" s="273" t="s">
        <v>438</v>
      </c>
      <c r="AA361" s="274"/>
      <c r="AB361" s="273" t="s">
        <v>439</v>
      </c>
      <c r="AC361" s="274"/>
      <c r="AD361" s="273" t="s">
        <v>444</v>
      </c>
      <c r="AE361" s="274"/>
      <c r="AF361" s="273" t="s">
        <v>441</v>
      </c>
      <c r="AG361" s="274"/>
      <c r="AH361" s="273" t="s">
        <v>442</v>
      </c>
      <c r="AI361" s="274"/>
    </row>
    <row r="362" spans="1:35" x14ac:dyDescent="0.15">
      <c r="A362" s="57">
        <v>1</v>
      </c>
      <c r="B362" s="531" t="s">
        <v>38</v>
      </c>
      <c r="C362" s="532"/>
      <c r="D362" s="532"/>
      <c r="E362" s="533"/>
      <c r="F362" s="47" t="str">
        <f>VLOOKUP($H:$H,型材表!$B$5:$I$45,2,0)</f>
        <v>窗框</v>
      </c>
      <c r="G362" s="45" t="s">
        <v>39</v>
      </c>
      <c r="H362" s="45" t="str">
        <f>IF(G347=65,"SN65AK001",IF(G347=55,"SN55K001",IF(G347=551,"SN55BK001",IF(G347=60,"SN60K001",IF(G347=601,"SN60AK001",IF(G347=70,"SN70K001",IF(G347=75,"SN75K001")))))))</f>
        <v>SN65AK001</v>
      </c>
      <c r="I362" s="45" t="s">
        <v>901</v>
      </c>
      <c r="J362" s="46">
        <f>M349</f>
        <v>1300</v>
      </c>
      <c r="K362" s="45">
        <v>2</v>
      </c>
      <c r="L362" s="47">
        <f>VLOOKUP($H:$H,型材表!$B$5:$I$45,4,0)</f>
        <v>1.02</v>
      </c>
      <c r="M362" s="46">
        <f>J362*K362*L362/1000</f>
        <v>2.6520000000000001</v>
      </c>
      <c r="N362" s="72">
        <f>VLOOKUP($H:$H,型材表!$B$5:$I$45,7,0)</f>
        <v>0</v>
      </c>
      <c r="O362" s="46">
        <f>N362*M362</f>
        <v>0</v>
      </c>
      <c r="P362" s="100">
        <f>VLOOKUP($H:$H,型材表!$B$5:$I$45,5,0)</f>
        <v>0.125</v>
      </c>
      <c r="Q362" s="100" t="str">
        <f>VLOOKUP($H:$H,型材表!$B$5:$I$468,6,0)</f>
        <v>断桥隔热铝型材</v>
      </c>
      <c r="R362" s="49"/>
      <c r="S362" s="50"/>
      <c r="X362" s="264"/>
      <c r="Y362" s="265"/>
      <c r="Z362" s="264"/>
      <c r="AA362" s="265"/>
      <c r="AB362" s="264"/>
      <c r="AC362" s="265"/>
      <c r="AD362" s="264"/>
      <c r="AE362" s="265"/>
      <c r="AF362" s="264"/>
      <c r="AG362" s="265"/>
      <c r="AH362" s="264"/>
      <c r="AI362" s="265"/>
    </row>
    <row r="363" spans="1:35" x14ac:dyDescent="0.15">
      <c r="A363" s="57">
        <v>2</v>
      </c>
      <c r="B363" s="537"/>
      <c r="C363" s="538"/>
      <c r="D363" s="538"/>
      <c r="E363" s="539"/>
      <c r="F363" s="47" t="str">
        <f>VLOOKUP($H:$H,型材表!$B$5:$I$45,2,0)</f>
        <v>窗框</v>
      </c>
      <c r="G363" s="45" t="s">
        <v>40</v>
      </c>
      <c r="H363" s="45" t="str">
        <f>H362</f>
        <v>SN65AK001</v>
      </c>
      <c r="I363" s="45" t="s">
        <v>899</v>
      </c>
      <c r="J363" s="46">
        <f>M350</f>
        <v>1200</v>
      </c>
      <c r="K363" s="45">
        <v>2</v>
      </c>
      <c r="L363" s="47">
        <f>VLOOKUP($H:$H,型材表!$B$5:$I$45,4,0)</f>
        <v>1.02</v>
      </c>
      <c r="M363" s="46">
        <f t="shared" ref="M363:M367" si="44">J363*K363*L363/1000</f>
        <v>2.448</v>
      </c>
      <c r="N363" s="72">
        <f>VLOOKUP($H:$H,型材表!$B$5:$I$45,7,0)</f>
        <v>0</v>
      </c>
      <c r="O363" s="46">
        <f t="shared" ref="O363:O364" si="45">N363*M363</f>
        <v>0</v>
      </c>
      <c r="P363" s="100">
        <f>VLOOKUP($H:$H,型材表!$B$5:$I$45,5,0)</f>
        <v>0.125</v>
      </c>
      <c r="Q363" s="100" t="str">
        <f>VLOOKUP($H:$H,型材表!$B$5:$I$468,6,0)</f>
        <v>断桥隔热铝型材</v>
      </c>
      <c r="R363" s="49"/>
      <c r="S363" s="50"/>
      <c r="X363" s="264"/>
      <c r="Y363" s="265"/>
      <c r="Z363" s="264"/>
      <c r="AA363" s="265"/>
      <c r="AB363" s="264"/>
      <c r="AC363" s="265"/>
      <c r="AD363" s="264"/>
      <c r="AE363" s="265"/>
      <c r="AF363" s="264"/>
      <c r="AG363" s="265"/>
      <c r="AH363" s="264"/>
      <c r="AI363" s="265"/>
    </row>
    <row r="364" spans="1:35" x14ac:dyDescent="0.15">
      <c r="A364" s="350">
        <v>3</v>
      </c>
      <c r="B364" s="531" t="s">
        <v>41</v>
      </c>
      <c r="C364" s="532"/>
      <c r="D364" s="532"/>
      <c r="E364" s="533"/>
      <c r="F364" s="47" t="str">
        <f>VLOOKUP($H:$H,型材表!$B$5:$I$45,2,0)</f>
        <v>窗扇</v>
      </c>
      <c r="G364" s="45" t="s">
        <v>39</v>
      </c>
      <c r="H364" s="45" t="str">
        <f>IF(G347=65,"SN65AS001",IF(G347=55,"SN55S001",IF(G347=551,"SN55BS001",IF(G347=60,"SN60S001",IF(G347=601,"SN60AS001",IF(G347=70,"SN70S001",IF(G347=75,"SN75S001")))))))</f>
        <v>SN65AS001</v>
      </c>
      <c r="I364" s="45" t="s">
        <v>1040</v>
      </c>
      <c r="J364" s="46">
        <f>IF(G347=65,M351-V364,IF(G347=55,M351-X364,IF(G347=551,M351-Z364,IF(G347=60,M351-AB364,IF(G347=601,M351-AD364,IF(G347=70,M351-AF364,IF(G347=75,M351-AH364)))))))</f>
        <v>871</v>
      </c>
      <c r="K364" s="45">
        <v>4</v>
      </c>
      <c r="L364" s="47">
        <f>VLOOKUP($H:$H,型材表!$B$5:$I$45,4,0)</f>
        <v>1.292</v>
      </c>
      <c r="M364" s="46">
        <f t="shared" si="44"/>
        <v>4.501328</v>
      </c>
      <c r="N364" s="72">
        <f>VLOOKUP($H:$H,型材表!$B$5:$I$45,7,0)</f>
        <v>0</v>
      </c>
      <c r="O364" s="46">
        <f t="shared" si="45"/>
        <v>0</v>
      </c>
      <c r="P364" s="100">
        <f>VLOOKUP($H:$H,型材表!$B$5:$I$45,5,0)</f>
        <v>0.125</v>
      </c>
      <c r="Q364" s="100" t="str">
        <f>VLOOKUP($H:$H,型材表!$B$5:$I$468,6,0)</f>
        <v>断桥隔热铝型材</v>
      </c>
      <c r="R364" s="49"/>
      <c r="S364" s="50"/>
      <c r="U364" s="374" t="s">
        <v>1123</v>
      </c>
      <c r="V364" s="259">
        <f>22+7</f>
        <v>29</v>
      </c>
      <c r="X364" s="264">
        <f>22+7</f>
        <v>29</v>
      </c>
      <c r="Y364" s="265"/>
      <c r="Z364" s="264">
        <f>22+7</f>
        <v>29</v>
      </c>
      <c r="AA364" s="265"/>
      <c r="AB364" s="264">
        <f>22+7</f>
        <v>29</v>
      </c>
      <c r="AC364" s="265"/>
      <c r="AD364" s="264">
        <f>22+7</f>
        <v>29</v>
      </c>
      <c r="AE364" s="265"/>
      <c r="AF364" s="264">
        <f>22+7</f>
        <v>29</v>
      </c>
      <c r="AG364" s="265"/>
      <c r="AH364" s="264">
        <f>22+7</f>
        <v>29</v>
      </c>
      <c r="AI364" s="265"/>
    </row>
    <row r="365" spans="1:35" x14ac:dyDescent="0.15">
      <c r="A365" s="395">
        <v>4</v>
      </c>
      <c r="B365" s="534"/>
      <c r="C365" s="535"/>
      <c r="D365" s="535"/>
      <c r="E365" s="536"/>
      <c r="F365" s="47" t="str">
        <f>VLOOKUP($H:$H,型材表!$B$5:$I$45,2,0)</f>
        <v>窗扇</v>
      </c>
      <c r="G365" s="45" t="s">
        <v>40</v>
      </c>
      <c r="H365" s="45" t="str">
        <f>H364</f>
        <v>SN65AS001</v>
      </c>
      <c r="I365" s="45" t="s">
        <v>1011</v>
      </c>
      <c r="J365" s="46">
        <f>IF(G347=65,M354-V365,IF(G347=55,M354-X365,IF(G347=551,M354-Z365,IF(G347=60,M354-AB365,IF(G347=601,M354-AD365,IF(G347=70,M354-AF365,IF(G347=75,M354-AH365)))))))</f>
        <v>571</v>
      </c>
      <c r="K365" s="45">
        <v>4</v>
      </c>
      <c r="L365" s="47">
        <f>VLOOKUP($H:$H,型材表!$B$5:$I$45,4,0)</f>
        <v>1.292</v>
      </c>
      <c r="M365" s="46">
        <f t="shared" si="44"/>
        <v>2.9509279999999998</v>
      </c>
      <c r="N365" s="72">
        <f>VLOOKUP($H:$H,型材表!$B$5:$I$45,7,0)</f>
        <v>0</v>
      </c>
      <c r="O365" s="46">
        <f>N365*M365</f>
        <v>0</v>
      </c>
      <c r="P365" s="100">
        <f>VLOOKUP($H:$H,型材表!$B$5:$I$45,5,0)</f>
        <v>0.125</v>
      </c>
      <c r="Q365" s="100" t="str">
        <f>VLOOKUP($H:$H,型材表!$B$5:$I$468,6,0)</f>
        <v>断桥隔热铝型材</v>
      </c>
      <c r="R365" s="49"/>
      <c r="S365" s="50"/>
      <c r="U365" s="374" t="s">
        <v>1129</v>
      </c>
      <c r="V365" s="259">
        <f>22+7</f>
        <v>29</v>
      </c>
      <c r="X365" s="264">
        <f>22+7</f>
        <v>29</v>
      </c>
      <c r="Y365" s="265"/>
      <c r="Z365" s="264">
        <f>22+7</f>
        <v>29</v>
      </c>
      <c r="AA365" s="265"/>
      <c r="AB365" s="264">
        <f>22+7</f>
        <v>29</v>
      </c>
      <c r="AC365" s="265"/>
      <c r="AD365" s="264">
        <f>22+7</f>
        <v>29</v>
      </c>
      <c r="AE365" s="265"/>
      <c r="AF365" s="264">
        <f>22+7</f>
        <v>29</v>
      </c>
      <c r="AG365" s="265"/>
      <c r="AH365" s="264">
        <f>22+7</f>
        <v>29</v>
      </c>
      <c r="AI365" s="265"/>
    </row>
    <row r="366" spans="1:35" x14ac:dyDescent="0.15">
      <c r="A366" s="395">
        <v>5</v>
      </c>
      <c r="B366" s="534"/>
      <c r="C366" s="535"/>
      <c r="D366" s="535"/>
      <c r="E366" s="536"/>
      <c r="F366" s="47" t="str">
        <f>VLOOKUP($H:$H,型材表!$B$5:$I$45,2,0)</f>
        <v>中梃</v>
      </c>
      <c r="G366" s="45" t="s">
        <v>39</v>
      </c>
      <c r="H366" s="116" t="str">
        <f>IF(G347=65,"SN65AT001",IF(G347=55,"SN55T001",IF(G347=551,"SN55BT001",IF(G347=60,"SN60T001",IF(G347=601,"SN60AT001",IF(G347=70,"SN70T001",IF(G347=75,"SN75T001")))))))</f>
        <v>SN65AT001</v>
      </c>
      <c r="I366" s="45" t="s">
        <v>1048</v>
      </c>
      <c r="J366" s="46">
        <f>IF(G347=65,M351-V366,IF(G347=55,M351-X366,IF(G347=551,M351-Z366,IF(G347=60,M351-AB366,IF(G347=601,M351-AD366,IF(G347=70,M351-AF366,IF(G347=75,M351-AH366)))))))</f>
        <v>869</v>
      </c>
      <c r="K366" s="45">
        <v>1</v>
      </c>
      <c r="L366" s="47">
        <f>VLOOKUP($H:$H,型材表!$B$5:$I$45,4,0)</f>
        <v>1.214</v>
      </c>
      <c r="M366" s="46">
        <f t="shared" si="44"/>
        <v>1.0549659999999998</v>
      </c>
      <c r="N366" s="72">
        <f>VLOOKUP($H:$H,型材表!$B$5:$I$45,7,0)</f>
        <v>0</v>
      </c>
      <c r="O366" s="46">
        <f>N366*M366</f>
        <v>0</v>
      </c>
      <c r="P366" s="100">
        <f>VLOOKUP($H:$H,型材表!$B$5:$I$45,5,0)</f>
        <v>0.125</v>
      </c>
      <c r="Q366" s="100" t="str">
        <f>VLOOKUP($H:$H,型材表!$B$5:$I$468,6,0)</f>
        <v>断桥隔热铝型材</v>
      </c>
      <c r="R366" s="49"/>
      <c r="S366" s="50"/>
      <c r="U366" s="374" t="s">
        <v>1130</v>
      </c>
      <c r="V366" s="259">
        <f>23+8</f>
        <v>31</v>
      </c>
      <c r="X366" s="264">
        <f>23+8</f>
        <v>31</v>
      </c>
      <c r="Y366" s="265"/>
      <c r="Z366" s="264">
        <f>23+8</f>
        <v>31</v>
      </c>
      <c r="AA366" s="265"/>
      <c r="AB366" s="264">
        <f>23+8</f>
        <v>31</v>
      </c>
      <c r="AC366" s="265"/>
      <c r="AD366" s="264">
        <f>23+8</f>
        <v>31</v>
      </c>
      <c r="AE366" s="265"/>
      <c r="AF366" s="264">
        <f>23+8</f>
        <v>31</v>
      </c>
      <c r="AG366" s="265"/>
      <c r="AH366" s="264">
        <f>23+8</f>
        <v>31</v>
      </c>
      <c r="AI366" s="265"/>
    </row>
    <row r="367" spans="1:35" x14ac:dyDescent="0.15">
      <c r="A367" s="395">
        <v>6</v>
      </c>
      <c r="B367" s="537"/>
      <c r="C367" s="538"/>
      <c r="D367" s="538"/>
      <c r="E367" s="539"/>
      <c r="F367" s="47" t="str">
        <f>VLOOKUP($H:$H,型材表!$B$5:$I$45,2,0)</f>
        <v>中梃</v>
      </c>
      <c r="G367" s="45" t="s">
        <v>40</v>
      </c>
      <c r="H367" s="116" t="str">
        <f>IF(G347=65,"SN65AT001",IF(G347=55,"SN55T001",IF(G347=551,"SN55BT001",IF(G347=60,"SN60T001",IF(G347=601,"SN60AT001",IF(G347=70,"SN70T001",IF(G347=75,"SN75T001")))))))</f>
        <v>SN65AT001</v>
      </c>
      <c r="I367" s="45" t="s">
        <v>1049</v>
      </c>
      <c r="J367" s="46">
        <f>IF(G347=65,M350-V367,IF(G347=55,M350-X367,IF(G347=551,M350-Z367,IF(G347=60,M350-AB367,IF(G347=601,M350-AD367,IF(G347=70,M350-AF367,IF(G347=75,M350-AH367)))))))</f>
        <v>1154</v>
      </c>
      <c r="K367" s="45">
        <v>1</v>
      </c>
      <c r="L367" s="47">
        <f>VLOOKUP($H:$H,型材表!$B$5:$I$45,4,0)</f>
        <v>1.214</v>
      </c>
      <c r="M367" s="46">
        <f t="shared" si="44"/>
        <v>1.4009559999999999</v>
      </c>
      <c r="N367" s="72">
        <f>VLOOKUP($H:$H,型材表!$B$5:$I$45,7,0)</f>
        <v>0</v>
      </c>
      <c r="O367" s="46">
        <f>N367*M367</f>
        <v>0</v>
      </c>
      <c r="P367" s="100">
        <f>VLOOKUP($H:$H,型材表!$B$5:$I$45,5,0)</f>
        <v>0.125</v>
      </c>
      <c r="Q367" s="100" t="str">
        <f>VLOOKUP($H:$H,型材表!$B$5:$I$468,6,0)</f>
        <v>断桥隔热铝型材</v>
      </c>
      <c r="R367" s="49"/>
      <c r="S367" s="50"/>
      <c r="U367" s="374" t="s">
        <v>1125</v>
      </c>
      <c r="V367" s="259">
        <f>23*2</f>
        <v>46</v>
      </c>
      <c r="X367" s="264">
        <f>23*2</f>
        <v>46</v>
      </c>
      <c r="Y367" s="265"/>
      <c r="Z367" s="264">
        <f>23*2</f>
        <v>46</v>
      </c>
      <c r="AA367" s="265"/>
      <c r="AB367" s="264">
        <f>23*2</f>
        <v>46</v>
      </c>
      <c r="AC367" s="265"/>
      <c r="AD367" s="264">
        <f>23*2</f>
        <v>46</v>
      </c>
      <c r="AE367" s="265"/>
      <c r="AF367" s="264">
        <f>23*2</f>
        <v>46</v>
      </c>
      <c r="AG367" s="265"/>
      <c r="AH367" s="264">
        <f>23*2</f>
        <v>46</v>
      </c>
      <c r="AI367" s="265"/>
    </row>
    <row r="368" spans="1:35" x14ac:dyDescent="0.15">
      <c r="A368" s="395">
        <v>7</v>
      </c>
      <c r="B368" s="531" t="s">
        <v>42</v>
      </c>
      <c r="C368" s="532"/>
      <c r="D368" s="532"/>
      <c r="E368" s="533"/>
      <c r="F368" s="47" t="str">
        <f>VLOOKUP($H:$H,型材表!$B$5:$I$45,2,0)</f>
        <v>压线</v>
      </c>
      <c r="G368" s="45" t="s">
        <v>39</v>
      </c>
      <c r="H368" s="45" t="str">
        <f>IF(G347=65,"SN65AY002",IF(G347=55,"SN55Y002",IF(G347=551,"SN55BY002",IF(G347=60,"SN60Y002",IF(G347=601,"SN60Y002",IF(G347=70,"SN70Y002",IF(G347=75,"SN75Y002")))))))</f>
        <v>SN65AY002</v>
      </c>
      <c r="I368" s="45" t="s">
        <v>1042</v>
      </c>
      <c r="J368" s="46">
        <f>IF(G347=65,M351-V368,IF(G347=55,M351-X368,IF(G347=551,M351-Z368,IF(G347=60,M351-AB368,IF(G347=601,M351-AD368,IF(G347=70,M351-AF368,IF(G347=75,M351-AH368)))))))</f>
        <v>795.4</v>
      </c>
      <c r="K368" s="45">
        <v>4</v>
      </c>
      <c r="L368" s="47">
        <f>VLOOKUP($H:$H,型材表!$B$5:$I$45,4,0)</f>
        <v>0.20399999999999999</v>
      </c>
      <c r="M368" s="46">
        <f t="shared" ref="M368:M376" si="46">J368*K368*L368/1000</f>
        <v>0.64904639999999991</v>
      </c>
      <c r="N368" s="72">
        <f>VLOOKUP($H:$H,型材表!$B$5:$I$45,7,0)</f>
        <v>0</v>
      </c>
      <c r="O368" s="46">
        <f t="shared" ref="O368:O376" si="47">N368*M368</f>
        <v>0</v>
      </c>
      <c r="P368" s="100">
        <f>VLOOKUP($H:$H,型材表!$B$5:$I$45,5,0)</f>
        <v>0.125</v>
      </c>
      <c r="Q368" s="100" t="str">
        <f>VLOOKUP($H:$H,型材表!$B$5:$I$468,6,0)</f>
        <v>非断桥隔热铝型材</v>
      </c>
      <c r="R368" s="49"/>
      <c r="S368" s="50"/>
      <c r="U368" s="374" t="s">
        <v>1126</v>
      </c>
      <c r="V368" s="269">
        <f>59.8+44.8</f>
        <v>104.6</v>
      </c>
      <c r="W368" s="269"/>
      <c r="X368" s="279">
        <f>59.8+44.8</f>
        <v>104.6</v>
      </c>
      <c r="Y368" s="265"/>
      <c r="Z368" s="279">
        <f>59.8+44.8</f>
        <v>104.6</v>
      </c>
      <c r="AA368" s="265"/>
      <c r="AB368" s="279">
        <f>59.8+44.8</f>
        <v>104.6</v>
      </c>
      <c r="AC368" s="265"/>
      <c r="AD368" s="279">
        <f>59.8+44.8</f>
        <v>104.6</v>
      </c>
      <c r="AE368" s="265"/>
      <c r="AF368" s="279">
        <f>59.8+44.8</f>
        <v>104.6</v>
      </c>
      <c r="AG368" s="265"/>
      <c r="AH368" s="279">
        <f>59.8+44.8</f>
        <v>104.6</v>
      </c>
      <c r="AI368" s="265"/>
    </row>
    <row r="369" spans="1:35" x14ac:dyDescent="0.15">
      <c r="A369" s="395">
        <v>8</v>
      </c>
      <c r="B369" s="534"/>
      <c r="C369" s="535"/>
      <c r="D369" s="535"/>
      <c r="E369" s="536"/>
      <c r="F369" s="47" t="str">
        <f>VLOOKUP($H:$H,型材表!$B$5:$I$45,2,0)</f>
        <v>压线</v>
      </c>
      <c r="G369" s="45" t="s">
        <v>39</v>
      </c>
      <c r="H369" s="45" t="str">
        <f>H368</f>
        <v>SN65AY002</v>
      </c>
      <c r="I369" s="45" t="s">
        <v>1043</v>
      </c>
      <c r="J369" s="208">
        <f>IF(G347=65,M352-V369,IF(G347=55,M352-X369,IF(G347=551,M352-Z369,IF(G347=60,M352-AB369,IF(G347=601,M352-AD369,IF(G347=70,M352-AF369,IF(G347=75,M352-AH369)))))))</f>
        <v>369</v>
      </c>
      <c r="K369" s="207">
        <v>2</v>
      </c>
      <c r="L369" s="47">
        <f>VLOOKUP($H:$H,型材表!$B$5:$I$45,4,0)</f>
        <v>0.20399999999999999</v>
      </c>
      <c r="M369" s="46">
        <f t="shared" ref="M369:M370" si="48">J369*K369*L369/1000</f>
        <v>0.15055199999999999</v>
      </c>
      <c r="N369" s="72">
        <f>VLOOKUP($H:$H,型材表!$B$5:$I$45,7,0)</f>
        <v>0</v>
      </c>
      <c r="O369" s="46">
        <f t="shared" ref="O369:O370" si="49">N369*M369</f>
        <v>0</v>
      </c>
      <c r="P369" s="100">
        <f>VLOOKUP($H:$H,型材表!$B$5:$I$45,5,0)</f>
        <v>0.125</v>
      </c>
      <c r="Q369" s="100" t="str">
        <f>VLOOKUP($H:$H,型材表!$B$5:$I$468,6,0)</f>
        <v>非断桥隔热铝型材</v>
      </c>
      <c r="R369" s="210"/>
      <c r="S369" s="50"/>
      <c r="U369" s="374" t="s">
        <v>1127</v>
      </c>
      <c r="V369" s="269">
        <f>8+23</f>
        <v>31</v>
      </c>
      <c r="W369" s="269"/>
      <c r="X369" s="279">
        <f>8+23</f>
        <v>31</v>
      </c>
      <c r="Y369" s="265"/>
      <c r="Z369" s="279">
        <f>8+23</f>
        <v>31</v>
      </c>
      <c r="AA369" s="265"/>
      <c r="AB369" s="279">
        <f>8+23</f>
        <v>31</v>
      </c>
      <c r="AC369" s="265"/>
      <c r="AD369" s="279">
        <f>8+23</f>
        <v>31</v>
      </c>
      <c r="AE369" s="265"/>
      <c r="AF369" s="279">
        <f>8+23</f>
        <v>31</v>
      </c>
      <c r="AG369" s="265"/>
      <c r="AH369" s="279">
        <f>8+23</f>
        <v>31</v>
      </c>
      <c r="AI369" s="265"/>
    </row>
    <row r="370" spans="1:35" x14ac:dyDescent="0.15">
      <c r="A370" s="395">
        <v>9</v>
      </c>
      <c r="B370" s="534"/>
      <c r="C370" s="535"/>
      <c r="D370" s="535"/>
      <c r="E370" s="536"/>
      <c r="F370" s="47" t="str">
        <f>VLOOKUP($H:$H,型材表!$B$5:$I$45,2,0)</f>
        <v>压线</v>
      </c>
      <c r="G370" s="45" t="s">
        <v>40</v>
      </c>
      <c r="H370" s="45" t="str">
        <f>H369</f>
        <v>SN65AY002</v>
      </c>
      <c r="I370" s="207" t="s">
        <v>1037</v>
      </c>
      <c r="J370" s="208">
        <f>IF(G347=65,M354-V370,IF(G347=55,M354-X370,IF(G347=551,M354-Z370,IF(G347=60,M354-AB370,IF(G347=601,M354-AD370,IF(G347=70,M354-AF370,IF(G347=75,M354-AH370)))))))</f>
        <v>495.4</v>
      </c>
      <c r="K370" s="207">
        <v>4</v>
      </c>
      <c r="L370" s="47">
        <f>VLOOKUP($H:$H,型材表!$B$5:$I$45,4,0)</f>
        <v>0.20399999999999999</v>
      </c>
      <c r="M370" s="46">
        <f t="shared" si="48"/>
        <v>0.40424639999999995</v>
      </c>
      <c r="N370" s="72">
        <f>VLOOKUP($H:$H,型材表!$B$5:$I$45,7,0)</f>
        <v>0</v>
      </c>
      <c r="O370" s="46">
        <f t="shared" si="49"/>
        <v>0</v>
      </c>
      <c r="P370" s="100">
        <f>VLOOKUP($H:$H,型材表!$B$5:$I$45,5,0)</f>
        <v>0.125</v>
      </c>
      <c r="Q370" s="100" t="str">
        <f>VLOOKUP($H:$H,型材表!$B$5:$I$468,6,0)</f>
        <v>非断桥隔热铝型材</v>
      </c>
      <c r="R370" s="210"/>
      <c r="S370" s="50"/>
      <c r="U370" s="374" t="s">
        <v>1030</v>
      </c>
      <c r="V370" s="269">
        <f>59.8+89.6/2</f>
        <v>104.6</v>
      </c>
      <c r="W370" s="269"/>
      <c r="X370" s="279">
        <f>59.8+89.6/2</f>
        <v>104.6</v>
      </c>
      <c r="Y370" s="265"/>
      <c r="Z370" s="279">
        <f>59.8+89.6/2</f>
        <v>104.6</v>
      </c>
      <c r="AA370" s="265"/>
      <c r="AB370" s="279">
        <f>59.8+89.6/2</f>
        <v>104.6</v>
      </c>
      <c r="AC370" s="265"/>
      <c r="AD370" s="279">
        <f>59.8+89.6/2</f>
        <v>104.6</v>
      </c>
      <c r="AE370" s="265"/>
      <c r="AF370" s="279">
        <f>59.8+89.6/2</f>
        <v>104.6</v>
      </c>
      <c r="AG370" s="265"/>
      <c r="AH370" s="279">
        <f>59.8+89.6/2</f>
        <v>104.6</v>
      </c>
      <c r="AI370" s="265"/>
    </row>
    <row r="371" spans="1:35" x14ac:dyDescent="0.15">
      <c r="A371" s="395">
        <v>10</v>
      </c>
      <c r="B371" s="537"/>
      <c r="C371" s="538"/>
      <c r="D371" s="538"/>
      <c r="E371" s="539"/>
      <c r="F371" s="47" t="str">
        <f>VLOOKUP($H:$H,型材表!$B$5:$I$45,2,0)</f>
        <v>压线</v>
      </c>
      <c r="G371" s="45" t="s">
        <v>40</v>
      </c>
      <c r="H371" s="45" t="str">
        <f>H368</f>
        <v>SN65AY002</v>
      </c>
      <c r="I371" s="45" t="s">
        <v>1050</v>
      </c>
      <c r="J371" s="46">
        <f>IF(G347=65,M350-V371,IF(G347=55,M350-X371,IF(G347=551,M350-Z371,IF(G347=60,M350-AB371,IF(G347=601,M350-AD371,IF(G347=70,M350-AF371,IF(G347=75,M350-AH371)))))))</f>
        <v>1154</v>
      </c>
      <c r="K371" s="45">
        <v>2</v>
      </c>
      <c r="L371" s="47">
        <f>VLOOKUP($H:$H,型材表!$B$5:$I$45,4,0)</f>
        <v>0.20399999999999999</v>
      </c>
      <c r="M371" s="46">
        <f t="shared" si="46"/>
        <v>0.47083199999999997</v>
      </c>
      <c r="N371" s="72">
        <f>VLOOKUP($H:$H,型材表!$B$5:$I$45,7,0)</f>
        <v>0</v>
      </c>
      <c r="O371" s="46">
        <f t="shared" si="47"/>
        <v>0</v>
      </c>
      <c r="P371" s="100">
        <f>VLOOKUP($H:$H,型材表!$B$5:$I$45,5,0)</f>
        <v>0.125</v>
      </c>
      <c r="Q371" s="100" t="str">
        <f>VLOOKUP($H:$H,型材表!$B$5:$I$468,6,0)</f>
        <v>非断桥隔热铝型材</v>
      </c>
      <c r="R371" s="49"/>
      <c r="S371" s="50"/>
      <c r="U371" s="374" t="s">
        <v>1128</v>
      </c>
      <c r="V371" s="259">
        <f>23*2</f>
        <v>46</v>
      </c>
      <c r="X371" s="286">
        <f>23*2</f>
        <v>46</v>
      </c>
      <c r="Y371" s="265"/>
      <c r="Z371" s="286">
        <f>23*2</f>
        <v>46</v>
      </c>
      <c r="AA371" s="265"/>
      <c r="AB371" s="286">
        <f>23*2</f>
        <v>46</v>
      </c>
      <c r="AC371" s="265"/>
      <c r="AD371" s="286">
        <f>23*2</f>
        <v>46</v>
      </c>
      <c r="AE371" s="265"/>
      <c r="AF371" s="286">
        <f>23*2</f>
        <v>46</v>
      </c>
      <c r="AG371" s="265"/>
      <c r="AH371" s="286">
        <f>23*2</f>
        <v>46</v>
      </c>
      <c r="AI371" s="265"/>
    </row>
    <row r="372" spans="1:35" x14ac:dyDescent="0.15">
      <c r="A372" s="395">
        <v>11</v>
      </c>
      <c r="B372" s="531" t="s">
        <v>44</v>
      </c>
      <c r="C372" s="532"/>
      <c r="D372" s="532"/>
      <c r="E372" s="533"/>
      <c r="F372" s="47" t="str">
        <f>VLOOKUP($H:$H,型材表!$B$5:$I$45,2,0)</f>
        <v>角码</v>
      </c>
      <c r="G372" s="51" t="s">
        <v>446</v>
      </c>
      <c r="H372" s="45" t="str">
        <f>IF(G347=65,"SW55F001","SN55F003")</f>
        <v>SW55F001</v>
      </c>
      <c r="I372" s="45" t="s">
        <v>1006</v>
      </c>
      <c r="J372" s="52">
        <f>IF(G347=65,V372,IF(G347=55,X372,IF(G347=551,Z372,IF(G347=60,AB372,IF(G347=601,AD372,IF(G347=70,AF372,IF(G347=75,AH372)))))))</f>
        <v>32.200000000000003</v>
      </c>
      <c r="K372" s="45">
        <f>K362*2</f>
        <v>4</v>
      </c>
      <c r="L372" s="47">
        <f>VLOOKUP($H:$H,型材表!$B$5:$I$45,4,0)</f>
        <v>2.0950000000000002</v>
      </c>
      <c r="M372" s="46">
        <f t="shared" si="46"/>
        <v>0.26983600000000008</v>
      </c>
      <c r="N372" s="72">
        <f>VLOOKUP($H:$H,型材表!$B$5:$I$45,7,0)</f>
        <v>0</v>
      </c>
      <c r="O372" s="46">
        <f t="shared" si="47"/>
        <v>0</v>
      </c>
      <c r="P372" s="100">
        <f>VLOOKUP($H:$H,型材表!$B$5:$I$45,5,0)</f>
        <v>0.125</v>
      </c>
      <c r="Q372" s="100" t="str">
        <f>VLOOKUP($H:$H,型材表!$B$5:$I$468,6,0)</f>
        <v>阳极氧化铝型材</v>
      </c>
      <c r="R372" s="49"/>
      <c r="S372" s="50"/>
      <c r="U372" s="374" t="s">
        <v>994</v>
      </c>
      <c r="V372" s="259">
        <f>19.5-1+14.7-1</f>
        <v>32.200000000000003</v>
      </c>
      <c r="X372" s="264">
        <f>19.5-1+14.7-1</f>
        <v>32.200000000000003</v>
      </c>
      <c r="Y372" s="265"/>
      <c r="Z372" s="264">
        <f>19.5-1+10.9-1</f>
        <v>28.4</v>
      </c>
      <c r="AA372" s="277"/>
      <c r="AB372" s="264">
        <f>19.5-1+14.7-1</f>
        <v>32.200000000000003</v>
      </c>
      <c r="AC372" s="277"/>
      <c r="AD372" s="264">
        <f>19.5-1+10.9-1</f>
        <v>28.4</v>
      </c>
      <c r="AE372" s="277"/>
      <c r="AF372" s="264">
        <f>19.5-1+14.7-1</f>
        <v>32.200000000000003</v>
      </c>
      <c r="AG372" s="277"/>
      <c r="AH372" s="264">
        <f>19.5-1+14.7-1</f>
        <v>32.200000000000003</v>
      </c>
      <c r="AI372" s="265"/>
    </row>
    <row r="373" spans="1:35" x14ac:dyDescent="0.15">
      <c r="A373" s="395">
        <v>12</v>
      </c>
      <c r="B373" s="534"/>
      <c r="C373" s="535"/>
      <c r="D373" s="535"/>
      <c r="E373" s="536"/>
      <c r="F373" s="47" t="str">
        <f>VLOOKUP($H:$H,型材表!$B$5:$I$45,2,0)</f>
        <v>角码</v>
      </c>
      <c r="G373" s="51" t="s">
        <v>447</v>
      </c>
      <c r="H373" s="45" t="str">
        <f>IF(G347=65,"SN55F003","SN55F003")</f>
        <v>SN55F003</v>
      </c>
      <c r="I373" s="45" t="s">
        <v>995</v>
      </c>
      <c r="J373" s="52">
        <f t="shared" ref="J373:J376" si="50">V373</f>
        <v>27.1</v>
      </c>
      <c r="K373" s="45">
        <v>8</v>
      </c>
      <c r="L373" s="47">
        <f>VLOOKUP($H:$H,型材表!$B$5:$I$45,4,0)</f>
        <v>1.7490000000000001</v>
      </c>
      <c r="M373" s="46">
        <f t="shared" si="46"/>
        <v>0.37918320000000005</v>
      </c>
      <c r="N373" s="72">
        <f>VLOOKUP($H:$H,型材表!$B$5:$I$45,7,0)</f>
        <v>0</v>
      </c>
      <c r="O373" s="46">
        <f t="shared" si="47"/>
        <v>0</v>
      </c>
      <c r="P373" s="100">
        <f>VLOOKUP($H:$H,型材表!$B$5:$I$45,5,0)</f>
        <v>0.125</v>
      </c>
      <c r="Q373" s="100" t="str">
        <f>VLOOKUP($H:$H,型材表!$B$5:$I$468,6,0)</f>
        <v>阳极氧化铝型材</v>
      </c>
      <c r="R373" s="49"/>
      <c r="S373" s="50"/>
      <c r="U373" s="374" t="s">
        <v>995</v>
      </c>
      <c r="V373" s="259">
        <f>28.1-1</f>
        <v>27.1</v>
      </c>
      <c r="X373" s="264"/>
      <c r="Y373" s="265"/>
      <c r="Z373" s="264"/>
      <c r="AA373" s="265"/>
      <c r="AB373" s="264"/>
      <c r="AC373" s="265"/>
      <c r="AD373" s="264"/>
      <c r="AE373" s="265"/>
      <c r="AF373" s="264"/>
      <c r="AG373" s="265"/>
      <c r="AH373" s="264"/>
      <c r="AI373" s="265"/>
    </row>
    <row r="374" spans="1:35" x14ac:dyDescent="0.15">
      <c r="A374" s="395">
        <v>13</v>
      </c>
      <c r="B374" s="534"/>
      <c r="C374" s="535"/>
      <c r="D374" s="535"/>
      <c r="E374" s="536"/>
      <c r="F374" s="47" t="str">
        <f>VLOOKUP($H:$H,型材表!$B$5:$I$45,2,0)</f>
        <v>角码</v>
      </c>
      <c r="G374" s="51" t="s">
        <v>447</v>
      </c>
      <c r="H374" s="45" t="str">
        <f>IF(G347=70,"SW50F002",IF(G347=75,"SW50F002","SN55F003"))</f>
        <v>SN55F003</v>
      </c>
      <c r="I374" s="45" t="s">
        <v>996</v>
      </c>
      <c r="J374" s="52">
        <f>IF(G347=65,V374,IF(G347=55,X374,IF(G347=551,Z374,IF(G347=60,AB374,IF(G347=601,AD374,IF(G347=70,AF374,IF(G347=75,AH374)))))))</f>
        <v>8</v>
      </c>
      <c r="K374" s="45">
        <f>K373</f>
        <v>8</v>
      </c>
      <c r="L374" s="47">
        <f>VLOOKUP($H:$H,型材表!$B$5:$I$45,4,0)</f>
        <v>1.7490000000000001</v>
      </c>
      <c r="M374" s="46">
        <f t="shared" si="46"/>
        <v>0.11193600000000001</v>
      </c>
      <c r="N374" s="72">
        <f>VLOOKUP($H:$H,型材表!$B$5:$I$45,7,0)</f>
        <v>0</v>
      </c>
      <c r="O374" s="46">
        <f t="shared" si="47"/>
        <v>0</v>
      </c>
      <c r="P374" s="100">
        <f>VLOOKUP($H:$H,型材表!$B$5:$I$45,5,0)</f>
        <v>0.125</v>
      </c>
      <c r="Q374" s="100" t="str">
        <f>VLOOKUP($H:$H,型材表!$B$5:$I$468,6,0)</f>
        <v>阳极氧化铝型材</v>
      </c>
      <c r="R374" s="49"/>
      <c r="S374" s="50"/>
      <c r="U374" s="374" t="s">
        <v>996</v>
      </c>
      <c r="V374" s="259">
        <f>9-1</f>
        <v>8</v>
      </c>
      <c r="X374" s="264">
        <f>9-1</f>
        <v>8</v>
      </c>
      <c r="Y374" s="265"/>
      <c r="Z374" s="264">
        <f>5.2-1</f>
        <v>4.2</v>
      </c>
      <c r="AA374" s="277"/>
      <c r="AB374" s="264">
        <f>9-1</f>
        <v>8</v>
      </c>
      <c r="AC374" s="277"/>
      <c r="AD374" s="264">
        <f>5.2-1</f>
        <v>4.2</v>
      </c>
      <c r="AE374" s="277"/>
      <c r="AF374" s="264">
        <f>9-1</f>
        <v>8</v>
      </c>
      <c r="AG374" s="277"/>
      <c r="AH374" s="264">
        <f>9-1</f>
        <v>8</v>
      </c>
      <c r="AI374" s="265"/>
    </row>
    <row r="375" spans="1:35" x14ac:dyDescent="0.15">
      <c r="A375" s="395">
        <v>14</v>
      </c>
      <c r="B375" s="534"/>
      <c r="C375" s="535"/>
      <c r="D375" s="535"/>
      <c r="E375" s="536"/>
      <c r="F375" s="47" t="str">
        <f>VLOOKUP($H:$H,型材表!$B$5:$I$45,2,0)</f>
        <v>中梃角码</v>
      </c>
      <c r="G375" s="51"/>
      <c r="H375" s="45" t="str">
        <f>IF(G347=65,"SN55F001","SN55F001")</f>
        <v>SN55F001</v>
      </c>
      <c r="I375" s="45" t="s">
        <v>997</v>
      </c>
      <c r="J375" s="52">
        <f t="shared" si="50"/>
        <v>18.5</v>
      </c>
      <c r="K375" s="45">
        <v>4</v>
      </c>
      <c r="L375" s="47">
        <f>VLOOKUP($H:$H,型材表!$B$5:$I$45,4,0)</f>
        <v>1.4730000000000001</v>
      </c>
      <c r="M375" s="46">
        <f t="shared" si="46"/>
        <v>0.10900200000000002</v>
      </c>
      <c r="N375" s="72">
        <f>VLOOKUP($H:$H,型材表!$B$5:$I$45,7,0)</f>
        <v>0</v>
      </c>
      <c r="O375" s="46">
        <f t="shared" si="47"/>
        <v>0</v>
      </c>
      <c r="P375" s="100">
        <f>VLOOKUP($H:$H,型材表!$B$5:$I$45,5,0)</f>
        <v>0.125</v>
      </c>
      <c r="Q375" s="100" t="str">
        <f>VLOOKUP($H:$H,型材表!$B$5:$I$468,6,0)</f>
        <v>阳极氧化铝型材</v>
      </c>
      <c r="R375" s="49"/>
      <c r="S375" s="50"/>
      <c r="U375" s="374" t="s">
        <v>997</v>
      </c>
      <c r="V375" s="259">
        <f>19.5-1</f>
        <v>18.5</v>
      </c>
      <c r="X375" s="264"/>
      <c r="Y375" s="265"/>
      <c r="Z375" s="264"/>
      <c r="AA375" s="265"/>
      <c r="AB375" s="264"/>
      <c r="AC375" s="265"/>
      <c r="AD375" s="264"/>
      <c r="AE375" s="265"/>
      <c r="AF375" s="264"/>
      <c r="AG375" s="265"/>
      <c r="AH375" s="264"/>
      <c r="AI375" s="265"/>
    </row>
    <row r="376" spans="1:35" x14ac:dyDescent="0.15">
      <c r="A376" s="395">
        <v>15</v>
      </c>
      <c r="B376" s="534"/>
      <c r="C376" s="535"/>
      <c r="D376" s="535"/>
      <c r="E376" s="536"/>
      <c r="F376" s="47" t="str">
        <f>VLOOKUP($H:$H,型材表!$B$5:$I$45,2,0)</f>
        <v>中梃角码</v>
      </c>
      <c r="G376" s="53"/>
      <c r="H376" s="45" t="str">
        <f>IF(G347=70,"SN70F001",IF(G347=75,"SN70F001",IF(G347=551,"SN55BF001",IF(G347=601,"SN55BF001","SN55F002"))))</f>
        <v>SN55F002</v>
      </c>
      <c r="I376" s="45" t="s">
        <v>939</v>
      </c>
      <c r="J376" s="52">
        <f t="shared" si="50"/>
        <v>13.5</v>
      </c>
      <c r="K376" s="55">
        <f>K375</f>
        <v>4</v>
      </c>
      <c r="L376" s="47">
        <f>VLOOKUP($H:$H,型材表!$B$5:$I$45,4,0)</f>
        <v>0.90400000000000003</v>
      </c>
      <c r="M376" s="46">
        <f t="shared" si="46"/>
        <v>4.8816000000000005E-2</v>
      </c>
      <c r="N376" s="72">
        <f>VLOOKUP($H:$H,型材表!$B$5:$I$45,7,0)</f>
        <v>0</v>
      </c>
      <c r="O376" s="46">
        <f t="shared" si="47"/>
        <v>0</v>
      </c>
      <c r="P376" s="100">
        <f>VLOOKUP($H:$H,型材表!$B$5:$I$45,5,0)</f>
        <v>0.125</v>
      </c>
      <c r="Q376" s="100" t="str">
        <f>VLOOKUP($H:$H,型材表!$B$5:$I$468,6,0)</f>
        <v>阳极氧化铝型材</v>
      </c>
      <c r="R376" s="49"/>
      <c r="S376" s="50"/>
      <c r="U376" s="374" t="s">
        <v>939</v>
      </c>
      <c r="V376" s="259">
        <f>14.5-1</f>
        <v>13.5</v>
      </c>
      <c r="X376" s="264"/>
      <c r="Y376" s="265"/>
      <c r="Z376" s="264"/>
      <c r="AA376" s="265"/>
      <c r="AB376" s="264"/>
      <c r="AC376" s="265"/>
      <c r="AD376" s="264"/>
      <c r="AE376" s="265"/>
      <c r="AF376" s="264"/>
      <c r="AG376" s="265"/>
      <c r="AH376" s="264"/>
      <c r="AI376" s="265"/>
    </row>
    <row r="377" spans="1:35" x14ac:dyDescent="0.15">
      <c r="A377" s="395">
        <v>16</v>
      </c>
      <c r="B377" s="534"/>
      <c r="C377" s="535"/>
      <c r="D377" s="535"/>
      <c r="E377" s="536"/>
      <c r="F377" s="306"/>
      <c r="G377" s="213"/>
      <c r="H377" s="207"/>
      <c r="I377" s="207"/>
      <c r="J377" s="214"/>
      <c r="K377" s="207"/>
      <c r="L377" s="306"/>
      <c r="M377" s="208"/>
      <c r="N377" s="432"/>
      <c r="O377" s="208"/>
      <c r="P377" s="433"/>
      <c r="Q377" s="360"/>
      <c r="R377" s="60"/>
      <c r="S377" s="50"/>
      <c r="X377" s="264"/>
      <c r="Y377" s="265"/>
      <c r="Z377" s="264"/>
      <c r="AA377" s="265"/>
      <c r="AB377" s="264"/>
      <c r="AC377" s="265"/>
      <c r="AD377" s="264"/>
      <c r="AE377" s="265"/>
      <c r="AF377" s="264"/>
      <c r="AG377" s="265"/>
      <c r="AH377" s="264"/>
      <c r="AI377" s="265"/>
    </row>
    <row r="378" spans="1:35" x14ac:dyDescent="0.15">
      <c r="A378" s="395">
        <v>17</v>
      </c>
      <c r="B378" s="534"/>
      <c r="C378" s="535"/>
      <c r="D378" s="535"/>
      <c r="E378" s="536"/>
      <c r="F378" s="306"/>
      <c r="G378" s="213"/>
      <c r="H378" s="207"/>
      <c r="I378" s="207"/>
      <c r="J378" s="214"/>
      <c r="K378" s="207"/>
      <c r="L378" s="306"/>
      <c r="M378" s="208"/>
      <c r="N378" s="432"/>
      <c r="O378" s="208"/>
      <c r="P378" s="433"/>
      <c r="Q378" s="360"/>
      <c r="R378" s="60"/>
      <c r="S378" s="50"/>
      <c r="X378" s="264"/>
      <c r="Y378" s="265"/>
      <c r="Z378" s="264"/>
      <c r="AA378" s="265"/>
      <c r="AB378" s="264"/>
      <c r="AC378" s="265"/>
      <c r="AD378" s="264"/>
      <c r="AE378" s="265"/>
      <c r="AF378" s="264"/>
      <c r="AG378" s="265"/>
      <c r="AH378" s="264"/>
      <c r="AI378" s="265"/>
    </row>
    <row r="379" spans="1:35" x14ac:dyDescent="0.15">
      <c r="A379" s="395">
        <v>18</v>
      </c>
      <c r="B379" s="534"/>
      <c r="C379" s="535"/>
      <c r="D379" s="535"/>
      <c r="E379" s="536"/>
      <c r="F379" s="306"/>
      <c r="G379" s="213"/>
      <c r="H379" s="207"/>
      <c r="I379" s="207"/>
      <c r="J379" s="214"/>
      <c r="K379" s="207"/>
      <c r="L379" s="306"/>
      <c r="M379" s="208"/>
      <c r="N379" s="432"/>
      <c r="O379" s="208"/>
      <c r="P379" s="433"/>
      <c r="Q379" s="360"/>
      <c r="R379" s="60"/>
      <c r="S379" s="50"/>
      <c r="X379" s="264"/>
      <c r="Y379" s="265"/>
      <c r="Z379" s="264"/>
      <c r="AA379" s="265"/>
      <c r="AB379" s="264"/>
      <c r="AC379" s="265"/>
      <c r="AD379" s="264"/>
      <c r="AE379" s="265"/>
      <c r="AF379" s="264"/>
      <c r="AG379" s="265"/>
      <c r="AH379" s="264"/>
      <c r="AI379" s="265"/>
    </row>
    <row r="380" spans="1:35" x14ac:dyDescent="0.15">
      <c r="A380" s="395">
        <v>19</v>
      </c>
      <c r="B380" s="534"/>
      <c r="C380" s="535"/>
      <c r="D380" s="535"/>
      <c r="E380" s="536"/>
      <c r="F380" s="306"/>
      <c r="G380" s="213"/>
      <c r="H380" s="207"/>
      <c r="I380" s="207"/>
      <c r="J380" s="214"/>
      <c r="K380" s="207"/>
      <c r="L380" s="306"/>
      <c r="M380" s="208"/>
      <c r="N380" s="432"/>
      <c r="O380" s="208"/>
      <c r="P380" s="433"/>
      <c r="Q380" s="360"/>
      <c r="R380" s="60"/>
      <c r="S380" s="50"/>
      <c r="X380" s="264"/>
      <c r="Y380" s="265"/>
      <c r="Z380" s="264"/>
      <c r="AA380" s="265"/>
      <c r="AB380" s="264"/>
      <c r="AC380" s="265"/>
      <c r="AD380" s="264"/>
      <c r="AE380" s="265"/>
      <c r="AF380" s="264"/>
      <c r="AG380" s="265"/>
      <c r="AH380" s="264"/>
      <c r="AI380" s="265"/>
    </row>
    <row r="381" spans="1:35" x14ac:dyDescent="0.15">
      <c r="A381" s="395">
        <v>20</v>
      </c>
      <c r="B381" s="534"/>
      <c r="C381" s="535"/>
      <c r="D381" s="535"/>
      <c r="E381" s="536"/>
      <c r="F381" s="306"/>
      <c r="G381" s="213"/>
      <c r="H381" s="207"/>
      <c r="I381" s="207"/>
      <c r="J381" s="214"/>
      <c r="K381" s="207"/>
      <c r="L381" s="306"/>
      <c r="M381" s="208"/>
      <c r="N381" s="432"/>
      <c r="O381" s="208"/>
      <c r="P381" s="433"/>
      <c r="Q381" s="360"/>
      <c r="R381" s="60"/>
      <c r="S381" s="50"/>
      <c r="X381" s="264"/>
      <c r="Y381" s="265"/>
      <c r="Z381" s="264"/>
      <c r="AA381" s="265"/>
      <c r="AB381" s="264"/>
      <c r="AC381" s="265"/>
      <c r="AD381" s="264"/>
      <c r="AE381" s="265"/>
      <c r="AF381" s="264"/>
      <c r="AG381" s="265"/>
      <c r="AH381" s="264"/>
      <c r="AI381" s="265"/>
    </row>
    <row r="382" spans="1:35" x14ac:dyDescent="0.15">
      <c r="A382" s="395">
        <v>21</v>
      </c>
      <c r="B382" s="537"/>
      <c r="C382" s="538"/>
      <c r="D382" s="538"/>
      <c r="E382" s="539"/>
      <c r="F382" s="306"/>
      <c r="G382" s="213"/>
      <c r="H382" s="207"/>
      <c r="I382" s="207"/>
      <c r="J382" s="214"/>
      <c r="K382" s="207"/>
      <c r="L382" s="306"/>
      <c r="M382" s="208"/>
      <c r="N382" s="432"/>
      <c r="O382" s="208"/>
      <c r="P382" s="433"/>
      <c r="Q382" s="360"/>
      <c r="R382" s="60"/>
      <c r="S382" s="50"/>
      <c r="X382" s="264"/>
      <c r="Y382" s="265"/>
      <c r="Z382" s="264"/>
      <c r="AA382" s="265"/>
      <c r="AB382" s="264"/>
      <c r="AC382" s="265"/>
      <c r="AD382" s="264"/>
      <c r="AE382" s="265"/>
      <c r="AF382" s="264"/>
      <c r="AG382" s="265"/>
      <c r="AH382" s="264"/>
      <c r="AI382" s="265"/>
    </row>
    <row r="383" spans="1:35" ht="13.5" customHeight="1" x14ac:dyDescent="0.15">
      <c r="A383" s="567" t="s">
        <v>877</v>
      </c>
      <c r="B383" s="568"/>
      <c r="C383" s="568"/>
      <c r="D383" s="568"/>
      <c r="E383" s="568"/>
      <c r="F383" s="568"/>
      <c r="G383" s="568"/>
      <c r="H383" s="568"/>
      <c r="I383" s="568"/>
      <c r="J383" s="568"/>
      <c r="K383" s="568"/>
      <c r="L383" s="569"/>
      <c r="M383" s="46">
        <f>SUMIF($Q$362:$Q$376,A383,$M$362:$M$376)</f>
        <v>15.008177999999997</v>
      </c>
      <c r="N383" s="58"/>
      <c r="O383" s="46"/>
      <c r="P383" s="59"/>
      <c r="Q383" s="336"/>
      <c r="R383" s="60"/>
      <c r="S383" s="50"/>
      <c r="X383" s="264"/>
      <c r="Y383" s="265"/>
      <c r="Z383" s="264"/>
      <c r="AA383" s="265"/>
      <c r="AB383" s="264"/>
      <c r="AC383" s="265"/>
      <c r="AD383" s="264"/>
      <c r="AE383" s="265"/>
      <c r="AF383" s="264"/>
      <c r="AG383" s="265"/>
      <c r="AH383" s="264"/>
      <c r="AI383" s="265"/>
    </row>
    <row r="384" spans="1:35" ht="13.5" customHeight="1" x14ac:dyDescent="0.15">
      <c r="A384" s="567" t="s">
        <v>879</v>
      </c>
      <c r="B384" s="568"/>
      <c r="C384" s="568"/>
      <c r="D384" s="568"/>
      <c r="E384" s="568"/>
      <c r="F384" s="568"/>
      <c r="G384" s="568"/>
      <c r="H384" s="568"/>
      <c r="I384" s="568"/>
      <c r="J384" s="568"/>
      <c r="K384" s="568"/>
      <c r="L384" s="569"/>
      <c r="M384" s="46">
        <f>SUMIF($Q$362:$Q$376,A384,$M$362:$M$376)</f>
        <v>1.6746767999999999</v>
      </c>
      <c r="N384" s="58"/>
      <c r="O384" s="46"/>
      <c r="P384" s="59"/>
      <c r="Q384" s="336"/>
      <c r="R384" s="60"/>
      <c r="S384" s="50"/>
      <c r="X384" s="264"/>
      <c r="Y384" s="265"/>
      <c r="Z384" s="264"/>
      <c r="AA384" s="265"/>
      <c r="AB384" s="264"/>
      <c r="AC384" s="265"/>
      <c r="AD384" s="264"/>
      <c r="AE384" s="265"/>
      <c r="AF384" s="264"/>
      <c r="AG384" s="265"/>
      <c r="AH384" s="264"/>
      <c r="AI384" s="265"/>
    </row>
    <row r="385" spans="1:35" x14ac:dyDescent="0.15">
      <c r="A385" s="563" t="s">
        <v>880</v>
      </c>
      <c r="B385" s="563"/>
      <c r="C385" s="563"/>
      <c r="D385" s="564"/>
      <c r="E385" s="564"/>
      <c r="F385" s="563"/>
      <c r="G385" s="563"/>
      <c r="H385" s="563"/>
      <c r="I385" s="563"/>
      <c r="J385" s="563"/>
      <c r="K385" s="563"/>
      <c r="L385" s="563"/>
      <c r="M385" s="46">
        <f>SUMIF($Q$362:$Q$376,A385,$M$362:$M$376)</f>
        <v>0.91877320000000018</v>
      </c>
      <c r="N385" s="58"/>
      <c r="O385" s="46"/>
      <c r="P385" s="59"/>
      <c r="Q385" s="336"/>
      <c r="R385" s="60"/>
      <c r="S385" s="50"/>
      <c r="X385" s="264"/>
      <c r="Y385" s="265"/>
      <c r="Z385" s="264"/>
      <c r="AA385" s="265"/>
      <c r="AB385" s="264"/>
      <c r="AC385" s="265"/>
      <c r="AD385" s="264"/>
      <c r="AE385" s="265"/>
      <c r="AF385" s="264"/>
      <c r="AG385" s="265"/>
      <c r="AH385" s="264"/>
      <c r="AI385" s="265"/>
    </row>
    <row r="386" spans="1:35" x14ac:dyDescent="0.15">
      <c r="A386" s="61"/>
      <c r="B386" s="552"/>
      <c r="C386" s="557"/>
      <c r="D386" s="557"/>
      <c r="E386" s="553"/>
      <c r="F386" s="552" t="s">
        <v>48</v>
      </c>
      <c r="G386" s="557"/>
      <c r="H386" s="557"/>
      <c r="I386" s="557"/>
      <c r="J386" s="557"/>
      <c r="K386" s="557"/>
      <c r="L386" s="553"/>
      <c r="M386" s="62">
        <f>SUM(M383:M385)</f>
        <v>17.601627999999998</v>
      </c>
      <c r="N386" s="63"/>
      <c r="O386" s="62">
        <f>SUM(O362:O376)</f>
        <v>0</v>
      </c>
      <c r="P386" s="63"/>
      <c r="Q386" s="337"/>
      <c r="R386" s="64"/>
      <c r="S386" s="64"/>
      <c r="X386" s="264"/>
      <c r="Y386" s="265"/>
      <c r="Z386" s="264"/>
      <c r="AA386" s="265"/>
      <c r="AB386" s="264"/>
      <c r="AC386" s="265"/>
      <c r="AD386" s="264"/>
      <c r="AE386" s="265"/>
      <c r="AF386" s="264"/>
      <c r="AG386" s="265"/>
      <c r="AH386" s="264"/>
      <c r="AI386" s="265"/>
    </row>
    <row r="387" spans="1:35" ht="24" x14ac:dyDescent="0.15">
      <c r="A387" s="65"/>
      <c r="B387" s="565" t="s">
        <v>49</v>
      </c>
      <c r="C387" s="561"/>
      <c r="D387" s="561"/>
      <c r="E387" s="566"/>
      <c r="F387" s="565" t="s">
        <v>26</v>
      </c>
      <c r="G387" s="566"/>
      <c r="H387" s="66" t="s">
        <v>1007</v>
      </c>
      <c r="I387" s="66" t="s">
        <v>1008</v>
      </c>
      <c r="J387" s="66" t="s">
        <v>50</v>
      </c>
      <c r="K387" s="66" t="s">
        <v>51</v>
      </c>
      <c r="L387" s="67" t="s">
        <v>30</v>
      </c>
      <c r="M387" s="66" t="s">
        <v>52</v>
      </c>
      <c r="N387" s="68" t="s">
        <v>53</v>
      </c>
      <c r="O387" s="68" t="s">
        <v>34</v>
      </c>
      <c r="P387" s="69" t="s">
        <v>35</v>
      </c>
      <c r="Q387" s="42"/>
      <c r="R387" s="67"/>
      <c r="S387" s="67"/>
      <c r="V387" s="270" t="s">
        <v>352</v>
      </c>
      <c r="W387" s="270" t="s">
        <v>353</v>
      </c>
      <c r="X387" s="271" t="s">
        <v>352</v>
      </c>
      <c r="Y387" s="272" t="s">
        <v>353</v>
      </c>
      <c r="Z387" s="271" t="s">
        <v>352</v>
      </c>
      <c r="AA387" s="272" t="s">
        <v>353</v>
      </c>
      <c r="AB387" s="271" t="s">
        <v>352</v>
      </c>
      <c r="AC387" s="272" t="s">
        <v>353</v>
      </c>
      <c r="AD387" s="271" t="s">
        <v>352</v>
      </c>
      <c r="AE387" s="272" t="s">
        <v>353</v>
      </c>
      <c r="AF387" s="271" t="s">
        <v>352</v>
      </c>
      <c r="AG387" s="272" t="s">
        <v>353</v>
      </c>
      <c r="AH387" s="271" t="s">
        <v>352</v>
      </c>
      <c r="AI387" s="272" t="s">
        <v>353</v>
      </c>
    </row>
    <row r="388" spans="1:35" ht="14.25" customHeight="1" x14ac:dyDescent="0.15">
      <c r="A388" s="57">
        <v>1</v>
      </c>
      <c r="B388" s="545" t="s">
        <v>133</v>
      </c>
      <c r="C388" s="546"/>
      <c r="D388" s="546"/>
      <c r="E388" s="547"/>
      <c r="F388" s="545" t="s">
        <v>55</v>
      </c>
      <c r="G388" s="547"/>
      <c r="H388" s="45" t="s">
        <v>1027</v>
      </c>
      <c r="I388" s="45" t="s">
        <v>1046</v>
      </c>
      <c r="J388" s="46">
        <f>IF(G347=65,M354-V388,IF(G347=55,M354-X388,IF(G347=551,M354-Z388,IF(G347=60,M354-AB388,IF(G347=601,M354-AD388,IF(G347=70,M354-AF388,IF(G347=75,AH388-X388)))))))</f>
        <v>475</v>
      </c>
      <c r="K388" s="70">
        <f>IF(G347=65,M351-W388,IF(G347=55,M351-Y388,IF(G347=551,M351-AA388,IF(G347=60,M351-AC388,IF(G347=601,M351-AE388,IF(G347=70,M351-AG388,IF(G347=75,M351-AI388)))))))</f>
        <v>775</v>
      </c>
      <c r="L388" s="70">
        <v>2</v>
      </c>
      <c r="M388" s="46">
        <f>J388*K388*L388/1000000</f>
        <v>0.73624999999999996</v>
      </c>
      <c r="N388" s="46"/>
      <c r="O388" s="46">
        <f>N388*M388</f>
        <v>0</v>
      </c>
      <c r="P388" s="71"/>
      <c r="Q388" s="240"/>
      <c r="R388" s="72"/>
      <c r="S388" s="72"/>
      <c r="T388" s="456" t="s">
        <v>1595</v>
      </c>
      <c r="U388" s="374" t="s">
        <v>1600</v>
      </c>
      <c r="V388" s="259">
        <f>70+55</f>
        <v>125</v>
      </c>
      <c r="W388" s="259">
        <f>70+55</f>
        <v>125</v>
      </c>
      <c r="X388" s="264">
        <f t="shared" ref="X388:AI388" si="51">72+57</f>
        <v>129</v>
      </c>
      <c r="Y388" s="265">
        <f t="shared" si="51"/>
        <v>129</v>
      </c>
      <c r="Z388" s="264">
        <f t="shared" si="51"/>
        <v>129</v>
      </c>
      <c r="AA388" s="265">
        <f t="shared" si="51"/>
        <v>129</v>
      </c>
      <c r="AB388" s="264">
        <f t="shared" si="51"/>
        <v>129</v>
      </c>
      <c r="AC388" s="265">
        <f t="shared" si="51"/>
        <v>129</v>
      </c>
      <c r="AD388" s="264">
        <f t="shared" si="51"/>
        <v>129</v>
      </c>
      <c r="AE388" s="265">
        <f t="shared" si="51"/>
        <v>129</v>
      </c>
      <c r="AF388" s="264">
        <f t="shared" si="51"/>
        <v>129</v>
      </c>
      <c r="AG388" s="265">
        <f t="shared" si="51"/>
        <v>129</v>
      </c>
      <c r="AH388" s="264">
        <f t="shared" si="51"/>
        <v>129</v>
      </c>
      <c r="AI388" s="265">
        <f t="shared" si="51"/>
        <v>129</v>
      </c>
    </row>
    <row r="389" spans="1:35" x14ac:dyDescent="0.15">
      <c r="A389" s="57">
        <v>2</v>
      </c>
      <c r="B389" s="545" t="s">
        <v>889</v>
      </c>
      <c r="C389" s="546"/>
      <c r="D389" s="546"/>
      <c r="E389" s="547"/>
      <c r="F389" s="545" t="s">
        <v>135</v>
      </c>
      <c r="G389" s="547"/>
      <c r="H389" s="45" t="s">
        <v>1051</v>
      </c>
      <c r="I389" s="45" t="s">
        <v>1047</v>
      </c>
      <c r="J389" s="46">
        <f>IF(G347=65,M350-V389,IF(G347=55,M350-X389,IF(G347=551,M350-Z389,IF(G347=60,M350-AB389,IF(G347=601,M350-AD389,IF(G347=70,M350-AF389,IF(G347=75,M350-AH389)))))))</f>
        <v>1134</v>
      </c>
      <c r="K389" s="70">
        <f>IF(G347=65,M352-W389,IF(G347=55,M352-Y389,IF(G347=551,M352-AA389,IF(G347=60,M352-AC389,IF(G347=601,M352-AE389,IF(G347=70,M352-AG389,IF(G347=75,M352-AI389)))))))</f>
        <v>349</v>
      </c>
      <c r="L389" s="70">
        <v>1</v>
      </c>
      <c r="M389" s="46">
        <f>J389*K389*L389/1000000</f>
        <v>0.39576600000000001</v>
      </c>
      <c r="N389" s="46"/>
      <c r="O389" s="46">
        <f>N389*M389</f>
        <v>0</v>
      </c>
      <c r="P389" s="71"/>
      <c r="Q389" s="240"/>
      <c r="R389" s="72"/>
      <c r="S389" s="72"/>
      <c r="T389" s="456" t="s">
        <v>1599</v>
      </c>
      <c r="U389" s="374" t="s">
        <v>1601</v>
      </c>
      <c r="V389" s="259">
        <f>33*2</f>
        <v>66</v>
      </c>
      <c r="W389" s="259">
        <f>33+18</f>
        <v>51</v>
      </c>
      <c r="X389" s="264">
        <f>35*2</f>
        <v>70</v>
      </c>
      <c r="Y389" s="265">
        <f>35+20</f>
        <v>55</v>
      </c>
      <c r="Z389" s="264">
        <f>35*2</f>
        <v>70</v>
      </c>
      <c r="AA389" s="265">
        <f>35+20</f>
        <v>55</v>
      </c>
      <c r="AB389" s="264">
        <f>35*2</f>
        <v>70</v>
      </c>
      <c r="AC389" s="265">
        <f>35+20</f>
        <v>55</v>
      </c>
      <c r="AD389" s="264">
        <f>35*2</f>
        <v>70</v>
      </c>
      <c r="AE389" s="265">
        <f>35+20</f>
        <v>55</v>
      </c>
      <c r="AF389" s="264">
        <f>35*2</f>
        <v>70</v>
      </c>
      <c r="AG389" s="265">
        <f>35+20</f>
        <v>55</v>
      </c>
      <c r="AH389" s="264">
        <f>35*2</f>
        <v>70</v>
      </c>
      <c r="AI389" s="265">
        <f>35+20</f>
        <v>55</v>
      </c>
    </row>
    <row r="390" spans="1:35" x14ac:dyDescent="0.15">
      <c r="A390" s="57"/>
      <c r="B390" s="545"/>
      <c r="C390" s="546"/>
      <c r="D390" s="546"/>
      <c r="E390" s="547"/>
      <c r="F390" s="545"/>
      <c r="G390" s="547"/>
      <c r="H390" s="45"/>
      <c r="I390" s="45"/>
      <c r="J390" s="46"/>
      <c r="K390" s="57"/>
      <c r="L390" s="70"/>
      <c r="M390" s="46"/>
      <c r="N390" s="46"/>
      <c r="O390" s="46"/>
      <c r="P390" s="48"/>
      <c r="Q390" s="211"/>
      <c r="R390" s="73"/>
      <c r="S390" s="73"/>
    </row>
    <row r="391" spans="1:35" x14ac:dyDescent="0.15">
      <c r="A391" s="396"/>
      <c r="B391" s="434"/>
      <c r="C391" s="435"/>
      <c r="D391" s="435"/>
      <c r="E391" s="436"/>
      <c r="F391" s="434"/>
      <c r="G391" s="436"/>
      <c r="H391" s="207"/>
      <c r="I391" s="207"/>
      <c r="J391" s="208"/>
      <c r="K391" s="396"/>
      <c r="L391" s="239"/>
      <c r="M391" s="208"/>
      <c r="N391" s="208"/>
      <c r="O391" s="208"/>
      <c r="P391" s="437"/>
      <c r="Q391" s="336"/>
      <c r="R391" s="117"/>
      <c r="S391" s="117"/>
    </row>
    <row r="392" spans="1:35" x14ac:dyDescent="0.15">
      <c r="A392" s="396"/>
      <c r="B392" s="434"/>
      <c r="C392" s="435"/>
      <c r="D392" s="435"/>
      <c r="E392" s="436"/>
      <c r="F392" s="434"/>
      <c r="G392" s="436"/>
      <c r="H392" s="207"/>
      <c r="I392" s="207"/>
      <c r="J392" s="208"/>
      <c r="K392" s="396"/>
      <c r="L392" s="239"/>
      <c r="M392" s="208"/>
      <c r="N392" s="208"/>
      <c r="O392" s="208"/>
      <c r="P392" s="437"/>
      <c r="Q392" s="336"/>
      <c r="R392" s="117"/>
      <c r="S392" s="117"/>
    </row>
    <row r="393" spans="1:35" x14ac:dyDescent="0.15">
      <c r="A393" s="396"/>
      <c r="B393" s="434"/>
      <c r="C393" s="435"/>
      <c r="D393" s="435"/>
      <c r="E393" s="436"/>
      <c r="F393" s="434"/>
      <c r="G393" s="436"/>
      <c r="H393" s="207"/>
      <c r="I393" s="207"/>
      <c r="J393" s="208"/>
      <c r="K393" s="396"/>
      <c r="L393" s="239"/>
      <c r="M393" s="208"/>
      <c r="N393" s="208"/>
      <c r="O393" s="208"/>
      <c r="P393" s="437"/>
      <c r="Q393" s="336"/>
      <c r="R393" s="117"/>
      <c r="S393" s="117"/>
    </row>
    <row r="394" spans="1:35" x14ac:dyDescent="0.15">
      <c r="A394" s="74"/>
      <c r="B394" s="552"/>
      <c r="C394" s="557"/>
      <c r="D394" s="557"/>
      <c r="E394" s="553"/>
      <c r="F394" s="554" t="s">
        <v>56</v>
      </c>
      <c r="G394" s="554"/>
      <c r="H394" s="554"/>
      <c r="I394" s="554"/>
      <c r="J394" s="570"/>
      <c r="K394" s="570"/>
      <c r="L394" s="554"/>
      <c r="M394" s="62">
        <f>SUM(M388:M393)</f>
        <v>1.1320159999999999</v>
      </c>
      <c r="N394" s="75"/>
      <c r="O394" s="62">
        <f>SUM(O388:O393)</f>
        <v>0</v>
      </c>
      <c r="P394" s="63" t="s">
        <v>57</v>
      </c>
      <c r="Q394" s="337"/>
      <c r="R394" s="64"/>
      <c r="S394" s="64"/>
    </row>
    <row r="395" spans="1:35" ht="24" x14ac:dyDescent="0.15">
      <c r="A395" s="65"/>
      <c r="B395" s="565" t="s">
        <v>58</v>
      </c>
      <c r="C395" s="561"/>
      <c r="D395" s="561"/>
      <c r="E395" s="566"/>
      <c r="F395" s="565" t="s">
        <v>26</v>
      </c>
      <c r="G395" s="566"/>
      <c r="H395" s="66" t="s">
        <v>59</v>
      </c>
      <c r="I395" s="66"/>
      <c r="J395" s="66" t="s">
        <v>60</v>
      </c>
      <c r="K395" s="66" t="s">
        <v>6</v>
      </c>
      <c r="L395" s="67" t="s">
        <v>61</v>
      </c>
      <c r="M395" s="66" t="s">
        <v>30</v>
      </c>
      <c r="N395" s="68" t="s">
        <v>62</v>
      </c>
      <c r="O395" s="68" t="s">
        <v>34</v>
      </c>
      <c r="P395" s="69" t="s">
        <v>57</v>
      </c>
      <c r="Q395" s="42"/>
      <c r="R395" s="67"/>
      <c r="S395" s="67"/>
    </row>
    <row r="396" spans="1:35" ht="25.5" customHeight="1" x14ac:dyDescent="0.15">
      <c r="A396" s="57">
        <v>1</v>
      </c>
      <c r="B396" s="545"/>
      <c r="C396" s="546"/>
      <c r="D396" s="546"/>
      <c r="E396" s="547"/>
      <c r="F396" s="545" t="s">
        <v>63</v>
      </c>
      <c r="G396" s="547"/>
      <c r="H396" s="45"/>
      <c r="I396" s="45"/>
      <c r="J396" s="45"/>
      <c r="K396" s="46" t="str">
        <f>VLOOKUP($F:$F,材料单价表!$B$3:$G$42,4,0)</f>
        <v>套</v>
      </c>
      <c r="L396" s="72"/>
      <c r="M396" s="46">
        <v>2</v>
      </c>
      <c r="N396" s="46">
        <f>VLOOKUP($F:$F,材料单价表!$B$3:$G$42,5,0)</f>
        <v>0</v>
      </c>
      <c r="O396" s="46">
        <f t="shared" ref="O396" si="52">N396*M396</f>
        <v>0</v>
      </c>
      <c r="P396" s="48"/>
      <c r="Q396" s="211"/>
      <c r="R396" s="73"/>
      <c r="S396" s="73"/>
    </row>
    <row r="397" spans="1:35" x14ac:dyDescent="0.15">
      <c r="A397" s="74"/>
      <c r="B397" s="552"/>
      <c r="C397" s="557"/>
      <c r="D397" s="557"/>
      <c r="E397" s="553"/>
      <c r="F397" s="554" t="s">
        <v>64</v>
      </c>
      <c r="G397" s="554"/>
      <c r="H397" s="554"/>
      <c r="I397" s="554"/>
      <c r="J397" s="570"/>
      <c r="K397" s="570"/>
      <c r="L397" s="554"/>
      <c r="M397" s="62">
        <f>M396</f>
        <v>2</v>
      </c>
      <c r="N397" s="75"/>
      <c r="O397" s="62">
        <f>SUM(O396:O396)</f>
        <v>0</v>
      </c>
      <c r="P397" s="63" t="s">
        <v>57</v>
      </c>
      <c r="Q397" s="337"/>
      <c r="R397" s="64"/>
      <c r="S397" s="64"/>
    </row>
    <row r="398" spans="1:35" ht="24" x14ac:dyDescent="0.15">
      <c r="A398" s="65"/>
      <c r="B398" s="565" t="s">
        <v>65</v>
      </c>
      <c r="C398" s="561"/>
      <c r="D398" s="561"/>
      <c r="E398" s="566"/>
      <c r="F398" s="565" t="s">
        <v>26</v>
      </c>
      <c r="G398" s="566"/>
      <c r="H398" s="66" t="s">
        <v>59</v>
      </c>
      <c r="I398" s="66"/>
      <c r="J398" s="66" t="s">
        <v>60</v>
      </c>
      <c r="K398" s="66" t="s">
        <v>6</v>
      </c>
      <c r="L398" s="67" t="s">
        <v>61</v>
      </c>
      <c r="M398" s="66" t="s">
        <v>30</v>
      </c>
      <c r="N398" s="68" t="s">
        <v>62</v>
      </c>
      <c r="O398" s="68" t="s">
        <v>34</v>
      </c>
      <c r="P398" s="69" t="s">
        <v>57</v>
      </c>
      <c r="Q398" s="42"/>
      <c r="R398" s="67"/>
      <c r="S398" s="67"/>
    </row>
    <row r="399" spans="1:35" ht="13.5" customHeight="1" x14ac:dyDescent="0.15">
      <c r="A399" s="76">
        <v>1</v>
      </c>
      <c r="B399" s="545"/>
      <c r="C399" s="546"/>
      <c r="D399" s="546"/>
      <c r="E399" s="547"/>
      <c r="F399" s="558" t="s">
        <v>66</v>
      </c>
      <c r="G399" s="559"/>
      <c r="H399" s="78"/>
      <c r="I399" s="78"/>
      <c r="J399" s="77"/>
      <c r="K399" s="46" t="str">
        <f>VLOOKUP($F:$F,材料单价表!$B$3:$G$42,4,0)</f>
        <v>m</v>
      </c>
      <c r="L399" s="46"/>
      <c r="M399" s="80">
        <f>M360</f>
        <v>5.4</v>
      </c>
      <c r="N399" s="46">
        <f>VLOOKUP($F:$F,材料单价表!$B$3:$G$42,5,0)</f>
        <v>0</v>
      </c>
      <c r="O399" s="46">
        <f>N399*M399</f>
        <v>0</v>
      </c>
      <c r="P399" s="48"/>
      <c r="Q399" s="59"/>
      <c r="R399" s="81"/>
      <c r="S399" s="79"/>
    </row>
    <row r="400" spans="1:35" ht="15.75" customHeight="1" x14ac:dyDescent="0.15">
      <c r="A400" s="76">
        <v>2</v>
      </c>
      <c r="B400" s="545"/>
      <c r="C400" s="546"/>
      <c r="D400" s="546"/>
      <c r="E400" s="547"/>
      <c r="F400" s="558" t="s">
        <v>68</v>
      </c>
      <c r="G400" s="559"/>
      <c r="H400" s="78" t="s">
        <v>67</v>
      </c>
      <c r="I400" s="78"/>
      <c r="J400" s="77"/>
      <c r="K400" s="46" t="str">
        <f>VLOOKUP($F:$F,材料单价表!$B$3:$G$42,4,0)</f>
        <v>m</v>
      </c>
      <c r="L400" s="46"/>
      <c r="M400" s="80">
        <f>(J368*K368+J371*K371+J369*K369+J370*K370)/1000*2</f>
        <v>16.418400000000002</v>
      </c>
      <c r="N400" s="46">
        <f>VLOOKUP($F:$F,材料单价表!$B$3:$G$42,5,0)</f>
        <v>0</v>
      </c>
      <c r="O400" s="46">
        <f t="shared" ref="O400:O406" si="53">N400*M400</f>
        <v>0</v>
      </c>
      <c r="P400" s="48"/>
      <c r="Q400" s="59"/>
      <c r="R400" s="81"/>
      <c r="S400" s="79"/>
      <c r="V400" s="104"/>
      <c r="W400" s="104"/>
    </row>
    <row r="401" spans="1:23" ht="13.5" customHeight="1" x14ac:dyDescent="0.15">
      <c r="A401" s="76">
        <v>3</v>
      </c>
      <c r="B401" s="545"/>
      <c r="C401" s="546"/>
      <c r="D401" s="546"/>
      <c r="E401" s="547"/>
      <c r="F401" s="558" t="s">
        <v>68</v>
      </c>
      <c r="G401" s="559"/>
      <c r="H401" s="78" t="s">
        <v>69</v>
      </c>
      <c r="I401" s="78"/>
      <c r="J401" s="77"/>
      <c r="K401" s="46" t="str">
        <f>VLOOKUP($F:$F,材料单价表!$B$3:$G$42,4,0)</f>
        <v>m</v>
      </c>
      <c r="L401" s="46"/>
      <c r="M401" s="80">
        <f>M360</f>
        <v>5.4</v>
      </c>
      <c r="N401" s="46">
        <f>VLOOKUP($F:$F,材料单价表!$B$3:$G$42,5,0)</f>
        <v>0</v>
      </c>
      <c r="O401" s="46">
        <f t="shared" si="53"/>
        <v>0</v>
      </c>
      <c r="P401" s="48"/>
      <c r="Q401" s="59"/>
      <c r="R401" s="81"/>
      <c r="S401" s="79"/>
      <c r="V401" s="104"/>
      <c r="W401" s="104"/>
    </row>
    <row r="402" spans="1:23" ht="13.5" customHeight="1" x14ac:dyDescent="0.15">
      <c r="A402" s="76">
        <v>4</v>
      </c>
      <c r="B402" s="545"/>
      <c r="C402" s="546"/>
      <c r="D402" s="546"/>
      <c r="E402" s="547"/>
      <c r="F402" s="558" t="s">
        <v>68</v>
      </c>
      <c r="G402" s="559"/>
      <c r="H402" s="78" t="s">
        <v>70</v>
      </c>
      <c r="I402" s="78"/>
      <c r="J402" s="77"/>
      <c r="K402" s="46" t="str">
        <f>VLOOKUP($F:$F,材料单价表!$B$3:$G$42,4,0)</f>
        <v>m</v>
      </c>
      <c r="L402" s="46"/>
      <c r="M402" s="80">
        <f>M360</f>
        <v>5.4</v>
      </c>
      <c r="N402" s="46">
        <f>VLOOKUP($F:$F,材料单价表!$B$3:$G$42,5,0)</f>
        <v>0</v>
      </c>
      <c r="O402" s="46">
        <f t="shared" si="53"/>
        <v>0</v>
      </c>
      <c r="P402" s="48"/>
      <c r="Q402" s="59"/>
      <c r="R402" s="81"/>
      <c r="S402" s="79"/>
      <c r="V402" s="104"/>
      <c r="W402" s="104"/>
    </row>
    <row r="403" spans="1:23" ht="13.5" customHeight="1" x14ac:dyDescent="0.15">
      <c r="A403" s="76">
        <v>5</v>
      </c>
      <c r="B403" s="545"/>
      <c r="C403" s="546"/>
      <c r="D403" s="546"/>
      <c r="E403" s="547"/>
      <c r="F403" s="558" t="s">
        <v>71</v>
      </c>
      <c r="G403" s="559"/>
      <c r="H403" s="78"/>
      <c r="I403" s="78"/>
      <c r="J403" s="77"/>
      <c r="K403" s="46" t="str">
        <f>VLOOKUP($F:$F,材料单价表!$B$3:$G$42,4,0)</f>
        <v>个</v>
      </c>
      <c r="L403" s="79"/>
      <c r="M403" s="80">
        <f>K372+K373+K375</f>
        <v>16</v>
      </c>
      <c r="N403" s="46">
        <f>VLOOKUP($F:$F,材料单价表!$B$3:$G$42,5,0)</f>
        <v>0</v>
      </c>
      <c r="O403" s="46">
        <f t="shared" si="53"/>
        <v>0</v>
      </c>
      <c r="P403" s="48"/>
      <c r="Q403" s="59"/>
      <c r="R403" s="81"/>
      <c r="S403" s="79"/>
    </row>
    <row r="404" spans="1:23" ht="13.5" customHeight="1" x14ac:dyDescent="0.15">
      <c r="A404" s="76">
        <v>6</v>
      </c>
      <c r="B404" s="545"/>
      <c r="C404" s="546"/>
      <c r="D404" s="546"/>
      <c r="E404" s="547"/>
      <c r="F404" s="558" t="s">
        <v>121</v>
      </c>
      <c r="G404" s="559"/>
      <c r="H404" s="78"/>
      <c r="I404" s="78"/>
      <c r="J404" s="77"/>
      <c r="K404" s="46" t="str">
        <f>VLOOKUP($F:$F,材料单价表!$B$3:$G$42,4,0)</f>
        <v>m</v>
      </c>
      <c r="L404" s="79"/>
      <c r="M404" s="80">
        <f>(J364*K364+J365*K365)/1000*2</f>
        <v>11.536</v>
      </c>
      <c r="N404" s="46">
        <f>VLOOKUP($F:$F,材料单价表!$B$3:$G$42,5,0)</f>
        <v>0</v>
      </c>
      <c r="O404" s="46">
        <f t="shared" si="53"/>
        <v>0</v>
      </c>
      <c r="P404" s="48"/>
      <c r="Q404" s="59"/>
      <c r="R404" s="81"/>
      <c r="S404" s="46"/>
    </row>
    <row r="405" spans="1:23" ht="13.5" customHeight="1" x14ac:dyDescent="0.15">
      <c r="A405" s="76">
        <v>7</v>
      </c>
      <c r="B405" s="545"/>
      <c r="C405" s="546"/>
      <c r="D405" s="546"/>
      <c r="E405" s="547"/>
      <c r="F405" s="558" t="s">
        <v>121</v>
      </c>
      <c r="G405" s="559"/>
      <c r="H405" s="78"/>
      <c r="I405" s="78"/>
      <c r="J405" s="77"/>
      <c r="K405" s="46" t="str">
        <f>VLOOKUP($F:$F,材料单价表!$B$3:$G$42,4,0)</f>
        <v>m</v>
      </c>
      <c r="L405" s="79"/>
      <c r="M405" s="80">
        <f>(J365*K365+J364*K364)/1000*1</f>
        <v>5.7679999999999998</v>
      </c>
      <c r="N405" s="46">
        <f>VLOOKUP($F:$F,材料单价表!$B$3:$G$42,5,0)</f>
        <v>0</v>
      </c>
      <c r="O405" s="46">
        <f t="shared" si="53"/>
        <v>0</v>
      </c>
      <c r="P405" s="48"/>
      <c r="Q405" s="59"/>
      <c r="R405" s="81"/>
      <c r="S405" s="46"/>
    </row>
    <row r="406" spans="1:23" x14ac:dyDescent="0.15">
      <c r="A406" s="76">
        <v>8</v>
      </c>
      <c r="B406" s="545"/>
      <c r="C406" s="546"/>
      <c r="D406" s="546"/>
      <c r="E406" s="547"/>
      <c r="F406" s="558" t="s">
        <v>72</v>
      </c>
      <c r="G406" s="559"/>
      <c r="H406" s="45"/>
      <c r="I406" s="45"/>
      <c r="J406" s="45"/>
      <c r="K406" s="46" t="str">
        <f>VLOOKUP($F:$F,材料单价表!$B$3:$G$42,4,0)</f>
        <v>m2</v>
      </c>
      <c r="L406" s="72"/>
      <c r="M406" s="46">
        <f>M411</f>
        <v>1.82</v>
      </c>
      <c r="N406" s="46">
        <f>VLOOKUP($F:$F,材料单价表!$B$3:$G$42,5,0)</f>
        <v>0</v>
      </c>
      <c r="O406" s="46">
        <f t="shared" si="53"/>
        <v>0</v>
      </c>
      <c r="P406" s="48"/>
      <c r="Q406" s="211"/>
      <c r="R406" s="73"/>
      <c r="S406" s="73"/>
    </row>
    <row r="407" spans="1:23" x14ac:dyDescent="0.15">
      <c r="A407" s="76">
        <v>9</v>
      </c>
      <c r="B407" s="545"/>
      <c r="C407" s="546"/>
      <c r="D407" s="546"/>
      <c r="E407" s="547"/>
      <c r="F407" s="558"/>
      <c r="G407" s="559"/>
      <c r="H407" s="45"/>
      <c r="I407" s="45"/>
      <c r="J407" s="45"/>
      <c r="K407" s="45"/>
      <c r="L407" s="72"/>
      <c r="M407" s="46"/>
      <c r="N407" s="46"/>
      <c r="O407" s="82"/>
      <c r="P407" s="48"/>
      <c r="Q407" s="211"/>
      <c r="R407" s="73"/>
      <c r="S407" s="73"/>
    </row>
    <row r="408" spans="1:23" x14ac:dyDescent="0.15">
      <c r="A408" s="74"/>
      <c r="B408" s="552"/>
      <c r="C408" s="557"/>
      <c r="D408" s="557"/>
      <c r="E408" s="553"/>
      <c r="F408" s="552" t="s">
        <v>73</v>
      </c>
      <c r="G408" s="557"/>
      <c r="H408" s="557"/>
      <c r="I408" s="557"/>
      <c r="J408" s="557"/>
      <c r="K408" s="557"/>
      <c r="L408" s="557"/>
      <c r="M408" s="61"/>
      <c r="N408" s="61"/>
      <c r="O408" s="62">
        <f>SUM(O399:O407)</f>
        <v>0</v>
      </c>
      <c r="P408" s="63" t="s">
        <v>57</v>
      </c>
      <c r="Q408" s="337"/>
      <c r="R408" s="64"/>
      <c r="S408" s="64"/>
    </row>
    <row r="409" spans="1:23" x14ac:dyDescent="0.15">
      <c r="A409" s="74"/>
      <c r="B409" s="552"/>
      <c r="C409" s="557"/>
      <c r="D409" s="557"/>
      <c r="E409" s="553"/>
      <c r="F409" s="552" t="s">
        <v>74</v>
      </c>
      <c r="G409" s="557"/>
      <c r="H409" s="557"/>
      <c r="I409" s="557"/>
      <c r="J409" s="557"/>
      <c r="K409" s="557"/>
      <c r="L409" s="557"/>
      <c r="M409" s="557"/>
      <c r="N409" s="553"/>
      <c r="O409" s="62">
        <f>O408+O397+O394+O386</f>
        <v>0</v>
      </c>
      <c r="P409" s="63" t="s">
        <v>57</v>
      </c>
      <c r="Q409" s="337"/>
      <c r="R409" s="64"/>
      <c r="S409" s="64"/>
    </row>
    <row r="410" spans="1:23" ht="24" x14ac:dyDescent="0.15">
      <c r="A410" s="65"/>
      <c r="B410" s="565" t="s">
        <v>75</v>
      </c>
      <c r="C410" s="561"/>
      <c r="D410" s="561"/>
      <c r="E410" s="566"/>
      <c r="F410" s="565" t="s">
        <v>26</v>
      </c>
      <c r="G410" s="566"/>
      <c r="H410" s="66"/>
      <c r="I410" s="66"/>
      <c r="J410" s="66"/>
      <c r="K410" s="66" t="s">
        <v>6</v>
      </c>
      <c r="L410" s="83" t="s">
        <v>61</v>
      </c>
      <c r="M410" s="66" t="s">
        <v>76</v>
      </c>
      <c r="N410" s="68" t="s">
        <v>62</v>
      </c>
      <c r="O410" s="68" t="s">
        <v>34</v>
      </c>
      <c r="P410" s="84" t="s">
        <v>57</v>
      </c>
      <c r="Q410" s="84"/>
      <c r="R410" s="67"/>
      <c r="S410" s="67"/>
    </row>
    <row r="411" spans="1:23" x14ac:dyDescent="0.15">
      <c r="A411" s="57">
        <v>1</v>
      </c>
      <c r="B411" s="545"/>
      <c r="C411" s="546"/>
      <c r="D411" s="546"/>
      <c r="E411" s="547"/>
      <c r="F411" s="545" t="s">
        <v>77</v>
      </c>
      <c r="G411" s="547"/>
      <c r="H411" s="45"/>
      <c r="I411" s="45"/>
      <c r="J411" s="46"/>
      <c r="K411" s="45" t="s">
        <v>78</v>
      </c>
      <c r="L411" s="72"/>
      <c r="M411" s="85">
        <f>O347</f>
        <v>1.82</v>
      </c>
      <c r="N411" s="46">
        <f>VLOOKUP($F:$F,材料单价表!$B$3:$G$42,5,0)</f>
        <v>0</v>
      </c>
      <c r="O411" s="46">
        <f>N411*M411</f>
        <v>0</v>
      </c>
      <c r="P411" s="48"/>
      <c r="Q411" s="211"/>
      <c r="R411" s="72"/>
      <c r="S411" s="72"/>
    </row>
    <row r="412" spans="1:23" x14ac:dyDescent="0.15">
      <c r="A412" s="57">
        <v>2</v>
      </c>
      <c r="B412" s="545"/>
      <c r="C412" s="546"/>
      <c r="D412" s="546"/>
      <c r="E412" s="547"/>
      <c r="F412" s="545" t="s">
        <v>79</v>
      </c>
      <c r="G412" s="547"/>
      <c r="H412" s="45"/>
      <c r="I412" s="45"/>
      <c r="J412" s="46"/>
      <c r="K412" s="45" t="s">
        <v>78</v>
      </c>
      <c r="L412" s="72"/>
      <c r="M412" s="85">
        <f>M411</f>
        <v>1.82</v>
      </c>
      <c r="N412" s="46">
        <f>VLOOKUP($F:$F,材料单价表!$B$3:$G$42,5,0)</f>
        <v>0</v>
      </c>
      <c r="O412" s="46">
        <f>N412*M412</f>
        <v>0</v>
      </c>
      <c r="P412" s="48"/>
      <c r="Q412" s="211"/>
      <c r="R412" s="72"/>
      <c r="S412" s="72"/>
    </row>
    <row r="413" spans="1:23" ht="24.75" customHeight="1" x14ac:dyDescent="0.15">
      <c r="A413" s="74"/>
      <c r="B413" s="552"/>
      <c r="C413" s="557"/>
      <c r="D413" s="557"/>
      <c r="E413" s="553"/>
      <c r="F413" s="552" t="s">
        <v>80</v>
      </c>
      <c r="G413" s="553"/>
      <c r="H413" s="86"/>
      <c r="I413" s="325"/>
      <c r="J413" s="554" t="s">
        <v>81</v>
      </c>
      <c r="K413" s="554"/>
      <c r="L413" s="554"/>
      <c r="M413" s="554"/>
      <c r="N413" s="87"/>
      <c r="O413" s="62">
        <f>O409+O411+O412</f>
        <v>0</v>
      </c>
      <c r="P413" s="63" t="s">
        <v>57</v>
      </c>
      <c r="Q413" s="337"/>
      <c r="R413" s="64"/>
      <c r="S413" s="64"/>
    </row>
    <row r="414" spans="1:23" ht="24" customHeight="1" x14ac:dyDescent="0.15">
      <c r="A414" s="74"/>
      <c r="B414" s="552"/>
      <c r="C414" s="557"/>
      <c r="D414" s="557"/>
      <c r="E414" s="553"/>
      <c r="F414" s="555" t="s">
        <v>82</v>
      </c>
      <c r="G414" s="556"/>
      <c r="H414" s="105"/>
      <c r="I414" s="324"/>
      <c r="J414" s="552" t="s">
        <v>81</v>
      </c>
      <c r="K414" s="557"/>
      <c r="L414" s="557"/>
      <c r="M414" s="557"/>
      <c r="N414" s="62"/>
      <c r="O414" s="62">
        <f>O413/O347</f>
        <v>0</v>
      </c>
      <c r="P414" s="89" t="s">
        <v>57</v>
      </c>
      <c r="Q414" s="89"/>
      <c r="R414" s="90"/>
      <c r="S414" s="90"/>
    </row>
    <row r="415" spans="1:23" ht="18.75" customHeight="1" x14ac:dyDescent="0.15">
      <c r="A415" s="549" t="s">
        <v>0</v>
      </c>
      <c r="B415" s="549"/>
      <c r="C415" s="549"/>
      <c r="D415" s="549"/>
      <c r="E415" s="549"/>
      <c r="F415" s="549"/>
      <c r="G415" s="549"/>
      <c r="H415" s="549"/>
      <c r="I415" s="549"/>
      <c r="J415" s="549"/>
      <c r="K415" s="549"/>
      <c r="L415" s="550"/>
      <c r="M415" s="549"/>
      <c r="N415" s="549"/>
      <c r="O415" s="549"/>
      <c r="P415" s="549"/>
      <c r="Q415" s="549"/>
      <c r="R415" s="551"/>
      <c r="S415" s="551"/>
    </row>
    <row r="416" spans="1:23" x14ac:dyDescent="0.15">
      <c r="A416" s="2" t="s">
        <v>1</v>
      </c>
      <c r="B416" s="339" t="str">
        <f>$B$2</f>
        <v>NC</v>
      </c>
      <c r="C416" s="3">
        <v>7</v>
      </c>
      <c r="D416" s="3"/>
      <c r="E416" s="3"/>
      <c r="F416" s="4" t="s">
        <v>2</v>
      </c>
      <c r="G416" s="5">
        <v>55</v>
      </c>
      <c r="H416" s="106" t="s">
        <v>126</v>
      </c>
      <c r="I416" s="106"/>
      <c r="J416" s="4" t="s">
        <v>3</v>
      </c>
      <c r="K416" s="6">
        <f>L419</f>
        <v>1700</v>
      </c>
      <c r="L416" s="7" t="s">
        <v>83</v>
      </c>
      <c r="M416" s="6">
        <f>L418</f>
        <v>1400</v>
      </c>
      <c r="N416" s="8" t="s">
        <v>4</v>
      </c>
      <c r="O416" s="9">
        <f>M428</f>
        <v>2.38</v>
      </c>
      <c r="P416" s="10"/>
      <c r="Q416" s="10"/>
      <c r="R416" s="10" t="s">
        <v>5</v>
      </c>
      <c r="S416" s="11"/>
    </row>
    <row r="417" spans="1:35" ht="14.25" x14ac:dyDescent="0.2">
      <c r="A417" s="12"/>
      <c r="B417" s="13"/>
      <c r="C417" s="13"/>
      <c r="D417" s="13"/>
      <c r="E417" s="13"/>
      <c r="F417" s="14"/>
      <c r="G417" s="14"/>
      <c r="H417" s="15"/>
      <c r="I417" s="15"/>
      <c r="J417" s="16"/>
      <c r="K417" s="16" t="s">
        <v>6</v>
      </c>
      <c r="L417" s="17" t="s">
        <v>7</v>
      </c>
      <c r="M417" s="16" t="s">
        <v>8</v>
      </c>
      <c r="N417" s="18"/>
      <c r="O417" s="548" t="s">
        <v>940</v>
      </c>
      <c r="P417" s="548"/>
      <c r="Q417" s="16" t="s">
        <v>1018</v>
      </c>
      <c r="R417" s="529" t="s">
        <v>1066</v>
      </c>
      <c r="S417" s="530" t="s">
        <v>1592</v>
      </c>
      <c r="V417" s="260"/>
      <c r="W417" s="260"/>
      <c r="X417" s="260"/>
    </row>
    <row r="418" spans="1:35" ht="14.25" x14ac:dyDescent="0.2">
      <c r="A418" s="398" t="s">
        <v>884</v>
      </c>
      <c r="B418" s="401" t="s">
        <v>891</v>
      </c>
      <c r="C418" s="22"/>
      <c r="D418" s="22"/>
      <c r="E418" s="22"/>
      <c r="F418" s="23"/>
      <c r="G418" s="23"/>
      <c r="H418" s="107"/>
      <c r="I418" s="107"/>
      <c r="J418" s="24" t="s">
        <v>9</v>
      </c>
      <c r="K418" s="16" t="s">
        <v>10</v>
      </c>
      <c r="L418" s="25">
        <v>1400</v>
      </c>
      <c r="M418" s="113">
        <f>L418-M427*2</f>
        <v>1300</v>
      </c>
      <c r="N418" s="18"/>
      <c r="O418" s="356" t="s">
        <v>941</v>
      </c>
      <c r="P418" s="357"/>
      <c r="Q418" s="16" t="s">
        <v>1019</v>
      </c>
      <c r="R418" s="529"/>
      <c r="S418" s="530"/>
      <c r="V418" s="260"/>
      <c r="W418" s="260"/>
      <c r="X418" s="260"/>
    </row>
    <row r="419" spans="1:35" ht="14.25" x14ac:dyDescent="0.2">
      <c r="A419" s="21"/>
      <c r="B419" s="22"/>
      <c r="C419" s="22"/>
      <c r="D419" s="22"/>
      <c r="E419" s="22"/>
      <c r="F419" s="23"/>
      <c r="G419" s="23"/>
      <c r="H419" s="18"/>
      <c r="I419" s="18"/>
      <c r="J419" s="24" t="s">
        <v>11</v>
      </c>
      <c r="K419" s="16" t="s">
        <v>10</v>
      </c>
      <c r="L419" s="25">
        <v>1700</v>
      </c>
      <c r="M419" s="113">
        <f>L419-M427*2</f>
        <v>1600</v>
      </c>
      <c r="N419" s="18"/>
      <c r="O419" s="356" t="s">
        <v>924</v>
      </c>
      <c r="P419" s="357"/>
      <c r="Q419" s="16" t="s">
        <v>1020</v>
      </c>
      <c r="R419" s="529" t="s">
        <v>1067</v>
      </c>
      <c r="S419" s="530" t="s">
        <v>1086</v>
      </c>
      <c r="V419" s="260"/>
      <c r="W419" s="260"/>
      <c r="X419" s="260"/>
    </row>
    <row r="420" spans="1:35" ht="14.25" x14ac:dyDescent="0.2">
      <c r="A420" s="21"/>
      <c r="B420" s="22"/>
      <c r="C420" s="22"/>
      <c r="D420" s="22"/>
      <c r="E420" s="22"/>
      <c r="F420" s="23"/>
      <c r="G420" s="23"/>
      <c r="H420" s="18"/>
      <c r="I420" s="18"/>
      <c r="J420" s="24" t="s">
        <v>12</v>
      </c>
      <c r="K420" s="16" t="s">
        <v>10</v>
      </c>
      <c r="L420" s="26"/>
      <c r="M420" s="113">
        <f>M418-M421</f>
        <v>900</v>
      </c>
      <c r="N420" s="18"/>
      <c r="O420" s="356" t="s">
        <v>925</v>
      </c>
      <c r="P420" s="357"/>
      <c r="Q420" s="16" t="s">
        <v>1021</v>
      </c>
      <c r="R420" s="529"/>
      <c r="S420" s="530"/>
      <c r="V420" s="260"/>
      <c r="W420" s="260"/>
      <c r="X420" s="260"/>
    </row>
    <row r="421" spans="1:35" ht="14.25" x14ac:dyDescent="0.2">
      <c r="A421" s="21"/>
      <c r="B421" s="22"/>
      <c r="C421" s="22"/>
      <c r="D421" s="22"/>
      <c r="E421" s="22"/>
      <c r="F421" s="23"/>
      <c r="G421" s="23"/>
      <c r="H421" s="18"/>
      <c r="I421" s="18"/>
      <c r="J421" s="24" t="s">
        <v>13</v>
      </c>
      <c r="K421" s="16" t="s">
        <v>10</v>
      </c>
      <c r="L421" s="26"/>
      <c r="M421" s="25">
        <v>400</v>
      </c>
      <c r="N421" s="540" t="s">
        <v>960</v>
      </c>
      <c r="O421" s="356" t="s">
        <v>926</v>
      </c>
      <c r="P421" s="357"/>
      <c r="Q421" s="16" t="s">
        <v>1022</v>
      </c>
      <c r="R421" s="27"/>
      <c r="S421" s="28"/>
      <c r="V421" s="260"/>
      <c r="W421" s="260"/>
      <c r="X421" s="260"/>
    </row>
    <row r="422" spans="1:35" ht="14.25" x14ac:dyDescent="0.2">
      <c r="A422" s="21"/>
      <c r="B422" s="22"/>
      <c r="C422" s="22"/>
      <c r="D422" s="22"/>
      <c r="E422" s="22"/>
      <c r="F422" s="23"/>
      <c r="G422" s="23"/>
      <c r="H422" s="18"/>
      <c r="I422" s="18"/>
      <c r="J422" s="24" t="s">
        <v>14</v>
      </c>
      <c r="K422" s="16" t="s">
        <v>10</v>
      </c>
      <c r="L422" s="26"/>
      <c r="M422" s="113"/>
      <c r="N422" s="540"/>
      <c r="O422" s="356" t="s">
        <v>927</v>
      </c>
      <c r="P422" s="357"/>
      <c r="Q422" s="16" t="s">
        <v>1023</v>
      </c>
      <c r="R422" s="27"/>
      <c r="S422" s="28"/>
      <c r="V422" s="260"/>
      <c r="W422" s="260"/>
      <c r="X422" s="260"/>
    </row>
    <row r="423" spans="1:35" ht="14.25" x14ac:dyDescent="0.2">
      <c r="A423" s="21"/>
      <c r="B423" s="22"/>
      <c r="C423" s="22"/>
      <c r="D423" s="22"/>
      <c r="E423" s="22"/>
      <c r="F423" s="23"/>
      <c r="G423" s="23"/>
      <c r="H423" s="18"/>
      <c r="I423" s="18"/>
      <c r="J423" s="24" t="s">
        <v>15</v>
      </c>
      <c r="K423" s="16" t="s">
        <v>10</v>
      </c>
      <c r="L423" s="26"/>
      <c r="M423" s="113">
        <f>IF(L419&lt;1501,M419/2,IF(AND(L419&lt;2001,L419&gt;1599),750))</f>
        <v>750</v>
      </c>
      <c r="N423" s="540"/>
      <c r="O423" s="356" t="s">
        <v>928</v>
      </c>
      <c r="P423" s="357"/>
      <c r="Q423" s="16" t="s">
        <v>1005</v>
      </c>
      <c r="R423" s="27"/>
      <c r="S423" s="28"/>
      <c r="V423" s="260"/>
      <c r="W423" s="260"/>
      <c r="X423" s="260"/>
    </row>
    <row r="424" spans="1:35" ht="14.25" x14ac:dyDescent="0.2">
      <c r="A424" s="21"/>
      <c r="B424" s="22"/>
      <c r="C424" s="22"/>
      <c r="D424" s="22"/>
      <c r="E424" s="22"/>
      <c r="F424" s="23"/>
      <c r="G424" s="23"/>
      <c r="H424" s="18"/>
      <c r="I424" s="18"/>
      <c r="J424" s="24" t="s">
        <v>16</v>
      </c>
      <c r="K424" s="16" t="s">
        <v>10</v>
      </c>
      <c r="L424" s="26"/>
      <c r="M424" s="113">
        <f>M419-M423</f>
        <v>850</v>
      </c>
      <c r="N424" s="540"/>
      <c r="O424" s="356" t="s">
        <v>929</v>
      </c>
      <c r="P424" s="357"/>
      <c r="Q424" s="16" t="s">
        <v>1024</v>
      </c>
      <c r="R424" s="27"/>
      <c r="S424" s="28"/>
      <c r="V424" s="260"/>
      <c r="W424" s="260"/>
      <c r="X424" s="260"/>
    </row>
    <row r="425" spans="1:35" ht="14.25" x14ac:dyDescent="0.2">
      <c r="A425" s="21"/>
      <c r="B425" s="22"/>
      <c r="C425" s="22"/>
      <c r="D425" s="22"/>
      <c r="E425" s="22"/>
      <c r="F425" s="23"/>
      <c r="G425" s="23"/>
      <c r="H425" s="18"/>
      <c r="I425" s="18"/>
      <c r="J425" s="24" t="s">
        <v>17</v>
      </c>
      <c r="K425" s="16" t="s">
        <v>10</v>
      </c>
      <c r="L425" s="26"/>
      <c r="M425" s="113"/>
      <c r="N425" s="540"/>
      <c r="O425" s="356" t="s">
        <v>930</v>
      </c>
      <c r="P425" s="357"/>
      <c r="Q425" s="16" t="s">
        <v>931</v>
      </c>
      <c r="R425" s="27"/>
      <c r="S425" s="28"/>
      <c r="V425" s="260"/>
      <c r="W425" s="260"/>
      <c r="X425" s="260"/>
    </row>
    <row r="426" spans="1:35" ht="14.25" x14ac:dyDescent="0.2">
      <c r="A426" s="21"/>
      <c r="B426" s="22"/>
      <c r="C426" s="22"/>
      <c r="D426" s="22"/>
      <c r="E426" s="22"/>
      <c r="F426" s="23"/>
      <c r="G426" s="23"/>
      <c r="H426" s="18"/>
      <c r="I426" s="18"/>
      <c r="J426" s="24" t="s">
        <v>18</v>
      </c>
      <c r="K426" s="16" t="s">
        <v>10</v>
      </c>
      <c r="L426" s="26"/>
      <c r="M426" s="113"/>
      <c r="N426" s="540"/>
      <c r="O426" s="356" t="s">
        <v>932</v>
      </c>
      <c r="P426" s="357"/>
      <c r="Q426" s="16" t="s">
        <v>933</v>
      </c>
      <c r="R426" s="27"/>
      <c r="S426" s="28"/>
      <c r="V426" s="260"/>
      <c r="W426" s="260"/>
      <c r="X426" s="260"/>
    </row>
    <row r="427" spans="1:35" ht="14.25" x14ac:dyDescent="0.2">
      <c r="A427" s="21"/>
      <c r="B427" s="22"/>
      <c r="C427" s="22"/>
      <c r="D427" s="22"/>
      <c r="E427" s="22"/>
      <c r="F427" s="23"/>
      <c r="G427" s="23"/>
      <c r="H427" s="18"/>
      <c r="I427" s="18"/>
      <c r="J427" s="24" t="s">
        <v>19</v>
      </c>
      <c r="K427" s="16" t="s">
        <v>10</v>
      </c>
      <c r="L427" s="26"/>
      <c r="M427" s="25">
        <v>50</v>
      </c>
      <c r="N427" s="540"/>
      <c r="O427" s="356" t="s">
        <v>934</v>
      </c>
      <c r="P427" s="357"/>
      <c r="Q427" s="16" t="s">
        <v>935</v>
      </c>
      <c r="R427" s="27"/>
      <c r="S427" s="28"/>
      <c r="V427" s="260"/>
      <c r="W427" s="260"/>
      <c r="X427" s="260"/>
    </row>
    <row r="428" spans="1:35" ht="14.25" x14ac:dyDescent="0.2">
      <c r="A428" s="21"/>
      <c r="B428" s="22"/>
      <c r="C428" s="22"/>
      <c r="D428" s="22"/>
      <c r="E428" s="22"/>
      <c r="F428" s="23"/>
      <c r="G428" s="23"/>
      <c r="H428" s="18"/>
      <c r="I428" s="18"/>
      <c r="J428" s="29" t="s">
        <v>20</v>
      </c>
      <c r="K428" s="16" t="s">
        <v>21</v>
      </c>
      <c r="L428" s="30"/>
      <c r="M428" s="31">
        <f>L418*L419/1000000</f>
        <v>2.38</v>
      </c>
      <c r="N428" s="540"/>
      <c r="O428" s="356" t="s">
        <v>936</v>
      </c>
      <c r="P428" s="357"/>
      <c r="Q428" s="16" t="s">
        <v>937</v>
      </c>
      <c r="R428" s="27"/>
      <c r="S428" s="28"/>
      <c r="V428" s="260"/>
      <c r="W428" s="260"/>
      <c r="X428" s="260"/>
    </row>
    <row r="429" spans="1:35" ht="14.25" x14ac:dyDescent="0.2">
      <c r="A429" s="32"/>
      <c r="B429" s="33"/>
      <c r="C429" s="33"/>
      <c r="D429" s="33"/>
      <c r="E429" s="33"/>
      <c r="F429" s="34"/>
      <c r="G429" s="34"/>
      <c r="H429" s="35"/>
      <c r="I429" s="35"/>
      <c r="J429" s="29" t="s">
        <v>951</v>
      </c>
      <c r="K429" s="16" t="s">
        <v>23</v>
      </c>
      <c r="L429" s="30"/>
      <c r="M429" s="36">
        <f>(L418+L419)*2/1000</f>
        <v>6.2</v>
      </c>
      <c r="N429" s="541"/>
      <c r="O429" s="356" t="s">
        <v>938</v>
      </c>
      <c r="P429" s="357"/>
      <c r="Q429" s="16" t="s">
        <v>939</v>
      </c>
      <c r="R429" s="37"/>
      <c r="S429" s="38"/>
      <c r="V429" s="260"/>
      <c r="W429" s="260"/>
      <c r="X429" s="260"/>
    </row>
    <row r="430" spans="1:35" ht="36" x14ac:dyDescent="0.15">
      <c r="A430" s="39" t="s">
        <v>24</v>
      </c>
      <c r="B430" s="560" t="s">
        <v>25</v>
      </c>
      <c r="C430" s="561"/>
      <c r="D430" s="561"/>
      <c r="E430" s="562"/>
      <c r="F430" s="40" t="s">
        <v>26</v>
      </c>
      <c r="G430" s="40" t="s">
        <v>27</v>
      </c>
      <c r="H430" s="40" t="s">
        <v>28</v>
      </c>
      <c r="I430" s="40" t="s">
        <v>898</v>
      </c>
      <c r="J430" s="40" t="s">
        <v>29</v>
      </c>
      <c r="K430" s="40" t="s">
        <v>30</v>
      </c>
      <c r="L430" s="41" t="s">
        <v>31</v>
      </c>
      <c r="M430" s="40" t="s">
        <v>32</v>
      </c>
      <c r="N430" s="40" t="s">
        <v>33</v>
      </c>
      <c r="O430" s="40" t="s">
        <v>34</v>
      </c>
      <c r="P430" s="42" t="s">
        <v>35</v>
      </c>
      <c r="Q430" s="338" t="s">
        <v>875</v>
      </c>
      <c r="R430" s="43" t="s">
        <v>36</v>
      </c>
      <c r="S430" s="43" t="s">
        <v>37</v>
      </c>
      <c r="V430" s="261" t="s">
        <v>127</v>
      </c>
      <c r="W430" s="261"/>
      <c r="X430" s="273" t="s">
        <v>128</v>
      </c>
      <c r="Y430" s="261"/>
      <c r="Z430" s="273" t="s">
        <v>443</v>
      </c>
      <c r="AA430" s="261"/>
      <c r="AB430" s="273" t="s">
        <v>439</v>
      </c>
      <c r="AC430" s="261"/>
      <c r="AD430" s="273" t="s">
        <v>440</v>
      </c>
      <c r="AE430" s="261"/>
      <c r="AF430" s="273" t="s">
        <v>441</v>
      </c>
      <c r="AG430" s="261"/>
      <c r="AH430" s="273" t="s">
        <v>442</v>
      </c>
      <c r="AI430" s="261"/>
    </row>
    <row r="431" spans="1:35" x14ac:dyDescent="0.15">
      <c r="A431" s="57">
        <v>1</v>
      </c>
      <c r="B431" s="531" t="s">
        <v>38</v>
      </c>
      <c r="C431" s="532"/>
      <c r="D431" s="532"/>
      <c r="E431" s="533"/>
      <c r="F431" s="47" t="str">
        <f>VLOOKUP($H:$H,型材表!$B$5:$I$450,2,0)</f>
        <v>窗框</v>
      </c>
      <c r="G431" s="45" t="s">
        <v>39</v>
      </c>
      <c r="H431" s="45" t="str">
        <f>IF(G416=65,"SN65AK001",IF(G416=55,"SN55K001",IF(G416=551,"SN55BK001",IF(G416=60,"SN60K001",IF(G416=601,"SN60AK001",IF(G416=70,"SN70K001",IF(G416=75,"SN75K001")))))))</f>
        <v>SN55K001</v>
      </c>
      <c r="I431" s="45" t="s">
        <v>901</v>
      </c>
      <c r="J431" s="46">
        <f>M418</f>
        <v>1300</v>
      </c>
      <c r="K431" s="45">
        <v>2</v>
      </c>
      <c r="L431" s="47">
        <f>VLOOKUP($H:$H,型材表!$B$5:$I$450,4,0)</f>
        <v>1.02</v>
      </c>
      <c r="M431" s="46">
        <f>J431*K431*L431/1000</f>
        <v>2.6520000000000001</v>
      </c>
      <c r="N431" s="72">
        <f>VLOOKUP($H:$H,型材表!$B$5:$I$450,7,0)</f>
        <v>0</v>
      </c>
      <c r="O431" s="46">
        <f>N431*M431</f>
        <v>0</v>
      </c>
      <c r="P431" s="100">
        <f>VLOOKUP($H:$H,型材表!$B$5:$I$450,5,0)</f>
        <v>0.125</v>
      </c>
      <c r="Q431" s="100" t="str">
        <f>VLOOKUP($H:$H,型材表!$B$5:$I$468,6,0)</f>
        <v>断桥隔热铝型材</v>
      </c>
      <c r="R431" s="49"/>
      <c r="S431" s="50"/>
      <c r="X431" s="264"/>
      <c r="Z431" s="264"/>
      <c r="AA431" s="259"/>
      <c r="AB431" s="264"/>
      <c r="AC431" s="259"/>
      <c r="AD431" s="264"/>
      <c r="AE431" s="259"/>
      <c r="AF431" s="264"/>
      <c r="AG431" s="259"/>
      <c r="AH431" s="264"/>
      <c r="AI431" s="259"/>
    </row>
    <row r="432" spans="1:35" x14ac:dyDescent="0.15">
      <c r="A432" s="57">
        <v>2</v>
      </c>
      <c r="B432" s="537"/>
      <c r="C432" s="538"/>
      <c r="D432" s="538"/>
      <c r="E432" s="539"/>
      <c r="F432" s="47" t="str">
        <f>VLOOKUP($H:$H,型材表!$B$5:$I$450,2,0)</f>
        <v>窗框</v>
      </c>
      <c r="G432" s="45" t="s">
        <v>40</v>
      </c>
      <c r="H432" s="45" t="str">
        <f>H431</f>
        <v>SN55K001</v>
      </c>
      <c r="I432" s="45" t="s">
        <v>899</v>
      </c>
      <c r="J432" s="46">
        <f>M419</f>
        <v>1600</v>
      </c>
      <c r="K432" s="45">
        <v>2</v>
      </c>
      <c r="L432" s="47">
        <f>VLOOKUP($H:$H,型材表!$B$5:$I$450,4,0)</f>
        <v>1.02</v>
      </c>
      <c r="M432" s="46">
        <f t="shared" ref="M432:M447" si="54">J432*K432*L432/1000</f>
        <v>3.2639999999999998</v>
      </c>
      <c r="N432" s="72">
        <f>VLOOKUP($H:$H,型材表!$B$5:$I$450,7,0)</f>
        <v>0</v>
      </c>
      <c r="O432" s="46">
        <f t="shared" ref="O432:O433" si="55">N432*M432</f>
        <v>0</v>
      </c>
      <c r="P432" s="100">
        <f>VLOOKUP($H:$H,型材表!$B$5:$I$450,5,0)</f>
        <v>0.125</v>
      </c>
      <c r="Q432" s="100" t="str">
        <f>VLOOKUP($H:$H,型材表!$B$5:$I$468,6,0)</f>
        <v>断桥隔热铝型材</v>
      </c>
      <c r="R432" s="49"/>
      <c r="S432" s="50"/>
      <c r="X432" s="264"/>
      <c r="Z432" s="264"/>
      <c r="AA432" s="259"/>
      <c r="AB432" s="264"/>
      <c r="AC432" s="259"/>
      <c r="AD432" s="264"/>
      <c r="AE432" s="259"/>
      <c r="AF432" s="264"/>
      <c r="AG432" s="259"/>
      <c r="AH432" s="264"/>
      <c r="AI432" s="259"/>
    </row>
    <row r="433" spans="1:35" x14ac:dyDescent="0.15">
      <c r="A433" s="326">
        <v>3</v>
      </c>
      <c r="B433" s="531" t="s">
        <v>41</v>
      </c>
      <c r="C433" s="532"/>
      <c r="D433" s="532"/>
      <c r="E433" s="533"/>
      <c r="F433" s="47" t="str">
        <f>VLOOKUP($H:$H,型材表!$B$5:$I$450,2,0)</f>
        <v>内开扇</v>
      </c>
      <c r="G433" s="45" t="s">
        <v>39</v>
      </c>
      <c r="H433" s="45" t="str">
        <f>IF(G416=65,"SN65AS001",IF(G416=55,"SN55S001",IF(G416=551,"SN55BS001",IF(G416=60,"SN60S001",IF(G416=601,"SN60AS001",IF(G416=70,"SN70S001",IF(G416=75,"SN75S001")))))))</f>
        <v>SN55S001</v>
      </c>
      <c r="I433" s="45" t="s">
        <v>1040</v>
      </c>
      <c r="J433" s="46">
        <f>IF(G416=65,M420-V433,IF(G416=55,M420-X433,IF(G416=551,M420-Z433,IF(G416=60,M420-AB433,IF(G416=601,M420-AD433,IF(G416=70,M420-AF433,IF(G416=75,M420-AH433)))))))</f>
        <v>871</v>
      </c>
      <c r="K433" s="45">
        <v>2</v>
      </c>
      <c r="L433" s="47">
        <f>VLOOKUP($H:$H,型材表!$B$5:$I$450,4,0)</f>
        <v>1.24</v>
      </c>
      <c r="M433" s="46">
        <f t="shared" si="54"/>
        <v>2.1600799999999998</v>
      </c>
      <c r="N433" s="72">
        <f>VLOOKUP($H:$H,型材表!$B$5:$I$450,7,0)</f>
        <v>0</v>
      </c>
      <c r="O433" s="46">
        <f t="shared" si="55"/>
        <v>0</v>
      </c>
      <c r="P433" s="100">
        <f>VLOOKUP($H:$H,型材表!$B$5:$I$450,5,0)</f>
        <v>0.125</v>
      </c>
      <c r="Q433" s="100" t="str">
        <f>VLOOKUP($H:$H,型材表!$B$5:$I$468,6,0)</f>
        <v>断桥隔热铝型材</v>
      </c>
      <c r="R433" s="49"/>
      <c r="S433" s="50"/>
      <c r="U433" s="374" t="s">
        <v>1123</v>
      </c>
      <c r="V433" s="259">
        <f>22+7</f>
        <v>29</v>
      </c>
      <c r="X433" s="264">
        <f>22+7</f>
        <v>29</v>
      </c>
      <c r="Z433" s="264">
        <f>22+7</f>
        <v>29</v>
      </c>
      <c r="AA433" s="259"/>
      <c r="AB433" s="264">
        <f>22+7</f>
        <v>29</v>
      </c>
      <c r="AC433" s="259"/>
      <c r="AD433" s="264">
        <f>22+7</f>
        <v>29</v>
      </c>
      <c r="AE433" s="259"/>
      <c r="AF433" s="264">
        <f>22+7</f>
        <v>29</v>
      </c>
      <c r="AG433" s="259"/>
      <c r="AH433" s="264">
        <f>22+7</f>
        <v>29</v>
      </c>
      <c r="AI433" s="259"/>
    </row>
    <row r="434" spans="1:35" x14ac:dyDescent="0.15">
      <c r="A434" s="395">
        <v>4</v>
      </c>
      <c r="B434" s="534"/>
      <c r="C434" s="535"/>
      <c r="D434" s="535"/>
      <c r="E434" s="536"/>
      <c r="F434" s="47" t="str">
        <f>VLOOKUP($H:$H,型材表!$B$5:$I$450,2,0)</f>
        <v>内开扇</v>
      </c>
      <c r="G434" s="45" t="s">
        <v>40</v>
      </c>
      <c r="H434" s="45" t="str">
        <f>H433</f>
        <v>SN55S001</v>
      </c>
      <c r="I434" s="45" t="s">
        <v>1011</v>
      </c>
      <c r="J434" s="46">
        <f>IF(G416=65,M423-V434,IF(G416=55,M423-X434,IF(G416=551,M423-Z434,IF(G416=60,M423-AB434,IF(G416=601,M423-AD434,IF(G416=70,M423-AF434,IF(G416=75,M423-AH434)))))))</f>
        <v>721</v>
      </c>
      <c r="K434" s="45">
        <v>2</v>
      </c>
      <c r="L434" s="47">
        <f>VLOOKUP($H:$H,型材表!$B$5:$I$450,4,0)</f>
        <v>1.24</v>
      </c>
      <c r="M434" s="46">
        <f t="shared" si="54"/>
        <v>1.7880799999999999</v>
      </c>
      <c r="N434" s="72">
        <f>VLOOKUP($H:$H,型材表!$B$5:$I$450,7,0)</f>
        <v>0</v>
      </c>
      <c r="O434" s="46">
        <f>N434*M434</f>
        <v>0</v>
      </c>
      <c r="P434" s="100">
        <f>VLOOKUP($H:$H,型材表!$B$5:$I$450,5,0)</f>
        <v>0.125</v>
      </c>
      <c r="Q434" s="100" t="str">
        <f>VLOOKUP($H:$H,型材表!$B$5:$I$468,6,0)</f>
        <v>断桥隔热铝型材</v>
      </c>
      <c r="R434" s="49"/>
      <c r="S434" s="50"/>
      <c r="U434" s="374" t="s">
        <v>1129</v>
      </c>
      <c r="V434" s="259">
        <f>22+7</f>
        <v>29</v>
      </c>
      <c r="X434" s="264">
        <f>22+7</f>
        <v>29</v>
      </c>
      <c r="Z434" s="264">
        <f>22+7</f>
        <v>29</v>
      </c>
      <c r="AA434" s="259"/>
      <c r="AB434" s="264">
        <f>22+7</f>
        <v>29</v>
      </c>
      <c r="AC434" s="259"/>
      <c r="AD434" s="264">
        <f>22+7</f>
        <v>29</v>
      </c>
      <c r="AE434" s="259"/>
      <c r="AF434" s="264">
        <f>22+7</f>
        <v>29</v>
      </c>
      <c r="AG434" s="259"/>
      <c r="AH434" s="264">
        <f>22+7</f>
        <v>29</v>
      </c>
      <c r="AI434" s="259"/>
    </row>
    <row r="435" spans="1:35" x14ac:dyDescent="0.15">
      <c r="A435" s="395">
        <v>5</v>
      </c>
      <c r="B435" s="534"/>
      <c r="C435" s="535"/>
      <c r="D435" s="535"/>
      <c r="E435" s="536"/>
      <c r="F435" s="47" t="str">
        <f>VLOOKUP($H:$H,型材表!$B$5:$I$450,2,0)</f>
        <v>中梃</v>
      </c>
      <c r="G435" s="45" t="s">
        <v>39</v>
      </c>
      <c r="H435" s="116" t="str">
        <f>IF(G416=65,"SN65AT001",IF(G416=55,"SN55T001",IF(G416=551,"SN55BT001",IF(G416=60,"SN60T001",IF(G416=601,"SN60AT001",IF(G416=70,"SN70T001",IF(G416=75,"SN75T001")))))))</f>
        <v>SN55T001</v>
      </c>
      <c r="I435" s="45" t="s">
        <v>1052</v>
      </c>
      <c r="J435" s="46">
        <f>IF(G416=65,M418-V435,IF(G416=55,M418-X435,IF(G416=551,M418-Z435,IF(G416=60,M418-AB435,IF(G416=601,M418-AD435,IF(G416=70,M418-AF435,IF(G416=75,M418-AH435)))))))</f>
        <v>1254</v>
      </c>
      <c r="K435" s="45">
        <v>1</v>
      </c>
      <c r="L435" s="47">
        <f>VLOOKUP($H:$H,型材表!$B$5:$I$450,4,0)</f>
        <v>1.1619999999999999</v>
      </c>
      <c r="M435" s="46">
        <f t="shared" si="54"/>
        <v>1.4571479999999999</v>
      </c>
      <c r="N435" s="72">
        <f>VLOOKUP($H:$H,型材表!$B$5:$I$450,7,0)</f>
        <v>0</v>
      </c>
      <c r="O435" s="46">
        <f>N435*M435</f>
        <v>0</v>
      </c>
      <c r="P435" s="100">
        <f>VLOOKUP($H:$H,型材表!$B$5:$I$450,5,0)</f>
        <v>0.125</v>
      </c>
      <c r="Q435" s="100" t="str">
        <f>VLOOKUP($H:$H,型材表!$B$5:$I$468,6,0)</f>
        <v>断桥隔热铝型材</v>
      </c>
      <c r="R435" s="49"/>
      <c r="S435" s="50"/>
      <c r="U435" s="374" t="s">
        <v>1033</v>
      </c>
      <c r="V435" s="259">
        <f>23*2</f>
        <v>46</v>
      </c>
      <c r="X435" s="264">
        <f>23*2</f>
        <v>46</v>
      </c>
      <c r="Z435" s="264">
        <f>23*2</f>
        <v>46</v>
      </c>
      <c r="AA435" s="259"/>
      <c r="AB435" s="264">
        <f>23*2</f>
        <v>46</v>
      </c>
      <c r="AC435" s="259"/>
      <c r="AD435" s="264">
        <f>23*2</f>
        <v>46</v>
      </c>
      <c r="AE435" s="259"/>
      <c r="AF435" s="264">
        <f>23*2</f>
        <v>46</v>
      </c>
      <c r="AG435" s="259"/>
      <c r="AH435" s="264">
        <f>23*2</f>
        <v>46</v>
      </c>
      <c r="AI435" s="259"/>
    </row>
    <row r="436" spans="1:35" x14ac:dyDescent="0.15">
      <c r="A436" s="395">
        <v>6</v>
      </c>
      <c r="B436" s="537"/>
      <c r="C436" s="538"/>
      <c r="D436" s="538"/>
      <c r="E436" s="539"/>
      <c r="F436" s="47" t="str">
        <f>VLOOKUP($H:$H,型材表!$B$5:$I$450,2,0)</f>
        <v>中梃</v>
      </c>
      <c r="G436" s="45" t="s">
        <v>40</v>
      </c>
      <c r="H436" s="116" t="str">
        <f>IF(G416=65,"SN65AT001",IF(G416=55,"SN55T001",IF(G416=551,"SN55BT001",IF(G416=60,"SN60T001",IF(G416=601,"SN60AT001",IF(G416=70,"SN70T001",IF(G416=75,"SN75T001")))))))</f>
        <v>SN55T001</v>
      </c>
      <c r="I436" s="45" t="s">
        <v>1053</v>
      </c>
      <c r="J436" s="46">
        <f>IF(G416=65,M423-V436,IF(G416=55,M423-X436,IF(G416=551,M423-Z436,IF(G416=60,M423-AB436,IF(G416=601,M423-AD436,IF(G416=70,M423-AF436,IF(G416=75,M423-AH436)))))))</f>
        <v>719</v>
      </c>
      <c r="K436" s="45">
        <v>1</v>
      </c>
      <c r="L436" s="47">
        <f>VLOOKUP($H:$H,型材表!$B$5:$I$450,4,0)</f>
        <v>1.1619999999999999</v>
      </c>
      <c r="M436" s="46">
        <f t="shared" si="54"/>
        <v>0.83547799999999994</v>
      </c>
      <c r="N436" s="72">
        <f>VLOOKUP($H:$H,型材表!$B$5:$I$450,7,0)</f>
        <v>0</v>
      </c>
      <c r="O436" s="46">
        <f>N436*M436</f>
        <v>0</v>
      </c>
      <c r="P436" s="100">
        <f>VLOOKUP($H:$H,型材表!$B$5:$I$450,5,0)</f>
        <v>0.125</v>
      </c>
      <c r="Q436" s="100" t="str">
        <f>VLOOKUP($H:$H,型材表!$B$5:$I$468,6,0)</f>
        <v>断桥隔热铝型材</v>
      </c>
      <c r="R436" s="49"/>
      <c r="S436" s="50"/>
      <c r="U436" s="374" t="s">
        <v>1131</v>
      </c>
      <c r="V436" s="259">
        <f>23+8</f>
        <v>31</v>
      </c>
      <c r="X436" s="264">
        <f>23+8</f>
        <v>31</v>
      </c>
      <c r="Z436" s="264">
        <f>23+8</f>
        <v>31</v>
      </c>
      <c r="AA436" s="259"/>
      <c r="AB436" s="264">
        <f>23+8</f>
        <v>31</v>
      </c>
      <c r="AC436" s="259"/>
      <c r="AD436" s="264">
        <f>23+8</f>
        <v>31</v>
      </c>
      <c r="AE436" s="259"/>
      <c r="AF436" s="264">
        <f>23+8</f>
        <v>31</v>
      </c>
      <c r="AG436" s="259"/>
      <c r="AH436" s="264">
        <f>23+8</f>
        <v>31</v>
      </c>
      <c r="AI436" s="259"/>
    </row>
    <row r="437" spans="1:35" x14ac:dyDescent="0.15">
      <c r="A437" s="395">
        <v>7</v>
      </c>
      <c r="B437" s="531" t="s">
        <v>42</v>
      </c>
      <c r="C437" s="532"/>
      <c r="D437" s="532"/>
      <c r="E437" s="533"/>
      <c r="F437" s="47" t="str">
        <f>VLOOKUP($H:$H,型材表!$B$5:$I$450,2,0)</f>
        <v>压线</v>
      </c>
      <c r="G437" s="45" t="s">
        <v>39</v>
      </c>
      <c r="H437" s="45" t="str">
        <f>IF(G416=65,"SN65AY002",IF(G416=55,"SN55Y002",IF(G416=551,"SN55BY002",IF(G416=60,"SN60Y002",IF(G416=601,"SN60Y002",IF(G416=70,"SN70Y002",IF(G416=75,"SN75Y002")))))))</f>
        <v>SN55Y002</v>
      </c>
      <c r="I437" s="45" t="s">
        <v>1054</v>
      </c>
      <c r="J437" s="46">
        <f>IF(G416=65,M418-V437,IF(G416=55,M418-X437,IF(G416=551,M418-Z437,IF(G416=60,M418-AB437,IF(G416=601,M418-AD437,IF(G416=70,M418-AF437,IF(G416=75,M418-AH437)))))))</f>
        <v>1254</v>
      </c>
      <c r="K437" s="45">
        <v>2</v>
      </c>
      <c r="L437" s="47">
        <f>VLOOKUP($H:$H,型材表!$B$5:$I$450,4,0)</f>
        <v>0.221</v>
      </c>
      <c r="M437" s="46">
        <f t="shared" si="54"/>
        <v>0.55426799999999998</v>
      </c>
      <c r="N437" s="72">
        <f>VLOOKUP($H:$H,型材表!$B$5:$I$450,7,0)</f>
        <v>0</v>
      </c>
      <c r="O437" s="46">
        <f t="shared" ref="O437:O447" si="56">N437*M437</f>
        <v>0</v>
      </c>
      <c r="P437" s="100">
        <f>VLOOKUP($H:$H,型材表!$B$5:$I$450,5,0)</f>
        <v>0.125</v>
      </c>
      <c r="Q437" s="100" t="str">
        <f>VLOOKUP($H:$H,型材表!$B$5:$I$468,6,0)</f>
        <v>非断桥隔热铝型材</v>
      </c>
      <c r="R437" s="49"/>
      <c r="S437" s="50"/>
      <c r="U437" s="374" t="s">
        <v>1038</v>
      </c>
      <c r="V437" s="269">
        <f>23*2</f>
        <v>46</v>
      </c>
      <c r="W437" s="269"/>
      <c r="X437" s="279">
        <f>23*2</f>
        <v>46</v>
      </c>
      <c r="Z437" s="279">
        <f>23*2</f>
        <v>46</v>
      </c>
      <c r="AA437" s="259"/>
      <c r="AB437" s="279">
        <f>23*2</f>
        <v>46</v>
      </c>
      <c r="AC437" s="259"/>
      <c r="AD437" s="279">
        <f>23*2</f>
        <v>46</v>
      </c>
      <c r="AE437" s="259"/>
      <c r="AF437" s="279">
        <f>23*2</f>
        <v>46</v>
      </c>
      <c r="AG437" s="259"/>
      <c r="AH437" s="279">
        <f>23*2</f>
        <v>46</v>
      </c>
      <c r="AI437" s="259"/>
    </row>
    <row r="438" spans="1:35" x14ac:dyDescent="0.15">
      <c r="A438" s="395">
        <v>8</v>
      </c>
      <c r="B438" s="534"/>
      <c r="C438" s="535"/>
      <c r="D438" s="535"/>
      <c r="E438" s="536"/>
      <c r="F438" s="47" t="str">
        <f>VLOOKUP($H:$H,型材表!$B$5:$I$450,2,0)</f>
        <v>压线</v>
      </c>
      <c r="G438" s="45" t="s">
        <v>39</v>
      </c>
      <c r="H438" s="45" t="str">
        <f>H437</f>
        <v>SN55Y002</v>
      </c>
      <c r="I438" s="45" t="s">
        <v>1042</v>
      </c>
      <c r="J438" s="46">
        <f>IF(G416=65,M420-V438,IF(G416=55,M420-X438,IF(G416=551,M420-Z438,IF(G416=60,M420-AB438,IF(G416=601,M420-AD438,IF(G416=70,M420-AF438,IF(G416=75,M420-AH438)))))))</f>
        <v>795.4</v>
      </c>
      <c r="K438" s="45">
        <v>2</v>
      </c>
      <c r="L438" s="47">
        <f>VLOOKUP($H:$H,型材表!$B$5:$I$450,4,0)</f>
        <v>0.221</v>
      </c>
      <c r="M438" s="46">
        <f t="shared" ref="M438:M441" si="57">J438*K438*L438/1000</f>
        <v>0.35156680000000001</v>
      </c>
      <c r="N438" s="72">
        <f>VLOOKUP($H:$H,型材表!$B$5:$I$450,7,0)</f>
        <v>0</v>
      </c>
      <c r="O438" s="46">
        <f t="shared" ref="O438:O441" si="58">N438*M438</f>
        <v>0</v>
      </c>
      <c r="P438" s="100">
        <f>VLOOKUP($H:$H,型材表!$B$5:$I$450,5,0)</f>
        <v>0.125</v>
      </c>
      <c r="Q438" s="100" t="str">
        <f>VLOOKUP($H:$H,型材表!$B$5:$I$468,6,0)</f>
        <v>非断桥隔热铝型材</v>
      </c>
      <c r="R438" s="49"/>
      <c r="S438" s="50"/>
      <c r="U438" s="374" t="s">
        <v>991</v>
      </c>
      <c r="V438" s="269">
        <f>59.8+44.8</f>
        <v>104.6</v>
      </c>
      <c r="W438" s="269"/>
      <c r="X438" s="279">
        <f>59.8+44.8</f>
        <v>104.6</v>
      </c>
      <c r="Z438" s="279">
        <f>59.8+44.8</f>
        <v>104.6</v>
      </c>
      <c r="AA438" s="259"/>
      <c r="AB438" s="279">
        <f>59.8+44.8</f>
        <v>104.6</v>
      </c>
      <c r="AC438" s="259"/>
      <c r="AD438" s="279">
        <f>59.8+44.8</f>
        <v>104.6</v>
      </c>
      <c r="AE438" s="259"/>
      <c r="AF438" s="279">
        <f>59.8+44.8</f>
        <v>104.6</v>
      </c>
      <c r="AG438" s="259"/>
      <c r="AH438" s="279">
        <f>59.8+44.8</f>
        <v>104.6</v>
      </c>
      <c r="AI438" s="259"/>
    </row>
    <row r="439" spans="1:35" x14ac:dyDescent="0.15">
      <c r="A439" s="395">
        <v>9</v>
      </c>
      <c r="B439" s="534"/>
      <c r="C439" s="535"/>
      <c r="D439" s="535"/>
      <c r="E439" s="536"/>
      <c r="F439" s="47" t="str">
        <f>VLOOKUP($H:$H,型材表!$B$5:$I$450,2,0)</f>
        <v>压线</v>
      </c>
      <c r="G439" s="45" t="s">
        <v>39</v>
      </c>
      <c r="H439" s="45" t="str">
        <f>H437</f>
        <v>SN55Y002</v>
      </c>
      <c r="I439" s="45" t="s">
        <v>1055</v>
      </c>
      <c r="J439" s="46">
        <f>IF(G416=65,M421-V439,IF(G416=55,M421-X439,IF(G416=551,M421-Z439,IF(G416=60,M421-AB439,IF(G416=601,M421-AD439,IF(G416=70,M421-AF439,IF(G416=75,M421-AH439)))))))</f>
        <v>369</v>
      </c>
      <c r="K439" s="45">
        <v>2</v>
      </c>
      <c r="L439" s="47">
        <f>VLOOKUP($H:$H,型材表!$B$5:$I$450,4,0)</f>
        <v>0.221</v>
      </c>
      <c r="M439" s="46">
        <f t="shared" si="57"/>
        <v>0.16309800000000002</v>
      </c>
      <c r="N439" s="72">
        <f>VLOOKUP($H:$H,型材表!$B$5:$I$450,7,0)</f>
        <v>0</v>
      </c>
      <c r="O439" s="46">
        <f t="shared" si="58"/>
        <v>0</v>
      </c>
      <c r="P439" s="100">
        <f>VLOOKUP($H:$H,型材表!$B$5:$I$450,5,0)</f>
        <v>0.125</v>
      </c>
      <c r="Q439" s="100" t="str">
        <f>VLOOKUP($H:$H,型材表!$B$5:$I$468,6,0)</f>
        <v>非断桥隔热铝型材</v>
      </c>
      <c r="R439" s="49"/>
      <c r="S439" s="50"/>
      <c r="U439" s="374" t="s">
        <v>1057</v>
      </c>
      <c r="V439" s="269">
        <f>8+23</f>
        <v>31</v>
      </c>
      <c r="W439" s="269"/>
      <c r="X439" s="279">
        <f>8+23</f>
        <v>31</v>
      </c>
      <c r="Z439" s="279">
        <f>8+23</f>
        <v>31</v>
      </c>
      <c r="AA439" s="259"/>
      <c r="AB439" s="279">
        <f>8+23</f>
        <v>31</v>
      </c>
      <c r="AC439" s="259"/>
      <c r="AD439" s="279">
        <f>8+23</f>
        <v>31</v>
      </c>
      <c r="AE439" s="259"/>
      <c r="AF439" s="279">
        <f>8+23</f>
        <v>31</v>
      </c>
      <c r="AG439" s="259"/>
      <c r="AH439" s="279">
        <f>8+23</f>
        <v>31</v>
      </c>
      <c r="AI439" s="259"/>
    </row>
    <row r="440" spans="1:35" x14ac:dyDescent="0.15">
      <c r="A440" s="395">
        <v>10</v>
      </c>
      <c r="B440" s="534"/>
      <c r="C440" s="535"/>
      <c r="D440" s="535"/>
      <c r="E440" s="536"/>
      <c r="F440" s="47" t="str">
        <f>VLOOKUP($H:$H,型材表!$B$5:$I$450,2,0)</f>
        <v>压线</v>
      </c>
      <c r="G440" s="45" t="s">
        <v>40</v>
      </c>
      <c r="H440" s="45" t="str">
        <f t="shared" ref="H440:H442" si="59">H438</f>
        <v>SN55Y002</v>
      </c>
      <c r="I440" s="45" t="s">
        <v>1037</v>
      </c>
      <c r="J440" s="46">
        <f>IF(G416=65,M423-V440,IF(G416=55,M423-X440,IF(G416=551,M423-Z440,IF(G416=60,M423-AB440,IF(G416=601,M423-AD440,IF(G416=70,M423-AF440,IF(G416=75,M423-AH440)))))))</f>
        <v>645.4</v>
      </c>
      <c r="K440" s="45">
        <v>2</v>
      </c>
      <c r="L440" s="47">
        <f>VLOOKUP($H:$H,型材表!$B$5:$I$450,4,0)</f>
        <v>0.221</v>
      </c>
      <c r="M440" s="46">
        <f t="shared" si="57"/>
        <v>0.28526679999999999</v>
      </c>
      <c r="N440" s="72">
        <f>VLOOKUP($H:$H,型材表!$B$5:$I$450,7,0)</f>
        <v>0</v>
      </c>
      <c r="O440" s="46">
        <f t="shared" si="58"/>
        <v>0</v>
      </c>
      <c r="P440" s="100">
        <f>VLOOKUP($H:$H,型材表!$B$5:$I$450,5,0)</f>
        <v>0.125</v>
      </c>
      <c r="Q440" s="100" t="str">
        <f>VLOOKUP($H:$H,型材表!$B$5:$I$468,6,0)</f>
        <v>非断桥隔热铝型材</v>
      </c>
      <c r="R440" s="49"/>
      <c r="S440" s="50"/>
      <c r="U440" s="374" t="s">
        <v>1030</v>
      </c>
      <c r="V440" s="269">
        <f>59.8+44.8</f>
        <v>104.6</v>
      </c>
      <c r="W440" s="269"/>
      <c r="X440" s="279">
        <f>59.8+44.8</f>
        <v>104.6</v>
      </c>
      <c r="Z440" s="279">
        <f>59.8+44.8</f>
        <v>104.6</v>
      </c>
      <c r="AA440" s="259"/>
      <c r="AB440" s="279">
        <f>59.8+44.8</f>
        <v>104.6</v>
      </c>
      <c r="AC440" s="259"/>
      <c r="AD440" s="279">
        <f>59.8+44.8</f>
        <v>104.6</v>
      </c>
      <c r="AE440" s="259"/>
      <c r="AF440" s="279">
        <f>59.8+44.8</f>
        <v>104.6</v>
      </c>
      <c r="AG440" s="259"/>
      <c r="AH440" s="279">
        <f>59.8+44.8</f>
        <v>104.6</v>
      </c>
      <c r="AI440" s="259"/>
    </row>
    <row r="441" spans="1:35" x14ac:dyDescent="0.15">
      <c r="A441" s="395">
        <v>11</v>
      </c>
      <c r="B441" s="534"/>
      <c r="C441" s="535"/>
      <c r="D441" s="535"/>
      <c r="E441" s="536"/>
      <c r="F441" s="47" t="str">
        <f>VLOOKUP($H:$H,型材表!$B$5:$I$450,2,0)</f>
        <v>压线</v>
      </c>
      <c r="G441" s="45" t="s">
        <v>40</v>
      </c>
      <c r="H441" s="45" t="str">
        <f t="shared" si="59"/>
        <v>SN55Y002</v>
      </c>
      <c r="I441" s="45" t="s">
        <v>1056</v>
      </c>
      <c r="J441" s="46">
        <f>IF(G416=65,M423-V441,IF(G416=55,M423-X441,IF(G416=551,M423-Z441,IF(G416=60,M423-AB441,IF(G416=601,M423-AD441,IF(G416=70,M423-AF441,IF(G416=75,M423-AH441)))))))</f>
        <v>719</v>
      </c>
      <c r="K441" s="45">
        <v>2</v>
      </c>
      <c r="L441" s="47">
        <f>VLOOKUP($H:$H,型材表!$B$5:$I$450,4,0)</f>
        <v>0.221</v>
      </c>
      <c r="M441" s="46">
        <f t="shared" si="57"/>
        <v>0.31779800000000002</v>
      </c>
      <c r="N441" s="72">
        <f>VLOOKUP($H:$H,型材表!$B$5:$I$450,7,0)</f>
        <v>0</v>
      </c>
      <c r="O441" s="46">
        <f t="shared" si="58"/>
        <v>0</v>
      </c>
      <c r="P441" s="100">
        <f>VLOOKUP($H:$H,型材表!$B$5:$I$450,5,0)</f>
        <v>0.125</v>
      </c>
      <c r="Q441" s="100" t="str">
        <f>VLOOKUP($H:$H,型材表!$B$5:$I$468,6,0)</f>
        <v>非断桥隔热铝型材</v>
      </c>
      <c r="R441" s="49"/>
      <c r="S441" s="50"/>
      <c r="U441" s="374" t="s">
        <v>1058</v>
      </c>
      <c r="V441" s="269">
        <f>23+8</f>
        <v>31</v>
      </c>
      <c r="W441" s="269"/>
      <c r="X441" s="279">
        <f>23+8</f>
        <v>31</v>
      </c>
      <c r="Z441" s="279">
        <f>23+8</f>
        <v>31</v>
      </c>
      <c r="AA441" s="259"/>
      <c r="AB441" s="279">
        <f>23+8</f>
        <v>31</v>
      </c>
      <c r="AC441" s="259"/>
      <c r="AD441" s="279">
        <f>23+8</f>
        <v>31</v>
      </c>
      <c r="AE441" s="259"/>
      <c r="AF441" s="279">
        <f>23+8</f>
        <v>31</v>
      </c>
      <c r="AG441" s="259"/>
      <c r="AH441" s="279">
        <f>23+8</f>
        <v>31</v>
      </c>
      <c r="AI441" s="259"/>
    </row>
    <row r="442" spans="1:35" x14ac:dyDescent="0.15">
      <c r="A442" s="395">
        <v>12</v>
      </c>
      <c r="B442" s="537"/>
      <c r="C442" s="538"/>
      <c r="D442" s="538"/>
      <c r="E442" s="539"/>
      <c r="F442" s="47" t="str">
        <f>VLOOKUP($H:$H,型材表!$B$5:$I$450,2,0)</f>
        <v>压线</v>
      </c>
      <c r="G442" s="45" t="s">
        <v>40</v>
      </c>
      <c r="H442" s="45" t="str">
        <f t="shared" si="59"/>
        <v>SN55Y002</v>
      </c>
      <c r="I442" s="45" t="s">
        <v>942</v>
      </c>
      <c r="J442" s="46">
        <f>IF(G416=65,M424-V442,IF(G416=55,M424-X442,IF(G416=551,M424-Z442,IF(G416=60,M424-AB442,IF(G416=601,M424-AD442,IF(G416=70,M424-AF442,IF(G416=75,M424-AH442)))))))</f>
        <v>819</v>
      </c>
      <c r="K442" s="45">
        <v>2</v>
      </c>
      <c r="L442" s="47">
        <f>VLOOKUP($H:$H,型材表!$B$5:$I$450,4,0)</f>
        <v>0.221</v>
      </c>
      <c r="M442" s="46">
        <f t="shared" si="54"/>
        <v>0.36199799999999999</v>
      </c>
      <c r="N442" s="72">
        <f>VLOOKUP($H:$H,型材表!$B$5:$I$450,7,0)</f>
        <v>0</v>
      </c>
      <c r="O442" s="46">
        <f t="shared" si="56"/>
        <v>0</v>
      </c>
      <c r="P442" s="100">
        <f>VLOOKUP($H:$H,型材表!$B$5:$I$450,5,0)</f>
        <v>0.125</v>
      </c>
      <c r="Q442" s="100" t="str">
        <f>VLOOKUP($H:$H,型材表!$B$5:$I$468,6,0)</f>
        <v>非断桥隔热铝型材</v>
      </c>
      <c r="R442" s="49"/>
      <c r="S442" s="50"/>
      <c r="U442" s="374" t="s">
        <v>993</v>
      </c>
      <c r="V442" s="269">
        <f>23+8</f>
        <v>31</v>
      </c>
      <c r="W442" s="269"/>
      <c r="X442" s="279">
        <f>23+8</f>
        <v>31</v>
      </c>
      <c r="Z442" s="279">
        <f>23+8</f>
        <v>31</v>
      </c>
      <c r="AA442" s="259"/>
      <c r="AB442" s="279">
        <f>23+8</f>
        <v>31</v>
      </c>
      <c r="AC442" s="259"/>
      <c r="AD442" s="279">
        <f>23+8</f>
        <v>31</v>
      </c>
      <c r="AE442" s="259"/>
      <c r="AF442" s="279">
        <f>23+8</f>
        <v>31</v>
      </c>
      <c r="AG442" s="259"/>
      <c r="AH442" s="279">
        <f>23+8</f>
        <v>31</v>
      </c>
      <c r="AI442" s="259"/>
    </row>
    <row r="443" spans="1:35" x14ac:dyDescent="0.15">
      <c r="A443" s="395">
        <v>13</v>
      </c>
      <c r="B443" s="531" t="s">
        <v>44</v>
      </c>
      <c r="C443" s="532"/>
      <c r="D443" s="532"/>
      <c r="E443" s="533"/>
      <c r="F443" s="47" t="str">
        <f>VLOOKUP($H:$H,型材表!$B$5:$I$450,2,0)</f>
        <v>角码</v>
      </c>
      <c r="G443" s="51" t="s">
        <v>446</v>
      </c>
      <c r="H443" s="45" t="str">
        <f>IF(G416=65,"SW55F001","SN55F003")</f>
        <v>SN55F003</v>
      </c>
      <c r="I443" s="45" t="s">
        <v>943</v>
      </c>
      <c r="J443" s="52">
        <f>IF(G416=65,V443,IF(G416=55,X443,IF(G416=551,Z443,IF(G416=60,AB443,IF(G416=601,AD443,IF(G416=70,AF443,IF(G416=75,AH443)))))))</f>
        <v>32.200000000000003</v>
      </c>
      <c r="K443" s="45">
        <f>K431*2</f>
        <v>4</v>
      </c>
      <c r="L443" s="47">
        <f>VLOOKUP($H:$H,型材表!$B$5:$I$450,4,0)</f>
        <v>1.7490000000000001</v>
      </c>
      <c r="M443" s="46">
        <f t="shared" si="54"/>
        <v>0.22527120000000003</v>
      </c>
      <c r="N443" s="72">
        <f>VLOOKUP($H:$H,型材表!$B$5:$I$450,7,0)</f>
        <v>0</v>
      </c>
      <c r="O443" s="46">
        <f t="shared" si="56"/>
        <v>0</v>
      </c>
      <c r="P443" s="100">
        <f>VLOOKUP($H:$H,型材表!$B$5:$I$450,5,0)</f>
        <v>0.125</v>
      </c>
      <c r="Q443" s="100" t="str">
        <f>VLOOKUP($H:$H,型材表!$B$5:$I$468,6,0)</f>
        <v>阳极氧化铝型材</v>
      </c>
      <c r="R443" s="49"/>
      <c r="S443" s="50"/>
      <c r="U443" s="374" t="s">
        <v>994</v>
      </c>
      <c r="V443" s="259">
        <f>19.5-1+14.7-1</f>
        <v>32.200000000000003</v>
      </c>
      <c r="X443" s="264">
        <f>19.5-1+14.7-1</f>
        <v>32.200000000000003</v>
      </c>
      <c r="Y443" s="265"/>
      <c r="Z443" s="264">
        <f>19.5-1+10.9-1</f>
        <v>28.4</v>
      </c>
      <c r="AA443" s="277"/>
      <c r="AB443" s="264">
        <f>19.5-1+14.7-1</f>
        <v>32.200000000000003</v>
      </c>
      <c r="AC443" s="277"/>
      <c r="AD443" s="264">
        <f>19.5-1+10.9-1</f>
        <v>28.4</v>
      </c>
      <c r="AE443" s="277"/>
      <c r="AF443" s="264">
        <f>19.5-1+14.7-1</f>
        <v>32.200000000000003</v>
      </c>
      <c r="AG443" s="277"/>
      <c r="AH443" s="264">
        <f>19.5-1+14.7-1</f>
        <v>32.200000000000003</v>
      </c>
      <c r="AI443" s="259"/>
    </row>
    <row r="444" spans="1:35" x14ac:dyDescent="0.15">
      <c r="A444" s="395">
        <v>14</v>
      </c>
      <c r="B444" s="534"/>
      <c r="C444" s="535"/>
      <c r="D444" s="535"/>
      <c r="E444" s="536"/>
      <c r="F444" s="47" t="str">
        <f>VLOOKUP($H:$H,型材表!$B$5:$I$450,2,0)</f>
        <v>角码</v>
      </c>
      <c r="G444" s="51" t="s">
        <v>447</v>
      </c>
      <c r="H444" s="45" t="str">
        <f>IF(G416=65,"SN55F003","SN55F003")</f>
        <v>SN55F003</v>
      </c>
      <c r="I444" s="45" t="s">
        <v>944</v>
      </c>
      <c r="J444" s="52">
        <f t="shared" ref="J444:J447" si="60">V444</f>
        <v>27.1</v>
      </c>
      <c r="K444" s="45">
        <v>4</v>
      </c>
      <c r="L444" s="47">
        <f>VLOOKUP($H:$H,型材表!$B$5:$I$450,4,0)</f>
        <v>1.7490000000000001</v>
      </c>
      <c r="M444" s="46">
        <f t="shared" si="54"/>
        <v>0.18959160000000003</v>
      </c>
      <c r="N444" s="72">
        <f>VLOOKUP($H:$H,型材表!$B$5:$I$450,7,0)</f>
        <v>0</v>
      </c>
      <c r="O444" s="46">
        <f t="shared" si="56"/>
        <v>0</v>
      </c>
      <c r="P444" s="100">
        <f>VLOOKUP($H:$H,型材表!$B$5:$I$450,5,0)</f>
        <v>0.125</v>
      </c>
      <c r="Q444" s="100" t="str">
        <f>VLOOKUP($H:$H,型材表!$B$5:$I$468,6,0)</f>
        <v>阳极氧化铝型材</v>
      </c>
      <c r="R444" s="49"/>
      <c r="S444" s="50"/>
      <c r="U444" s="374" t="s">
        <v>995</v>
      </c>
      <c r="V444" s="259">
        <f>28.1-1</f>
        <v>27.1</v>
      </c>
      <c r="X444" s="264"/>
      <c r="Z444" s="264"/>
      <c r="AA444" s="259"/>
      <c r="AB444" s="264"/>
      <c r="AC444" s="259"/>
      <c r="AD444" s="264"/>
      <c r="AE444" s="259"/>
      <c r="AF444" s="264"/>
      <c r="AG444" s="259"/>
      <c r="AH444" s="264"/>
      <c r="AI444" s="259"/>
    </row>
    <row r="445" spans="1:35" x14ac:dyDescent="0.15">
      <c r="A445" s="395">
        <v>15</v>
      </c>
      <c r="B445" s="534"/>
      <c r="C445" s="535"/>
      <c r="D445" s="535"/>
      <c r="E445" s="536"/>
      <c r="F445" s="47" t="str">
        <f>VLOOKUP($H:$H,型材表!$B$5:$I$450,2,0)</f>
        <v>角码</v>
      </c>
      <c r="G445" s="51" t="s">
        <v>447</v>
      </c>
      <c r="H445" s="45" t="str">
        <f>IF(G416=70,"SW50F002",IF(G416=75,"SW50F002","SN55F003"))</f>
        <v>SN55F003</v>
      </c>
      <c r="I445" s="45" t="s">
        <v>945</v>
      </c>
      <c r="J445" s="52">
        <f>IF(G416=65,V445,IF(G416=55,X445,IF(G416=551,Z445,IF(G416=60,AB445,IF(G416=601,AD445,IF(G416=70,AF445,IF(G416=75,AH445)))))))</f>
        <v>8</v>
      </c>
      <c r="K445" s="45">
        <f>K444</f>
        <v>4</v>
      </c>
      <c r="L445" s="47">
        <f>VLOOKUP($H:$H,型材表!$B$5:$I$450,4,0)</f>
        <v>1.7490000000000001</v>
      </c>
      <c r="M445" s="46">
        <f t="shared" si="54"/>
        <v>5.5968000000000004E-2</v>
      </c>
      <c r="N445" s="72">
        <f>VLOOKUP($H:$H,型材表!$B$5:$I$450,7,0)</f>
        <v>0</v>
      </c>
      <c r="O445" s="46">
        <f t="shared" si="56"/>
        <v>0</v>
      </c>
      <c r="P445" s="100">
        <f>VLOOKUP($H:$H,型材表!$B$5:$I$450,5,0)</f>
        <v>0.125</v>
      </c>
      <c r="Q445" s="100" t="str">
        <f>VLOOKUP($H:$H,型材表!$B$5:$I$468,6,0)</f>
        <v>阳极氧化铝型材</v>
      </c>
      <c r="R445" s="49"/>
      <c r="S445" s="50"/>
      <c r="U445" s="374" t="s">
        <v>996</v>
      </c>
      <c r="V445" s="259">
        <f>9-1</f>
        <v>8</v>
      </c>
      <c r="X445" s="264">
        <f>9-1</f>
        <v>8</v>
      </c>
      <c r="Y445" s="265"/>
      <c r="Z445" s="264">
        <f>5.2-1</f>
        <v>4.2</v>
      </c>
      <c r="AA445" s="277"/>
      <c r="AB445" s="264">
        <f>9-1</f>
        <v>8</v>
      </c>
      <c r="AC445" s="277"/>
      <c r="AD445" s="264">
        <f>5.2-1</f>
        <v>4.2</v>
      </c>
      <c r="AE445" s="277"/>
      <c r="AF445" s="264">
        <f>9-1</f>
        <v>8</v>
      </c>
      <c r="AG445" s="277"/>
      <c r="AH445" s="264">
        <f>9-1</f>
        <v>8</v>
      </c>
      <c r="AI445" s="259"/>
    </row>
    <row r="446" spans="1:35" x14ac:dyDescent="0.15">
      <c r="A446" s="395">
        <v>16</v>
      </c>
      <c r="B446" s="534"/>
      <c r="C446" s="535"/>
      <c r="D446" s="535"/>
      <c r="E446" s="536"/>
      <c r="F446" s="47" t="str">
        <f>VLOOKUP($H:$H,型材表!$B$5:$I$450,2,0)</f>
        <v>中梃角码</v>
      </c>
      <c r="G446" s="51"/>
      <c r="H446" s="45" t="str">
        <f>IF(G416=65,"SN55F001","SN55F001")</f>
        <v>SN55F001</v>
      </c>
      <c r="I446" s="45" t="s">
        <v>946</v>
      </c>
      <c r="J446" s="52">
        <f t="shared" si="60"/>
        <v>18.5</v>
      </c>
      <c r="K446" s="45">
        <v>4</v>
      </c>
      <c r="L446" s="47">
        <f>VLOOKUP($H:$H,型材表!$B$5:$I$450,4,0)</f>
        <v>1.4730000000000001</v>
      </c>
      <c r="M446" s="46">
        <f t="shared" si="54"/>
        <v>0.10900200000000002</v>
      </c>
      <c r="N446" s="72">
        <f>VLOOKUP($H:$H,型材表!$B$5:$I$450,7,0)</f>
        <v>0</v>
      </c>
      <c r="O446" s="46">
        <f t="shared" si="56"/>
        <v>0</v>
      </c>
      <c r="P446" s="100">
        <f>VLOOKUP($H:$H,型材表!$B$5:$I$450,5,0)</f>
        <v>0.125</v>
      </c>
      <c r="Q446" s="100" t="str">
        <f>VLOOKUP($H:$H,型材表!$B$5:$I$468,6,0)</f>
        <v>阳极氧化铝型材</v>
      </c>
      <c r="R446" s="49"/>
      <c r="S446" s="50"/>
      <c r="U446" s="374" t="s">
        <v>997</v>
      </c>
      <c r="V446" s="259">
        <f>19.5-1</f>
        <v>18.5</v>
      </c>
      <c r="X446" s="264"/>
      <c r="Z446" s="264"/>
      <c r="AA446" s="259"/>
      <c r="AB446" s="264"/>
      <c r="AC446" s="259"/>
      <c r="AD446" s="264"/>
      <c r="AE446" s="259"/>
      <c r="AF446" s="264"/>
      <c r="AG446" s="259"/>
      <c r="AH446" s="264"/>
      <c r="AI446" s="259"/>
    </row>
    <row r="447" spans="1:35" x14ac:dyDescent="0.15">
      <c r="A447" s="395">
        <v>17</v>
      </c>
      <c r="B447" s="537"/>
      <c r="C447" s="538"/>
      <c r="D447" s="538"/>
      <c r="E447" s="539"/>
      <c r="F447" s="47" t="str">
        <f>VLOOKUP($H:$H,型材表!$B$5:$I$450,2,0)</f>
        <v>中梃角码</v>
      </c>
      <c r="G447" s="53"/>
      <c r="H447" s="45" t="str">
        <f>IF(G416=70,"SN70F001",IF(G416=75,"SN70F001",IF(G416=551,"SN55BF001",IF(G416=601,"SN55BF001","SN55F002"))))</f>
        <v>SN55F002</v>
      </c>
      <c r="I447" s="45" t="s">
        <v>947</v>
      </c>
      <c r="J447" s="52">
        <f t="shared" si="60"/>
        <v>13.5</v>
      </c>
      <c r="K447" s="55">
        <v>4</v>
      </c>
      <c r="L447" s="47">
        <f>VLOOKUP($H:$H,型材表!$B$5:$I$450,4,0)</f>
        <v>0.90400000000000003</v>
      </c>
      <c r="M447" s="46">
        <f t="shared" si="54"/>
        <v>4.8816000000000005E-2</v>
      </c>
      <c r="N447" s="72">
        <f>VLOOKUP($H:$H,型材表!$B$5:$I$450,7,0)</f>
        <v>0</v>
      </c>
      <c r="O447" s="46">
        <f t="shared" si="56"/>
        <v>0</v>
      </c>
      <c r="P447" s="100">
        <f>VLOOKUP($H:$H,型材表!$B$5:$I$450,5,0)</f>
        <v>0.125</v>
      </c>
      <c r="Q447" s="100" t="str">
        <f>VLOOKUP($H:$H,型材表!$B$5:$I$468,6,0)</f>
        <v>阳极氧化铝型材</v>
      </c>
      <c r="R447" s="49"/>
      <c r="S447" s="50"/>
      <c r="U447" s="374" t="s">
        <v>939</v>
      </c>
      <c r="V447" s="259">
        <f>14.5-1</f>
        <v>13.5</v>
      </c>
      <c r="X447" s="264"/>
      <c r="Z447" s="264"/>
      <c r="AA447" s="259"/>
      <c r="AB447" s="264"/>
      <c r="AC447" s="259"/>
      <c r="AD447" s="264"/>
      <c r="AE447" s="259"/>
      <c r="AF447" s="264"/>
      <c r="AG447" s="259"/>
      <c r="AH447" s="264"/>
      <c r="AI447" s="259"/>
    </row>
    <row r="448" spans="1:35" x14ac:dyDescent="0.15">
      <c r="A448" s="395">
        <v>18</v>
      </c>
      <c r="B448" s="387"/>
      <c r="C448" s="388"/>
      <c r="D448" s="388"/>
      <c r="E448" s="389"/>
      <c r="F448" s="306"/>
      <c r="G448" s="53"/>
      <c r="H448" s="207"/>
      <c r="I448" s="207"/>
      <c r="J448" s="214"/>
      <c r="K448" s="55"/>
      <c r="L448" s="306"/>
      <c r="M448" s="208"/>
      <c r="N448" s="432"/>
      <c r="O448" s="208"/>
      <c r="P448" s="433"/>
      <c r="Q448" s="360"/>
      <c r="R448" s="60"/>
      <c r="S448" s="50"/>
      <c r="X448" s="264"/>
      <c r="Z448" s="264"/>
      <c r="AA448" s="259"/>
      <c r="AB448" s="264"/>
      <c r="AC448" s="259"/>
      <c r="AD448" s="264"/>
      <c r="AE448" s="259"/>
      <c r="AF448" s="264"/>
      <c r="AG448" s="259"/>
      <c r="AH448" s="264"/>
      <c r="AI448" s="259"/>
    </row>
    <row r="449" spans="1:35" x14ac:dyDescent="0.15">
      <c r="A449" s="395">
        <v>19</v>
      </c>
      <c r="B449" s="387"/>
      <c r="C449" s="388"/>
      <c r="D449" s="388"/>
      <c r="E449" s="389"/>
      <c r="F449" s="306"/>
      <c r="G449" s="53"/>
      <c r="H449" s="207"/>
      <c r="I449" s="207"/>
      <c r="J449" s="214"/>
      <c r="K449" s="55"/>
      <c r="L449" s="306"/>
      <c r="M449" s="208"/>
      <c r="N449" s="432"/>
      <c r="O449" s="208"/>
      <c r="P449" s="433"/>
      <c r="Q449" s="360"/>
      <c r="R449" s="60"/>
      <c r="S449" s="50"/>
      <c r="X449" s="264"/>
      <c r="Z449" s="264"/>
      <c r="AA449" s="259"/>
      <c r="AB449" s="264"/>
      <c r="AC449" s="259"/>
      <c r="AD449" s="264"/>
      <c r="AE449" s="259"/>
      <c r="AF449" s="264"/>
      <c r="AG449" s="259"/>
      <c r="AH449" s="264"/>
      <c r="AI449" s="259"/>
    </row>
    <row r="450" spans="1:35" x14ac:dyDescent="0.15">
      <c r="A450" s="395">
        <v>20</v>
      </c>
      <c r="B450" s="387"/>
      <c r="C450" s="388"/>
      <c r="D450" s="388"/>
      <c r="E450" s="389"/>
      <c r="F450" s="306"/>
      <c r="G450" s="53"/>
      <c r="H450" s="207"/>
      <c r="I450" s="207"/>
      <c r="J450" s="214"/>
      <c r="K450" s="55"/>
      <c r="L450" s="306"/>
      <c r="M450" s="208"/>
      <c r="N450" s="432"/>
      <c r="O450" s="208"/>
      <c r="P450" s="433"/>
      <c r="Q450" s="360"/>
      <c r="R450" s="60"/>
      <c r="S450" s="50"/>
      <c r="X450" s="264"/>
      <c r="Z450" s="264"/>
      <c r="AA450" s="259"/>
      <c r="AB450" s="264"/>
      <c r="AC450" s="259"/>
      <c r="AD450" s="264"/>
      <c r="AE450" s="259"/>
      <c r="AF450" s="264"/>
      <c r="AG450" s="259"/>
      <c r="AH450" s="264"/>
      <c r="AI450" s="259"/>
    </row>
    <row r="451" spans="1:35" x14ac:dyDescent="0.15">
      <c r="A451" s="395">
        <v>21</v>
      </c>
      <c r="B451" s="387"/>
      <c r="C451" s="388"/>
      <c r="D451" s="388"/>
      <c r="E451" s="389"/>
      <c r="F451" s="306"/>
      <c r="G451" s="53"/>
      <c r="H451" s="207"/>
      <c r="I451" s="207"/>
      <c r="J451" s="214"/>
      <c r="K451" s="55"/>
      <c r="L451" s="306"/>
      <c r="M451" s="208"/>
      <c r="N451" s="432"/>
      <c r="O451" s="208"/>
      <c r="P451" s="433"/>
      <c r="Q451" s="360"/>
      <c r="R451" s="60"/>
      <c r="S451" s="50"/>
      <c r="X451" s="264"/>
      <c r="Z451" s="264"/>
      <c r="AA451" s="259"/>
      <c r="AB451" s="264"/>
      <c r="AC451" s="259"/>
      <c r="AD451" s="264"/>
      <c r="AE451" s="259"/>
      <c r="AF451" s="264"/>
      <c r="AG451" s="259"/>
      <c r="AH451" s="264"/>
      <c r="AI451" s="259"/>
    </row>
    <row r="452" spans="1:35" x14ac:dyDescent="0.15">
      <c r="A452" s="563" t="s">
        <v>877</v>
      </c>
      <c r="B452" s="563"/>
      <c r="C452" s="563"/>
      <c r="D452" s="564"/>
      <c r="E452" s="564"/>
      <c r="F452" s="563"/>
      <c r="G452" s="563"/>
      <c r="H452" s="563"/>
      <c r="I452" s="563"/>
      <c r="J452" s="563"/>
      <c r="K452" s="563"/>
      <c r="L452" s="563"/>
      <c r="M452" s="46">
        <f>SUMIF($Q$431:$Q$447,A452,$M$431:$M$447)</f>
        <v>12.156786000000002</v>
      </c>
      <c r="N452" s="58"/>
      <c r="O452" s="46"/>
      <c r="P452" s="59"/>
      <c r="Q452" s="336"/>
      <c r="R452" s="60"/>
      <c r="S452" s="50"/>
      <c r="X452" s="264"/>
      <c r="Z452" s="264"/>
      <c r="AA452" s="259"/>
      <c r="AB452" s="264"/>
      <c r="AC452" s="259"/>
      <c r="AD452" s="264"/>
      <c r="AE452" s="259"/>
      <c r="AF452" s="264"/>
      <c r="AG452" s="259"/>
      <c r="AH452" s="264"/>
      <c r="AI452" s="259"/>
    </row>
    <row r="453" spans="1:35" x14ac:dyDescent="0.15">
      <c r="A453" s="563" t="s">
        <v>879</v>
      </c>
      <c r="B453" s="563"/>
      <c r="C453" s="563"/>
      <c r="D453" s="564"/>
      <c r="E453" s="564"/>
      <c r="F453" s="563"/>
      <c r="G453" s="563"/>
      <c r="H453" s="563"/>
      <c r="I453" s="563"/>
      <c r="J453" s="563"/>
      <c r="K453" s="563"/>
      <c r="L453" s="563"/>
      <c r="M453" s="46">
        <f t="shared" ref="M453:M454" si="61">SUMIF($Q$431:$Q$447,A453,$M$431:$M$447)</f>
        <v>2.0339955999999999</v>
      </c>
      <c r="N453" s="58"/>
      <c r="O453" s="46"/>
      <c r="P453" s="59"/>
      <c r="Q453" s="336"/>
      <c r="R453" s="60"/>
      <c r="S453" s="50"/>
      <c r="X453" s="264"/>
      <c r="Z453" s="264"/>
      <c r="AA453" s="259"/>
      <c r="AB453" s="264"/>
      <c r="AC453" s="259"/>
      <c r="AD453" s="264"/>
      <c r="AE453" s="259"/>
      <c r="AF453" s="264"/>
      <c r="AG453" s="259"/>
      <c r="AH453" s="264"/>
      <c r="AI453" s="259"/>
    </row>
    <row r="454" spans="1:35" x14ac:dyDescent="0.15">
      <c r="A454" s="563" t="s">
        <v>880</v>
      </c>
      <c r="B454" s="563"/>
      <c r="C454" s="563"/>
      <c r="D454" s="564"/>
      <c r="E454" s="564"/>
      <c r="F454" s="563"/>
      <c r="G454" s="563"/>
      <c r="H454" s="563"/>
      <c r="I454" s="563"/>
      <c r="J454" s="563"/>
      <c r="K454" s="563"/>
      <c r="L454" s="563"/>
      <c r="M454" s="46">
        <f t="shared" si="61"/>
        <v>0.62864880000000012</v>
      </c>
      <c r="N454" s="58"/>
      <c r="O454" s="46"/>
      <c r="P454" s="59"/>
      <c r="Q454" s="336"/>
      <c r="R454" s="60"/>
      <c r="S454" s="50"/>
      <c r="X454" s="264"/>
      <c r="Z454" s="264"/>
      <c r="AA454" s="259"/>
      <c r="AB454" s="264"/>
      <c r="AC454" s="259"/>
      <c r="AD454" s="264"/>
      <c r="AE454" s="259"/>
      <c r="AF454" s="264"/>
      <c r="AG454" s="259"/>
      <c r="AH454" s="264"/>
      <c r="AI454" s="259"/>
    </row>
    <row r="455" spans="1:35" x14ac:dyDescent="0.15">
      <c r="A455" s="61"/>
      <c r="B455" s="552"/>
      <c r="C455" s="557"/>
      <c r="D455" s="557"/>
      <c r="E455" s="553"/>
      <c r="F455" s="552" t="s">
        <v>48</v>
      </c>
      <c r="G455" s="557"/>
      <c r="H455" s="557"/>
      <c r="I455" s="557"/>
      <c r="J455" s="557"/>
      <c r="K455" s="557"/>
      <c r="L455" s="553"/>
      <c r="M455" s="62">
        <f>SUM(M452:M454)</f>
        <v>14.819430400000002</v>
      </c>
      <c r="N455" s="63"/>
      <c r="O455" s="62">
        <f>SUM(O431:O447)</f>
        <v>0</v>
      </c>
      <c r="P455" s="63"/>
      <c r="Q455" s="337"/>
      <c r="R455" s="64"/>
      <c r="S455" s="64"/>
      <c r="X455" s="264"/>
      <c r="Z455" s="264"/>
      <c r="AA455" s="259"/>
      <c r="AB455" s="264"/>
      <c r="AC455" s="259"/>
      <c r="AD455" s="264"/>
      <c r="AE455" s="259"/>
      <c r="AF455" s="264"/>
      <c r="AG455" s="259"/>
      <c r="AH455" s="264"/>
      <c r="AI455" s="259"/>
    </row>
    <row r="456" spans="1:35" ht="24" x14ac:dyDescent="0.15">
      <c r="A456" s="65"/>
      <c r="B456" s="565" t="s">
        <v>49</v>
      </c>
      <c r="C456" s="561"/>
      <c r="D456" s="561"/>
      <c r="E456" s="566"/>
      <c r="F456" s="565" t="s">
        <v>26</v>
      </c>
      <c r="G456" s="566"/>
      <c r="H456" s="40" t="s">
        <v>948</v>
      </c>
      <c r="I456" s="40" t="s">
        <v>949</v>
      </c>
      <c r="J456" s="66" t="s">
        <v>50</v>
      </c>
      <c r="K456" s="66" t="s">
        <v>51</v>
      </c>
      <c r="L456" s="67" t="s">
        <v>30</v>
      </c>
      <c r="M456" s="66" t="s">
        <v>52</v>
      </c>
      <c r="N456" s="68" t="s">
        <v>53</v>
      </c>
      <c r="O456" s="68" t="s">
        <v>34</v>
      </c>
      <c r="P456" s="69" t="s">
        <v>35</v>
      </c>
      <c r="Q456" s="42"/>
      <c r="R456" s="67"/>
      <c r="S456" s="67"/>
      <c r="V456" s="270" t="s">
        <v>352</v>
      </c>
      <c r="W456" s="270" t="s">
        <v>353</v>
      </c>
      <c r="X456" s="271" t="s">
        <v>352</v>
      </c>
      <c r="Y456" s="272" t="s">
        <v>353</v>
      </c>
      <c r="Z456" s="271" t="s">
        <v>352</v>
      </c>
      <c r="AA456" s="272" t="s">
        <v>353</v>
      </c>
      <c r="AB456" s="271" t="s">
        <v>352</v>
      </c>
      <c r="AC456" s="272" t="s">
        <v>353</v>
      </c>
      <c r="AD456" s="271" t="s">
        <v>352</v>
      </c>
      <c r="AE456" s="272" t="s">
        <v>353</v>
      </c>
      <c r="AF456" s="271" t="s">
        <v>352</v>
      </c>
      <c r="AG456" s="272" t="s">
        <v>353</v>
      </c>
      <c r="AH456" s="271" t="s">
        <v>352</v>
      </c>
      <c r="AI456" s="272" t="s">
        <v>353</v>
      </c>
    </row>
    <row r="457" spans="1:35" ht="18" customHeight="1" x14ac:dyDescent="0.15">
      <c r="A457" s="57">
        <v>1</v>
      </c>
      <c r="B457" s="545" t="s">
        <v>133</v>
      </c>
      <c r="C457" s="546"/>
      <c r="D457" s="546"/>
      <c r="E457" s="547"/>
      <c r="F457" s="545" t="s">
        <v>55</v>
      </c>
      <c r="G457" s="547"/>
      <c r="H457" s="45" t="s">
        <v>1059</v>
      </c>
      <c r="I457" s="45" t="s">
        <v>1061</v>
      </c>
      <c r="J457" s="46">
        <f>IF(G416=65,M423-V457,IF(G416=55,M423-X457,IF(G416=551,M423-Z457,IF(G416=60,M423-AB457,IF(G416=601,M423-AD457,IF(G416=70,M423-AF457,IF(G416=75,AH457-X457)))))))</f>
        <v>621</v>
      </c>
      <c r="K457" s="70">
        <f>IF(G416=65,M420-W457,IF(G416=55,M420-Y457,IF(G416=551,M420-AA457,IF(G416=60,M420-AC457,IF(G416=601,M420-AE457,IF(G416=70,M420-AG457,IF(G416=75,M420-AI457)))))))</f>
        <v>771</v>
      </c>
      <c r="L457" s="70">
        <v>1</v>
      </c>
      <c r="M457" s="46">
        <f>J457*K457*L457/1000000</f>
        <v>0.47879100000000002</v>
      </c>
      <c r="N457" s="46"/>
      <c r="O457" s="46">
        <f>N457*M457</f>
        <v>0</v>
      </c>
      <c r="P457" s="71"/>
      <c r="Q457" s="240"/>
      <c r="R457" s="72"/>
      <c r="S457" s="72"/>
      <c r="T457" s="456" t="s">
        <v>1595</v>
      </c>
      <c r="U457" s="374" t="s">
        <v>1600</v>
      </c>
      <c r="V457" s="259">
        <f>70+55</f>
        <v>125</v>
      </c>
      <c r="W457" s="259">
        <f>70+55</f>
        <v>125</v>
      </c>
      <c r="X457" s="264">
        <f t="shared" ref="X457:AI457" si="62">72+57</f>
        <v>129</v>
      </c>
      <c r="Y457" s="259">
        <f t="shared" si="62"/>
        <v>129</v>
      </c>
      <c r="Z457" s="264">
        <f t="shared" si="62"/>
        <v>129</v>
      </c>
      <c r="AA457" s="259">
        <f t="shared" si="62"/>
        <v>129</v>
      </c>
      <c r="AB457" s="264">
        <f t="shared" si="62"/>
        <v>129</v>
      </c>
      <c r="AC457" s="259">
        <f t="shared" si="62"/>
        <v>129</v>
      </c>
      <c r="AD457" s="264">
        <f t="shared" si="62"/>
        <v>129</v>
      </c>
      <c r="AE457" s="259">
        <f t="shared" si="62"/>
        <v>129</v>
      </c>
      <c r="AF457" s="264">
        <f t="shared" si="62"/>
        <v>129</v>
      </c>
      <c r="AG457" s="259">
        <f t="shared" si="62"/>
        <v>129</v>
      </c>
      <c r="AH457" s="264">
        <f t="shared" si="62"/>
        <v>129</v>
      </c>
      <c r="AI457" s="259">
        <f t="shared" si="62"/>
        <v>129</v>
      </c>
    </row>
    <row r="458" spans="1:35" x14ac:dyDescent="0.15">
      <c r="A458" s="57">
        <v>2</v>
      </c>
      <c r="B458" s="545" t="s">
        <v>889</v>
      </c>
      <c r="C458" s="546"/>
      <c r="D458" s="546"/>
      <c r="E458" s="547"/>
      <c r="F458" s="545" t="s">
        <v>135</v>
      </c>
      <c r="G458" s="547"/>
      <c r="H458" s="45" t="s">
        <v>1060</v>
      </c>
      <c r="I458" s="45" t="s">
        <v>1655</v>
      </c>
      <c r="J458" s="46">
        <f>IF(G416=65,M423-V458,IF(G416=55,M423-X458,IF(G416=551,M423-Z458,IF(G416=60,M423-AB458,IF(G416=601,M423-AD458,IF(G416=70,M423-AF458,IF(G416=75,M423-AH458)))))))</f>
        <v>695</v>
      </c>
      <c r="K458" s="70">
        <f>IF(G416=65,M421-W458,IF(G416=55,M421-Y458,IF(G416=551,M421-AA458,IF(G416=60,M421-AC458,IF(G416=601,M421-AE458,IF(G416=70,M421-AG458,IF(G416=75,M421-AI458)))))))</f>
        <v>345</v>
      </c>
      <c r="L458" s="70">
        <v>1</v>
      </c>
      <c r="M458" s="46">
        <f>J458*K458*L458/1000000</f>
        <v>0.23977499999999999</v>
      </c>
      <c r="N458" s="46"/>
      <c r="O458" s="46">
        <f>N458*M458</f>
        <v>0</v>
      </c>
      <c r="P458" s="71"/>
      <c r="Q458" s="240"/>
      <c r="R458" s="72"/>
      <c r="S458" s="72"/>
      <c r="T458" s="456" t="s">
        <v>1602</v>
      </c>
      <c r="U458" s="374" t="s">
        <v>1601</v>
      </c>
      <c r="V458" s="259">
        <f>33+18</f>
        <v>51</v>
      </c>
      <c r="W458" s="259">
        <f>33+18</f>
        <v>51</v>
      </c>
      <c r="X458" s="264">
        <f t="shared" ref="X458:AI459" si="63">35+20</f>
        <v>55</v>
      </c>
      <c r="Y458" s="259">
        <f t="shared" si="63"/>
        <v>55</v>
      </c>
      <c r="Z458" s="264">
        <f t="shared" si="63"/>
        <v>55</v>
      </c>
      <c r="AA458" s="259">
        <f t="shared" si="63"/>
        <v>55</v>
      </c>
      <c r="AB458" s="264">
        <f t="shared" si="63"/>
        <v>55</v>
      </c>
      <c r="AC458" s="259">
        <f t="shared" si="63"/>
        <v>55</v>
      </c>
      <c r="AD458" s="264">
        <f t="shared" si="63"/>
        <v>55</v>
      </c>
      <c r="AE458" s="259">
        <f t="shared" si="63"/>
        <v>55</v>
      </c>
      <c r="AF458" s="264">
        <f t="shared" si="63"/>
        <v>55</v>
      </c>
      <c r="AG458" s="259">
        <f t="shared" si="63"/>
        <v>55</v>
      </c>
      <c r="AH458" s="264">
        <f t="shared" si="63"/>
        <v>55</v>
      </c>
      <c r="AI458" s="259">
        <f t="shared" si="63"/>
        <v>55</v>
      </c>
    </row>
    <row r="459" spans="1:35" x14ac:dyDescent="0.15">
      <c r="A459" s="57">
        <v>3</v>
      </c>
      <c r="B459" s="545" t="s">
        <v>897</v>
      </c>
      <c r="C459" s="546"/>
      <c r="D459" s="546"/>
      <c r="E459" s="547"/>
      <c r="F459" s="545" t="s">
        <v>145</v>
      </c>
      <c r="G459" s="547"/>
      <c r="H459" s="45" t="s">
        <v>950</v>
      </c>
      <c r="I459" s="45" t="s">
        <v>1656</v>
      </c>
      <c r="J459" s="46">
        <f>IF(G416=65,M424-V459,IF(G416=55,M424-X459,IF(G416=551,M424-Z459,IF(G416=60,M424-AB459,IF(G416=601,M424-AD459,IF(G416=70,M424-AF459,IF(G416=75,M424-AH459)))))))</f>
        <v>795</v>
      </c>
      <c r="K459" s="70">
        <f>IF(G416=65,M418-W459,IF(G416=55,M418-Y459,IF(G416=551,M418-AA459,IF(G416=60,M418-AC459,IF(G416=601,M418-AE459,IF(G416=70,M418-AG459,IF(G416=75,M418-AI459)))))))</f>
        <v>1230</v>
      </c>
      <c r="L459" s="70">
        <v>1</v>
      </c>
      <c r="M459" s="46">
        <f>J459*K459*L459/1000000</f>
        <v>0.97785</v>
      </c>
      <c r="N459" s="46"/>
      <c r="O459" s="46">
        <f>N459*M459</f>
        <v>0</v>
      </c>
      <c r="P459" s="48"/>
      <c r="Q459" s="211"/>
      <c r="R459" s="73"/>
      <c r="S459" s="73"/>
      <c r="T459" s="456" t="s">
        <v>1602</v>
      </c>
      <c r="U459" s="374" t="s">
        <v>1654</v>
      </c>
      <c r="V459" s="259">
        <f>33+18</f>
        <v>51</v>
      </c>
      <c r="W459" s="259">
        <f>33*2</f>
        <v>66</v>
      </c>
      <c r="X459" s="264">
        <f t="shared" si="63"/>
        <v>55</v>
      </c>
      <c r="Y459" s="259">
        <f>35*2</f>
        <v>70</v>
      </c>
      <c r="Z459" s="264">
        <f t="shared" si="63"/>
        <v>55</v>
      </c>
      <c r="AA459" s="259">
        <f>35*2</f>
        <v>70</v>
      </c>
      <c r="AB459" s="264">
        <f t="shared" si="63"/>
        <v>55</v>
      </c>
      <c r="AC459" s="259">
        <f>35*2</f>
        <v>70</v>
      </c>
      <c r="AD459" s="264">
        <f t="shared" si="63"/>
        <v>55</v>
      </c>
      <c r="AE459" s="259">
        <f>35*2</f>
        <v>70</v>
      </c>
      <c r="AF459" s="264">
        <f t="shared" si="63"/>
        <v>55</v>
      </c>
      <c r="AG459" s="259">
        <f>35*2</f>
        <v>70</v>
      </c>
      <c r="AH459" s="264">
        <f t="shared" si="63"/>
        <v>55</v>
      </c>
      <c r="AI459" s="259">
        <f>35*2</f>
        <v>70</v>
      </c>
    </row>
    <row r="460" spans="1:35" x14ac:dyDescent="0.15">
      <c r="A460" s="396"/>
      <c r="B460" s="434"/>
      <c r="C460" s="435"/>
      <c r="D460" s="435"/>
      <c r="E460" s="436"/>
      <c r="F460" s="434"/>
      <c r="G460" s="436"/>
      <c r="H460" s="207"/>
      <c r="I460" s="207"/>
      <c r="J460" s="208"/>
      <c r="K460" s="239"/>
      <c r="L460" s="239"/>
      <c r="M460" s="208"/>
      <c r="N460" s="208"/>
      <c r="O460" s="208"/>
      <c r="P460" s="437"/>
      <c r="Q460" s="336"/>
      <c r="R460" s="117"/>
      <c r="S460" s="117"/>
      <c r="X460" s="265"/>
      <c r="Z460" s="265"/>
      <c r="AA460" s="259"/>
      <c r="AB460" s="265"/>
      <c r="AC460" s="259"/>
      <c r="AD460" s="265"/>
      <c r="AE460" s="259"/>
      <c r="AF460" s="265"/>
      <c r="AG460" s="259"/>
      <c r="AH460" s="265"/>
      <c r="AI460" s="259"/>
    </row>
    <row r="461" spans="1:35" x14ac:dyDescent="0.15">
      <c r="A461" s="396"/>
      <c r="B461" s="434"/>
      <c r="C461" s="435"/>
      <c r="D461" s="435"/>
      <c r="E461" s="436"/>
      <c r="F461" s="434"/>
      <c r="G461" s="436"/>
      <c r="H461" s="207"/>
      <c r="I461" s="207"/>
      <c r="J461" s="208"/>
      <c r="K461" s="239"/>
      <c r="L461" s="239"/>
      <c r="M461" s="208"/>
      <c r="N461" s="208"/>
      <c r="O461" s="208"/>
      <c r="P461" s="437"/>
      <c r="Q461" s="336"/>
      <c r="R461" s="117"/>
      <c r="S461" s="117"/>
      <c r="X461" s="265"/>
      <c r="Z461" s="265"/>
      <c r="AA461" s="259"/>
      <c r="AB461" s="265"/>
      <c r="AC461" s="259"/>
      <c r="AD461" s="265"/>
      <c r="AE461" s="259"/>
      <c r="AF461" s="265"/>
      <c r="AG461" s="259"/>
      <c r="AH461" s="265"/>
      <c r="AI461" s="259"/>
    </row>
    <row r="462" spans="1:35" x14ac:dyDescent="0.15">
      <c r="A462" s="396"/>
      <c r="B462" s="434"/>
      <c r="C462" s="435"/>
      <c r="D462" s="435"/>
      <c r="E462" s="436"/>
      <c r="F462" s="434"/>
      <c r="G462" s="436"/>
      <c r="H462" s="207"/>
      <c r="I462" s="207"/>
      <c r="J462" s="208"/>
      <c r="K462" s="239"/>
      <c r="L462" s="239"/>
      <c r="M462" s="208"/>
      <c r="N462" s="208"/>
      <c r="O462" s="208"/>
      <c r="P462" s="437"/>
      <c r="Q462" s="336"/>
      <c r="R462" s="117"/>
      <c r="S462" s="117"/>
      <c r="X462" s="265"/>
      <c r="Z462" s="265"/>
      <c r="AA462" s="259"/>
      <c r="AB462" s="265"/>
      <c r="AC462" s="259"/>
      <c r="AD462" s="265"/>
      <c r="AE462" s="259"/>
      <c r="AF462" s="265"/>
      <c r="AG462" s="259"/>
      <c r="AH462" s="265"/>
      <c r="AI462" s="259"/>
    </row>
    <row r="463" spans="1:35" x14ac:dyDescent="0.15">
      <c r="A463" s="74"/>
      <c r="B463" s="552"/>
      <c r="C463" s="557"/>
      <c r="D463" s="557"/>
      <c r="E463" s="553"/>
      <c r="F463" s="554" t="s">
        <v>56</v>
      </c>
      <c r="G463" s="554"/>
      <c r="H463" s="554"/>
      <c r="I463" s="554"/>
      <c r="J463" s="570"/>
      <c r="K463" s="570"/>
      <c r="L463" s="554"/>
      <c r="M463" s="62">
        <f>SUM(M457:M462)</f>
        <v>1.6964160000000001</v>
      </c>
      <c r="N463" s="75"/>
      <c r="O463" s="62">
        <f>SUM(O457:O462)</f>
        <v>0</v>
      </c>
      <c r="P463" s="63" t="s">
        <v>57</v>
      </c>
      <c r="Q463" s="337"/>
      <c r="R463" s="64"/>
      <c r="S463" s="64"/>
    </row>
    <row r="464" spans="1:35" ht="24" x14ac:dyDescent="0.15">
      <c r="A464" s="65"/>
      <c r="B464" s="565" t="s">
        <v>58</v>
      </c>
      <c r="C464" s="561"/>
      <c r="D464" s="561"/>
      <c r="E464" s="566"/>
      <c r="F464" s="565" t="s">
        <v>26</v>
      </c>
      <c r="G464" s="566"/>
      <c r="H464" s="66" t="s">
        <v>59</v>
      </c>
      <c r="I464" s="66"/>
      <c r="J464" s="66" t="s">
        <v>60</v>
      </c>
      <c r="K464" s="66" t="s">
        <v>6</v>
      </c>
      <c r="L464" s="67" t="s">
        <v>61</v>
      </c>
      <c r="M464" s="66" t="s">
        <v>30</v>
      </c>
      <c r="N464" s="68" t="s">
        <v>62</v>
      </c>
      <c r="O464" s="68" t="s">
        <v>34</v>
      </c>
      <c r="P464" s="69" t="s">
        <v>57</v>
      </c>
      <c r="Q464" s="42"/>
      <c r="R464" s="67"/>
      <c r="S464" s="67"/>
    </row>
    <row r="465" spans="1:23" ht="25.5" customHeight="1" x14ac:dyDescent="0.15">
      <c r="A465" s="57">
        <v>1</v>
      </c>
      <c r="B465" s="545"/>
      <c r="C465" s="546"/>
      <c r="D465" s="546"/>
      <c r="E465" s="547"/>
      <c r="F465" s="545" t="s">
        <v>63</v>
      </c>
      <c r="G465" s="547"/>
      <c r="H465" s="45"/>
      <c r="I465" s="45"/>
      <c r="J465" s="45"/>
      <c r="K465" s="46" t="str">
        <f>VLOOKUP($F:$F,材料单价表!$B$3:$G$42,4,0)</f>
        <v>套</v>
      </c>
      <c r="L465" s="72"/>
      <c r="M465" s="46">
        <v>1</v>
      </c>
      <c r="N465" s="46">
        <f>VLOOKUP($F:$F,材料单价表!$B$3:$G$42,5,0)</f>
        <v>0</v>
      </c>
      <c r="O465" s="46">
        <f t="shared" ref="O465" si="64">N465*M465</f>
        <v>0</v>
      </c>
      <c r="P465" s="48"/>
      <c r="Q465" s="211"/>
      <c r="R465" s="73"/>
      <c r="S465" s="73"/>
    </row>
    <row r="466" spans="1:23" x14ac:dyDescent="0.15">
      <c r="A466" s="74"/>
      <c r="B466" s="552"/>
      <c r="C466" s="557"/>
      <c r="D466" s="557"/>
      <c r="E466" s="553"/>
      <c r="F466" s="554" t="s">
        <v>64</v>
      </c>
      <c r="G466" s="554"/>
      <c r="H466" s="554"/>
      <c r="I466" s="554"/>
      <c r="J466" s="570"/>
      <c r="K466" s="570"/>
      <c r="L466" s="554"/>
      <c r="M466" s="62">
        <f>M465</f>
        <v>1</v>
      </c>
      <c r="N466" s="75"/>
      <c r="O466" s="62">
        <f>SUM(O465:O465)</f>
        <v>0</v>
      </c>
      <c r="P466" s="63" t="s">
        <v>57</v>
      </c>
      <c r="Q466" s="337"/>
      <c r="R466" s="64"/>
      <c r="S466" s="64"/>
    </row>
    <row r="467" spans="1:23" ht="24" x14ac:dyDescent="0.15">
      <c r="A467" s="65"/>
      <c r="B467" s="565" t="s">
        <v>65</v>
      </c>
      <c r="C467" s="561"/>
      <c r="D467" s="561"/>
      <c r="E467" s="566"/>
      <c r="F467" s="565" t="s">
        <v>26</v>
      </c>
      <c r="G467" s="566"/>
      <c r="H467" s="66" t="s">
        <v>59</v>
      </c>
      <c r="I467" s="40" t="s">
        <v>914</v>
      </c>
      <c r="J467" s="66" t="s">
        <v>60</v>
      </c>
      <c r="K467" s="66" t="s">
        <v>6</v>
      </c>
      <c r="L467" s="67" t="s">
        <v>61</v>
      </c>
      <c r="M467" s="66" t="s">
        <v>30</v>
      </c>
      <c r="N467" s="68" t="s">
        <v>62</v>
      </c>
      <c r="O467" s="68" t="s">
        <v>34</v>
      </c>
      <c r="P467" s="69" t="s">
        <v>57</v>
      </c>
      <c r="Q467" s="42"/>
      <c r="R467" s="67"/>
      <c r="S467" s="67"/>
    </row>
    <row r="468" spans="1:23" ht="13.5" customHeight="1" x14ac:dyDescent="0.15">
      <c r="A468" s="76">
        <v>1</v>
      </c>
      <c r="B468" s="545"/>
      <c r="C468" s="546"/>
      <c r="D468" s="546"/>
      <c r="E468" s="547"/>
      <c r="F468" s="558" t="s">
        <v>66</v>
      </c>
      <c r="G468" s="559"/>
      <c r="H468" s="78"/>
      <c r="I468" s="78" t="s">
        <v>952</v>
      </c>
      <c r="J468" s="77"/>
      <c r="K468" s="46" t="str">
        <f>VLOOKUP($F:$F,材料单价表!$B$3:$G$42,4,0)</f>
        <v>m</v>
      </c>
      <c r="L468" s="46"/>
      <c r="M468" s="80">
        <f>M429</f>
        <v>6.2</v>
      </c>
      <c r="N468" s="46">
        <f>VLOOKUP($F:$F,材料单价表!$B$3:$G$42,5,0)</f>
        <v>0</v>
      </c>
      <c r="O468" s="46">
        <f>N468*M468</f>
        <v>0</v>
      </c>
      <c r="P468" s="48"/>
      <c r="Q468" s="59"/>
      <c r="R468" s="81"/>
      <c r="S468" s="79"/>
    </row>
    <row r="469" spans="1:23" ht="15.75" customHeight="1" x14ac:dyDescent="0.15">
      <c r="A469" s="76">
        <v>2</v>
      </c>
      <c r="B469" s="545"/>
      <c r="C469" s="546"/>
      <c r="D469" s="546"/>
      <c r="E469" s="547"/>
      <c r="F469" s="558" t="s">
        <v>68</v>
      </c>
      <c r="G469" s="559"/>
      <c r="H469" s="78" t="s">
        <v>67</v>
      </c>
      <c r="I469" s="78" t="s">
        <v>953</v>
      </c>
      <c r="J469" s="77"/>
      <c r="K469" s="46" t="str">
        <f>VLOOKUP($F:$F,材料单价表!$B$3:$G$42,4,0)</f>
        <v>m</v>
      </c>
      <c r="L469" s="46"/>
      <c r="M469" s="80">
        <f>(J437*K437+J442*K442+J438*K438+J439*K439+J440*K440+J441*K441)/1000*2</f>
        <v>18.4072</v>
      </c>
      <c r="N469" s="46">
        <f>VLOOKUP($F:$F,材料单价表!$B$3:$G$42,5,0)</f>
        <v>0</v>
      </c>
      <c r="O469" s="46">
        <f t="shared" ref="O469:O475" si="65">N469*M469</f>
        <v>0</v>
      </c>
      <c r="P469" s="48"/>
      <c r="Q469" s="59"/>
      <c r="R469" s="81"/>
      <c r="S469" s="79"/>
      <c r="V469" s="104"/>
      <c r="W469" s="104"/>
    </row>
    <row r="470" spans="1:23" ht="13.5" customHeight="1" x14ac:dyDescent="0.15">
      <c r="A470" s="76">
        <v>3</v>
      </c>
      <c r="B470" s="545"/>
      <c r="C470" s="546"/>
      <c r="D470" s="546"/>
      <c r="E470" s="547"/>
      <c r="F470" s="558" t="s">
        <v>68</v>
      </c>
      <c r="G470" s="559"/>
      <c r="H470" s="78" t="s">
        <v>69</v>
      </c>
      <c r="I470" s="78" t="s">
        <v>952</v>
      </c>
      <c r="J470" s="77"/>
      <c r="K470" s="46" t="str">
        <f>VLOOKUP($F:$F,材料单价表!$B$3:$G$42,4,0)</f>
        <v>m</v>
      </c>
      <c r="L470" s="46"/>
      <c r="M470" s="80">
        <f>M429</f>
        <v>6.2</v>
      </c>
      <c r="N470" s="46">
        <f>VLOOKUP($F:$F,材料单价表!$B$3:$G$42,5,0)</f>
        <v>0</v>
      </c>
      <c r="O470" s="46">
        <f t="shared" si="65"/>
        <v>0</v>
      </c>
      <c r="P470" s="48"/>
      <c r="Q470" s="59"/>
      <c r="R470" s="81"/>
      <c r="S470" s="79"/>
      <c r="V470" s="104"/>
      <c r="W470" s="104"/>
    </row>
    <row r="471" spans="1:23" ht="13.5" customHeight="1" x14ac:dyDescent="0.15">
      <c r="A471" s="76">
        <v>4</v>
      </c>
      <c r="B471" s="545"/>
      <c r="C471" s="546"/>
      <c r="D471" s="546"/>
      <c r="E471" s="547"/>
      <c r="F471" s="558" t="s">
        <v>68</v>
      </c>
      <c r="G471" s="559"/>
      <c r="H471" s="78" t="s">
        <v>70</v>
      </c>
      <c r="I471" s="78" t="s">
        <v>952</v>
      </c>
      <c r="J471" s="77"/>
      <c r="K471" s="46" t="str">
        <f>VLOOKUP($F:$F,材料单价表!$B$3:$G$42,4,0)</f>
        <v>m</v>
      </c>
      <c r="L471" s="46"/>
      <c r="M471" s="80">
        <f>M429</f>
        <v>6.2</v>
      </c>
      <c r="N471" s="46">
        <f>VLOOKUP($F:$F,材料单价表!$B$3:$G$42,5,0)</f>
        <v>0</v>
      </c>
      <c r="O471" s="46">
        <f t="shared" si="65"/>
        <v>0</v>
      </c>
      <c r="P471" s="48"/>
      <c r="Q471" s="59"/>
      <c r="R471" s="81"/>
      <c r="S471" s="79"/>
      <c r="V471" s="104"/>
      <c r="W471" s="104"/>
    </row>
    <row r="472" spans="1:23" ht="13.5" customHeight="1" x14ac:dyDescent="0.15">
      <c r="A472" s="76">
        <v>5</v>
      </c>
      <c r="B472" s="545"/>
      <c r="C472" s="546"/>
      <c r="D472" s="546"/>
      <c r="E472" s="547"/>
      <c r="F472" s="558" t="s">
        <v>71</v>
      </c>
      <c r="G472" s="559"/>
      <c r="H472" s="78"/>
      <c r="I472" s="78" t="s">
        <v>959</v>
      </c>
      <c r="J472" s="77"/>
      <c r="K472" s="46" t="str">
        <f>VLOOKUP($F:$F,材料单价表!$B$3:$G$42,4,0)</f>
        <v>个</v>
      </c>
      <c r="L472" s="79"/>
      <c r="M472" s="80">
        <f>K443+K444+K446</f>
        <v>12</v>
      </c>
      <c r="N472" s="46">
        <f>VLOOKUP($F:$F,材料单价表!$B$3:$G$42,5,0)</f>
        <v>0</v>
      </c>
      <c r="O472" s="46">
        <f t="shared" si="65"/>
        <v>0</v>
      </c>
      <c r="P472" s="48"/>
      <c r="Q472" s="59"/>
      <c r="R472" s="81"/>
      <c r="S472" s="79"/>
    </row>
    <row r="473" spans="1:23" ht="13.5" customHeight="1" x14ac:dyDescent="0.15">
      <c r="A473" s="76">
        <v>6</v>
      </c>
      <c r="B473" s="545"/>
      <c r="C473" s="546"/>
      <c r="D473" s="546"/>
      <c r="E473" s="547"/>
      <c r="F473" s="558" t="s">
        <v>121</v>
      </c>
      <c r="G473" s="559"/>
      <c r="H473" s="78" t="s">
        <v>956</v>
      </c>
      <c r="I473" s="78" t="s">
        <v>955</v>
      </c>
      <c r="J473" s="77"/>
      <c r="K473" s="46" t="str">
        <f>VLOOKUP($F:$F,材料单价表!$B$3:$G$42,4,0)</f>
        <v>m</v>
      </c>
      <c r="L473" s="79"/>
      <c r="M473" s="80">
        <f>(J433*K433+J434*K434)/1000*2</f>
        <v>6.3680000000000003</v>
      </c>
      <c r="N473" s="46">
        <f>VLOOKUP($F:$F,材料单价表!$B$3:$G$42,5,0)</f>
        <v>0</v>
      </c>
      <c r="O473" s="46">
        <f t="shared" si="65"/>
        <v>0</v>
      </c>
      <c r="P473" s="48"/>
      <c r="Q473" s="59"/>
      <c r="R473" s="81"/>
      <c r="S473" s="46"/>
    </row>
    <row r="474" spans="1:23" ht="13.5" customHeight="1" x14ac:dyDescent="0.15">
      <c r="A474" s="76">
        <v>7</v>
      </c>
      <c r="B474" s="545"/>
      <c r="C474" s="546"/>
      <c r="D474" s="546"/>
      <c r="E474" s="547"/>
      <c r="F474" s="558" t="s">
        <v>121</v>
      </c>
      <c r="G474" s="559"/>
      <c r="H474" s="78" t="s">
        <v>957</v>
      </c>
      <c r="I474" s="78" t="s">
        <v>954</v>
      </c>
      <c r="J474" s="77"/>
      <c r="K474" s="46" t="str">
        <f>VLOOKUP($F:$F,材料单价表!$B$3:$G$42,4,0)</f>
        <v>m</v>
      </c>
      <c r="L474" s="79"/>
      <c r="M474" s="80">
        <f>(J434*K434+J433*K433)/1000*1</f>
        <v>3.1840000000000002</v>
      </c>
      <c r="N474" s="46">
        <f>VLOOKUP($F:$F,材料单价表!$B$3:$G$42,5,0)</f>
        <v>0</v>
      </c>
      <c r="O474" s="46">
        <f t="shared" si="65"/>
        <v>0</v>
      </c>
      <c r="P474" s="48"/>
      <c r="Q474" s="59"/>
      <c r="R474" s="81"/>
      <c r="S474" s="46"/>
    </row>
    <row r="475" spans="1:23" x14ac:dyDescent="0.15">
      <c r="A475" s="76">
        <v>8</v>
      </c>
      <c r="B475" s="545"/>
      <c r="C475" s="546"/>
      <c r="D475" s="546"/>
      <c r="E475" s="547"/>
      <c r="F475" s="558" t="s">
        <v>72</v>
      </c>
      <c r="G475" s="559"/>
      <c r="H475" s="45"/>
      <c r="I475" s="45" t="s">
        <v>958</v>
      </c>
      <c r="J475" s="45"/>
      <c r="K475" s="46" t="str">
        <f>VLOOKUP($F:$F,材料单价表!$B$3:$G$42,4,0)</f>
        <v>m2</v>
      </c>
      <c r="L475" s="72"/>
      <c r="M475" s="46">
        <f>M480</f>
        <v>2.38</v>
      </c>
      <c r="N475" s="46">
        <f>VLOOKUP($F:$F,材料单价表!$B$3:$G$42,5,0)</f>
        <v>0</v>
      </c>
      <c r="O475" s="46">
        <f t="shared" si="65"/>
        <v>0</v>
      </c>
      <c r="P475" s="48"/>
      <c r="Q475" s="211"/>
      <c r="R475" s="73"/>
      <c r="S475" s="73"/>
    </row>
    <row r="476" spans="1:23" x14ac:dyDescent="0.15">
      <c r="A476" s="76">
        <v>9</v>
      </c>
      <c r="B476" s="545"/>
      <c r="C476" s="546"/>
      <c r="D476" s="546"/>
      <c r="E476" s="547"/>
      <c r="F476" s="558"/>
      <c r="G476" s="559"/>
      <c r="H476" s="45"/>
      <c r="I476" s="45"/>
      <c r="J476" s="45"/>
      <c r="K476" s="45"/>
      <c r="L476" s="72"/>
      <c r="M476" s="46"/>
      <c r="N476" s="46"/>
      <c r="O476" s="82"/>
      <c r="P476" s="48"/>
      <c r="Q476" s="211"/>
      <c r="R476" s="73"/>
      <c r="S476" s="73"/>
    </row>
    <row r="477" spans="1:23" x14ac:dyDescent="0.15">
      <c r="A477" s="74"/>
      <c r="B477" s="552"/>
      <c r="C477" s="557"/>
      <c r="D477" s="557"/>
      <c r="E477" s="553"/>
      <c r="F477" s="552" t="s">
        <v>73</v>
      </c>
      <c r="G477" s="557"/>
      <c r="H477" s="557"/>
      <c r="I477" s="557"/>
      <c r="J477" s="557"/>
      <c r="K477" s="557"/>
      <c r="L477" s="557"/>
      <c r="M477" s="61"/>
      <c r="N477" s="61"/>
      <c r="O477" s="62">
        <f>SUM(O468:O476)</f>
        <v>0</v>
      </c>
      <c r="P477" s="63" t="s">
        <v>57</v>
      </c>
      <c r="Q477" s="337"/>
      <c r="R477" s="64"/>
      <c r="S477" s="64"/>
    </row>
    <row r="478" spans="1:23" x14ac:dyDescent="0.15">
      <c r="A478" s="74"/>
      <c r="B478" s="552"/>
      <c r="C478" s="557"/>
      <c r="D478" s="557"/>
      <c r="E478" s="553"/>
      <c r="F478" s="552" t="s">
        <v>74</v>
      </c>
      <c r="G478" s="557"/>
      <c r="H478" s="557"/>
      <c r="I478" s="557"/>
      <c r="J478" s="557"/>
      <c r="K478" s="557"/>
      <c r="L478" s="557"/>
      <c r="M478" s="557"/>
      <c r="N478" s="553"/>
      <c r="O478" s="62">
        <f>O477+O466+O463+O455</f>
        <v>0</v>
      </c>
      <c r="P478" s="63" t="s">
        <v>57</v>
      </c>
      <c r="Q478" s="337"/>
      <c r="R478" s="64"/>
      <c r="S478" s="64"/>
    </row>
    <row r="479" spans="1:23" ht="24" x14ac:dyDescent="0.15">
      <c r="A479" s="65"/>
      <c r="B479" s="565" t="s">
        <v>75</v>
      </c>
      <c r="C479" s="561"/>
      <c r="D479" s="561"/>
      <c r="E479" s="566"/>
      <c r="F479" s="565" t="s">
        <v>26</v>
      </c>
      <c r="G479" s="566"/>
      <c r="H479" s="66"/>
      <c r="I479" s="66"/>
      <c r="J479" s="66"/>
      <c r="K479" s="66" t="s">
        <v>6</v>
      </c>
      <c r="L479" s="83" t="s">
        <v>61</v>
      </c>
      <c r="M479" s="66" t="s">
        <v>76</v>
      </c>
      <c r="N479" s="68" t="s">
        <v>62</v>
      </c>
      <c r="O479" s="68" t="s">
        <v>34</v>
      </c>
      <c r="P479" s="84" t="s">
        <v>57</v>
      </c>
      <c r="Q479" s="84"/>
      <c r="R479" s="67"/>
      <c r="S479" s="67"/>
    </row>
    <row r="480" spans="1:23" x14ac:dyDescent="0.15">
      <c r="A480" s="57">
        <v>1</v>
      </c>
      <c r="B480" s="545"/>
      <c r="C480" s="546"/>
      <c r="D480" s="546"/>
      <c r="E480" s="547"/>
      <c r="F480" s="545" t="s">
        <v>77</v>
      </c>
      <c r="G480" s="547"/>
      <c r="H480" s="45"/>
      <c r="I480" s="45"/>
      <c r="J480" s="46"/>
      <c r="K480" s="45" t="s">
        <v>78</v>
      </c>
      <c r="L480" s="72"/>
      <c r="M480" s="85">
        <f>O416</f>
        <v>2.38</v>
      </c>
      <c r="N480" s="46">
        <f>VLOOKUP($F:$F,材料单价表!$B$3:$G$42,5,0)</f>
        <v>0</v>
      </c>
      <c r="O480" s="46">
        <f>N480*M480</f>
        <v>0</v>
      </c>
      <c r="P480" s="48"/>
      <c r="Q480" s="211"/>
      <c r="R480" s="72"/>
      <c r="S480" s="72"/>
    </row>
    <row r="481" spans="1:19" x14ac:dyDescent="0.15">
      <c r="A481" s="57">
        <v>2</v>
      </c>
      <c r="B481" s="545"/>
      <c r="C481" s="546"/>
      <c r="D481" s="546"/>
      <c r="E481" s="547"/>
      <c r="F481" s="545" t="s">
        <v>79</v>
      </c>
      <c r="G481" s="547"/>
      <c r="H481" s="45"/>
      <c r="I481" s="45"/>
      <c r="J481" s="46"/>
      <c r="K481" s="45" t="s">
        <v>78</v>
      </c>
      <c r="L481" s="72"/>
      <c r="M481" s="85">
        <f>M480</f>
        <v>2.38</v>
      </c>
      <c r="N481" s="46">
        <f>VLOOKUP($F:$F,材料单价表!$B$3:$G$42,5,0)</f>
        <v>0</v>
      </c>
      <c r="O481" s="46">
        <f>N481*M481</f>
        <v>0</v>
      </c>
      <c r="P481" s="48"/>
      <c r="Q481" s="211"/>
      <c r="R481" s="72"/>
      <c r="S481" s="72"/>
    </row>
    <row r="482" spans="1:19" ht="24.75" customHeight="1" x14ac:dyDescent="0.15">
      <c r="A482" s="74"/>
      <c r="B482" s="552"/>
      <c r="C482" s="557"/>
      <c r="D482" s="557"/>
      <c r="E482" s="553"/>
      <c r="F482" s="552" t="s">
        <v>80</v>
      </c>
      <c r="G482" s="553"/>
      <c r="H482" s="86"/>
      <c r="I482" s="325"/>
      <c r="J482" s="554" t="s">
        <v>81</v>
      </c>
      <c r="K482" s="554"/>
      <c r="L482" s="554"/>
      <c r="M482" s="554"/>
      <c r="N482" s="87"/>
      <c r="O482" s="62">
        <f>O478+O480+O481</f>
        <v>0</v>
      </c>
      <c r="P482" s="63" t="s">
        <v>57</v>
      </c>
      <c r="Q482" s="337"/>
      <c r="R482" s="64"/>
      <c r="S482" s="64"/>
    </row>
    <row r="483" spans="1:19" ht="24" customHeight="1" x14ac:dyDescent="0.15">
      <c r="A483" s="74"/>
      <c r="B483" s="552"/>
      <c r="C483" s="557"/>
      <c r="D483" s="557"/>
      <c r="E483" s="553"/>
      <c r="F483" s="555" t="s">
        <v>82</v>
      </c>
      <c r="G483" s="556"/>
      <c r="H483" s="105"/>
      <c r="I483" s="324"/>
      <c r="J483" s="552" t="s">
        <v>81</v>
      </c>
      <c r="K483" s="557"/>
      <c r="L483" s="557"/>
      <c r="M483" s="557"/>
      <c r="N483" s="62"/>
      <c r="O483" s="62">
        <f>O482/O416</f>
        <v>0</v>
      </c>
      <c r="P483" s="89" t="s">
        <v>57</v>
      </c>
      <c r="Q483" s="89"/>
      <c r="R483" s="90"/>
      <c r="S483" s="90"/>
    </row>
    <row r="484" spans="1:19" ht="18.75" customHeight="1" x14ac:dyDescent="0.15">
      <c r="A484" s="549" t="s">
        <v>0</v>
      </c>
      <c r="B484" s="549"/>
      <c r="C484" s="549"/>
      <c r="D484" s="549"/>
      <c r="E484" s="549"/>
      <c r="F484" s="549"/>
      <c r="G484" s="549"/>
      <c r="H484" s="549"/>
      <c r="I484" s="549"/>
      <c r="J484" s="549"/>
      <c r="K484" s="549"/>
      <c r="L484" s="550"/>
      <c r="M484" s="549"/>
      <c r="N484" s="549"/>
      <c r="O484" s="549"/>
      <c r="P484" s="549"/>
      <c r="Q484" s="549"/>
      <c r="R484" s="551"/>
      <c r="S484" s="551"/>
    </row>
    <row r="485" spans="1:19" x14ac:dyDescent="0.15">
      <c r="A485" s="2" t="s">
        <v>1</v>
      </c>
      <c r="B485" s="339" t="str">
        <f>$B$2</f>
        <v>NC</v>
      </c>
      <c r="C485" s="3">
        <v>8</v>
      </c>
      <c r="D485" s="3"/>
      <c r="E485" s="3"/>
      <c r="F485" s="4" t="s">
        <v>2</v>
      </c>
      <c r="G485" s="5">
        <v>65</v>
      </c>
      <c r="H485" s="106" t="s">
        <v>126</v>
      </c>
      <c r="I485" s="106"/>
      <c r="J485" s="4" t="s">
        <v>3</v>
      </c>
      <c r="K485" s="6">
        <f>L488</f>
        <v>1300</v>
      </c>
      <c r="L485" s="7" t="s">
        <v>83</v>
      </c>
      <c r="M485" s="6">
        <f>L487</f>
        <v>1800</v>
      </c>
      <c r="N485" s="8" t="s">
        <v>4</v>
      </c>
      <c r="O485" s="9">
        <f>M497</f>
        <v>2.34</v>
      </c>
      <c r="P485" s="10"/>
      <c r="Q485" s="10"/>
      <c r="R485" s="10" t="s">
        <v>5</v>
      </c>
      <c r="S485" s="11"/>
    </row>
    <row r="486" spans="1:19" ht="14.25" x14ac:dyDescent="0.2">
      <c r="A486" s="12"/>
      <c r="B486" s="13"/>
      <c r="C486" s="13"/>
      <c r="D486" s="13"/>
      <c r="E486" s="13"/>
      <c r="F486" s="14"/>
      <c r="G486" s="14"/>
      <c r="H486" s="15"/>
      <c r="I486" s="15"/>
      <c r="J486" s="16"/>
      <c r="K486" s="16" t="s">
        <v>6</v>
      </c>
      <c r="L486" s="17" t="s">
        <v>7</v>
      </c>
      <c r="M486" s="16" t="s">
        <v>8</v>
      </c>
      <c r="N486" s="18"/>
      <c r="O486" s="548" t="s">
        <v>940</v>
      </c>
      <c r="P486" s="548"/>
      <c r="Q486" s="16" t="s">
        <v>1018</v>
      </c>
      <c r="R486" s="529" t="s">
        <v>1066</v>
      </c>
      <c r="S486" s="530" t="s">
        <v>1592</v>
      </c>
    </row>
    <row r="487" spans="1:19" ht="14.25" x14ac:dyDescent="0.2">
      <c r="A487" s="398" t="s">
        <v>884</v>
      </c>
      <c r="B487" s="401" t="s">
        <v>892</v>
      </c>
      <c r="C487" s="22"/>
      <c r="D487" s="22"/>
      <c r="E487" s="22"/>
      <c r="F487" s="23"/>
      <c r="G487" s="23"/>
      <c r="H487" s="107"/>
      <c r="I487" s="107"/>
      <c r="J487" s="24" t="s">
        <v>9</v>
      </c>
      <c r="K487" s="16" t="s">
        <v>10</v>
      </c>
      <c r="L487" s="25">
        <v>1800</v>
      </c>
      <c r="M487" s="113">
        <f>L487-M496*2</f>
        <v>1700</v>
      </c>
      <c r="N487" s="18"/>
      <c r="O487" s="356" t="s">
        <v>941</v>
      </c>
      <c r="P487" s="357"/>
      <c r="Q487" s="16" t="s">
        <v>1019</v>
      </c>
      <c r="R487" s="529"/>
      <c r="S487" s="530"/>
    </row>
    <row r="488" spans="1:19" ht="14.25" x14ac:dyDescent="0.2">
      <c r="A488" s="21"/>
      <c r="B488" s="22"/>
      <c r="C488" s="22"/>
      <c r="D488" s="22"/>
      <c r="E488" s="22"/>
      <c r="F488" s="23"/>
      <c r="G488" s="23"/>
      <c r="H488" s="18"/>
      <c r="I488" s="18"/>
      <c r="J488" s="24" t="s">
        <v>11</v>
      </c>
      <c r="K488" s="16" t="s">
        <v>10</v>
      </c>
      <c r="L488" s="25">
        <v>1300</v>
      </c>
      <c r="M488" s="113">
        <f>L488-M496*2</f>
        <v>1200</v>
      </c>
      <c r="N488" s="18"/>
      <c r="O488" s="356" t="s">
        <v>924</v>
      </c>
      <c r="P488" s="357"/>
      <c r="Q488" s="16" t="s">
        <v>1020</v>
      </c>
      <c r="R488" s="529" t="s">
        <v>1067</v>
      </c>
      <c r="S488" s="530" t="s">
        <v>1086</v>
      </c>
    </row>
    <row r="489" spans="1:19" ht="14.25" x14ac:dyDescent="0.2">
      <c r="A489" s="21"/>
      <c r="B489" s="22"/>
      <c r="C489" s="22"/>
      <c r="D489" s="22"/>
      <c r="E489" s="22"/>
      <c r="F489" s="23"/>
      <c r="G489" s="23"/>
      <c r="H489" s="18"/>
      <c r="I489" s="18"/>
      <c r="J489" s="24" t="s">
        <v>12</v>
      </c>
      <c r="K489" s="16" t="s">
        <v>10</v>
      </c>
      <c r="L489" s="26"/>
      <c r="M489" s="113">
        <f>M487-M490</f>
        <v>750</v>
      </c>
      <c r="N489" s="18"/>
      <c r="O489" s="356" t="s">
        <v>925</v>
      </c>
      <c r="P489" s="357"/>
      <c r="Q489" s="16" t="s">
        <v>1021</v>
      </c>
      <c r="R489" s="529"/>
      <c r="S489" s="530"/>
    </row>
    <row r="490" spans="1:19" ht="14.25" x14ac:dyDescent="0.2">
      <c r="A490" s="21"/>
      <c r="B490" s="22"/>
      <c r="C490" s="22"/>
      <c r="D490" s="22"/>
      <c r="E490" s="22"/>
      <c r="F490" s="23"/>
      <c r="G490" s="23"/>
      <c r="H490" s="18"/>
      <c r="I490" s="18"/>
      <c r="J490" s="24" t="s">
        <v>13</v>
      </c>
      <c r="K490" s="16" t="s">
        <v>10</v>
      </c>
      <c r="L490" s="26"/>
      <c r="M490" s="113">
        <v>950</v>
      </c>
      <c r="N490" s="112"/>
      <c r="O490" s="356" t="s">
        <v>926</v>
      </c>
      <c r="P490" s="357"/>
      <c r="Q490" s="16" t="s">
        <v>1022</v>
      </c>
      <c r="R490" s="27"/>
      <c r="S490" s="28"/>
    </row>
    <row r="491" spans="1:19" ht="14.25" x14ac:dyDescent="0.2">
      <c r="A491" s="21"/>
      <c r="B491" s="22"/>
      <c r="C491" s="22"/>
      <c r="D491" s="22"/>
      <c r="E491" s="22"/>
      <c r="F491" s="23"/>
      <c r="G491" s="23"/>
      <c r="H491" s="18"/>
      <c r="I491" s="18"/>
      <c r="J491" s="24" t="s">
        <v>14</v>
      </c>
      <c r="K491" s="16" t="s">
        <v>10</v>
      </c>
      <c r="L491" s="26"/>
      <c r="M491" s="113"/>
      <c r="N491" s="18"/>
      <c r="O491" s="356" t="s">
        <v>927</v>
      </c>
      <c r="P491" s="357"/>
      <c r="Q491" s="16" t="s">
        <v>1023</v>
      </c>
      <c r="R491" s="27"/>
      <c r="S491" s="28"/>
    </row>
    <row r="492" spans="1:19" ht="14.25" x14ac:dyDescent="0.2">
      <c r="A492" s="21"/>
      <c r="B492" s="22"/>
      <c r="C492" s="22"/>
      <c r="D492" s="22"/>
      <c r="E492" s="22"/>
      <c r="F492" s="23"/>
      <c r="G492" s="23"/>
      <c r="H492" s="18"/>
      <c r="I492" s="18"/>
      <c r="J492" s="24" t="s">
        <v>15</v>
      </c>
      <c r="K492" s="16" t="s">
        <v>10</v>
      </c>
      <c r="L492" s="26"/>
      <c r="M492" s="113">
        <f>M488/2</f>
        <v>600</v>
      </c>
      <c r="N492" s="112"/>
      <c r="O492" s="356" t="s">
        <v>928</v>
      </c>
      <c r="P492" s="357"/>
      <c r="Q492" s="16" t="s">
        <v>1005</v>
      </c>
      <c r="R492" s="27"/>
      <c r="S492" s="28"/>
    </row>
    <row r="493" spans="1:19" ht="14.25" x14ac:dyDescent="0.2">
      <c r="A493" s="21"/>
      <c r="B493" s="22"/>
      <c r="C493" s="22"/>
      <c r="D493" s="22"/>
      <c r="E493" s="22"/>
      <c r="F493" s="23"/>
      <c r="G493" s="23"/>
      <c r="H493" s="18"/>
      <c r="I493" s="18"/>
      <c r="J493" s="24" t="s">
        <v>16</v>
      </c>
      <c r="K493" s="16" t="s">
        <v>10</v>
      </c>
      <c r="L493" s="26"/>
      <c r="M493" s="113"/>
      <c r="N493" s="18"/>
      <c r="O493" s="356" t="s">
        <v>929</v>
      </c>
      <c r="P493" s="357"/>
      <c r="Q493" s="16" t="s">
        <v>1024</v>
      </c>
      <c r="R493" s="27"/>
      <c r="S493" s="28"/>
    </row>
    <row r="494" spans="1:19" ht="14.25" x14ac:dyDescent="0.2">
      <c r="A494" s="21"/>
      <c r="B494" s="22"/>
      <c r="C494" s="22"/>
      <c r="D494" s="22"/>
      <c r="E494" s="22"/>
      <c r="F494" s="23"/>
      <c r="G494" s="23"/>
      <c r="H494" s="18"/>
      <c r="I494" s="18"/>
      <c r="J494" s="24" t="s">
        <v>17</v>
      </c>
      <c r="K494" s="16" t="s">
        <v>10</v>
      </c>
      <c r="L494" s="26"/>
      <c r="M494" s="113"/>
      <c r="N494" s="18"/>
      <c r="O494" s="356" t="s">
        <v>930</v>
      </c>
      <c r="P494" s="357"/>
      <c r="Q494" s="16" t="s">
        <v>931</v>
      </c>
      <c r="R494" s="27"/>
      <c r="S494" s="28"/>
    </row>
    <row r="495" spans="1:19" ht="14.25" x14ac:dyDescent="0.2">
      <c r="A495" s="21"/>
      <c r="B495" s="22"/>
      <c r="C495" s="22"/>
      <c r="D495" s="22"/>
      <c r="E495" s="22"/>
      <c r="F495" s="23"/>
      <c r="G495" s="23"/>
      <c r="H495" s="18"/>
      <c r="I495" s="18"/>
      <c r="J495" s="24" t="s">
        <v>18</v>
      </c>
      <c r="K495" s="16" t="s">
        <v>10</v>
      </c>
      <c r="L495" s="26"/>
      <c r="M495" s="113"/>
      <c r="N495" s="18"/>
      <c r="O495" s="356" t="s">
        <v>932</v>
      </c>
      <c r="P495" s="357"/>
      <c r="Q495" s="16" t="s">
        <v>933</v>
      </c>
      <c r="R495" s="27"/>
      <c r="S495" s="28"/>
    </row>
    <row r="496" spans="1:19" ht="14.25" x14ac:dyDescent="0.2">
      <c r="A496" s="21"/>
      <c r="B496" s="22"/>
      <c r="C496" s="22"/>
      <c r="D496" s="22"/>
      <c r="E496" s="22"/>
      <c r="F496" s="23"/>
      <c r="G496" s="23"/>
      <c r="H496" s="18"/>
      <c r="I496" s="18"/>
      <c r="J496" s="24" t="s">
        <v>19</v>
      </c>
      <c r="K496" s="16" t="s">
        <v>10</v>
      </c>
      <c r="L496" s="26"/>
      <c r="M496" s="25">
        <v>50</v>
      </c>
      <c r="N496" s="18"/>
      <c r="O496" s="356" t="s">
        <v>934</v>
      </c>
      <c r="P496" s="357"/>
      <c r="Q496" s="16" t="s">
        <v>935</v>
      </c>
      <c r="R496" s="27"/>
      <c r="S496" s="28"/>
    </row>
    <row r="497" spans="1:35" ht="14.25" x14ac:dyDescent="0.2">
      <c r="A497" s="21"/>
      <c r="B497" s="22"/>
      <c r="C497" s="22"/>
      <c r="D497" s="22"/>
      <c r="E497" s="22"/>
      <c r="F497" s="23"/>
      <c r="G497" s="23"/>
      <c r="H497" s="18"/>
      <c r="I497" s="18"/>
      <c r="J497" s="29" t="s">
        <v>20</v>
      </c>
      <c r="K497" s="16" t="s">
        <v>21</v>
      </c>
      <c r="L497" s="30"/>
      <c r="M497" s="31">
        <f>L487*L488/1000000</f>
        <v>2.34</v>
      </c>
      <c r="N497" s="18"/>
      <c r="O497" s="356" t="s">
        <v>936</v>
      </c>
      <c r="P497" s="357"/>
      <c r="Q497" s="16" t="s">
        <v>937</v>
      </c>
      <c r="R497" s="27"/>
      <c r="S497" s="28"/>
    </row>
    <row r="498" spans="1:35" ht="14.25" x14ac:dyDescent="0.2">
      <c r="A498" s="32"/>
      <c r="B498" s="33"/>
      <c r="C498" s="33"/>
      <c r="D498" s="33"/>
      <c r="E498" s="33"/>
      <c r="F498" s="34"/>
      <c r="G498" s="34"/>
      <c r="H498" s="35"/>
      <c r="I498" s="35"/>
      <c r="J498" s="29" t="s">
        <v>22</v>
      </c>
      <c r="K498" s="16" t="s">
        <v>23</v>
      </c>
      <c r="L498" s="30"/>
      <c r="M498" s="36">
        <f>(L487+L488)*2/1000</f>
        <v>6.2</v>
      </c>
      <c r="N498" s="35"/>
      <c r="O498" s="356" t="s">
        <v>938</v>
      </c>
      <c r="P498" s="357"/>
      <c r="Q498" s="16" t="s">
        <v>939</v>
      </c>
      <c r="R498" s="37"/>
      <c r="S498" s="38"/>
    </row>
    <row r="499" spans="1:35" ht="54" customHeight="1" x14ac:dyDescent="0.15">
      <c r="A499" s="39" t="s">
        <v>24</v>
      </c>
      <c r="B499" s="560" t="s">
        <v>25</v>
      </c>
      <c r="C499" s="561"/>
      <c r="D499" s="561"/>
      <c r="E499" s="562"/>
      <c r="F499" s="40" t="s">
        <v>26</v>
      </c>
      <c r="G499" s="40" t="s">
        <v>27</v>
      </c>
      <c r="H499" s="40" t="s">
        <v>28</v>
      </c>
      <c r="I499" s="40" t="s">
        <v>898</v>
      </c>
      <c r="J499" s="40" t="s">
        <v>29</v>
      </c>
      <c r="K499" s="40" t="s">
        <v>30</v>
      </c>
      <c r="L499" s="41" t="s">
        <v>31</v>
      </c>
      <c r="M499" s="40" t="s">
        <v>32</v>
      </c>
      <c r="N499" s="40" t="s">
        <v>33</v>
      </c>
      <c r="O499" s="40" t="s">
        <v>34</v>
      </c>
      <c r="P499" s="42" t="s">
        <v>35</v>
      </c>
      <c r="Q499" s="338" t="s">
        <v>875</v>
      </c>
      <c r="R499" s="43" t="s">
        <v>36</v>
      </c>
      <c r="S499" s="43" t="s">
        <v>37</v>
      </c>
      <c r="V499" s="261" t="s">
        <v>127</v>
      </c>
      <c r="W499" s="261"/>
      <c r="X499" s="273" t="s">
        <v>128</v>
      </c>
      <c r="Y499" s="274"/>
      <c r="Z499" s="273" t="s">
        <v>438</v>
      </c>
      <c r="AA499" s="274"/>
      <c r="AB499" s="273" t="s">
        <v>439</v>
      </c>
      <c r="AC499" s="274"/>
      <c r="AD499" s="273" t="s">
        <v>444</v>
      </c>
      <c r="AE499" s="274"/>
      <c r="AF499" s="273" t="s">
        <v>441</v>
      </c>
      <c r="AG499" s="274"/>
      <c r="AH499" s="273" t="s">
        <v>442</v>
      </c>
      <c r="AI499" s="274"/>
    </row>
    <row r="500" spans="1:35" x14ac:dyDescent="0.15">
      <c r="A500" s="57">
        <v>1</v>
      </c>
      <c r="B500" s="531" t="s">
        <v>38</v>
      </c>
      <c r="C500" s="532"/>
      <c r="D500" s="532"/>
      <c r="E500" s="533"/>
      <c r="F500" s="47" t="str">
        <f>VLOOKUP($H:$H,型材表!$B$5:$I$45,2,0)</f>
        <v>窗框</v>
      </c>
      <c r="G500" s="45" t="s">
        <v>39</v>
      </c>
      <c r="H500" s="45" t="str">
        <f>IF(G485=65,"SN65AK001",IF(G485=55,"SN55K001",IF(G485=551,"SN55BK001",IF(G485=60,"SN60K001",IF(G485=601,"SN60AK001",IF(G485=70,"SN70K001",IF(G485=75,"SN75K001")))))))</f>
        <v>SN65AK001</v>
      </c>
      <c r="I500" s="45" t="s">
        <v>901</v>
      </c>
      <c r="J500" s="46">
        <f>M487</f>
        <v>1700</v>
      </c>
      <c r="K500" s="45">
        <v>2</v>
      </c>
      <c r="L500" s="47">
        <f>VLOOKUP($H:$H,型材表!$B$5:$I$45,4,0)</f>
        <v>1.02</v>
      </c>
      <c r="M500" s="46">
        <f>J500*K500*L500/1000</f>
        <v>3.468</v>
      </c>
      <c r="N500" s="72">
        <f>VLOOKUP($H:$H,型材表!$B$5:$I$45,7,0)</f>
        <v>0</v>
      </c>
      <c r="O500" s="46">
        <f>N500*M500</f>
        <v>0</v>
      </c>
      <c r="P500" s="100">
        <f>VLOOKUP($H:$H,型材表!$B$5:$I$45,5,0)</f>
        <v>0.125</v>
      </c>
      <c r="Q500" s="100" t="str">
        <f>VLOOKUP($H:$H,型材表!$B$5:$I$468,6,0)</f>
        <v>断桥隔热铝型材</v>
      </c>
      <c r="R500" s="49"/>
      <c r="S500" s="50"/>
      <c r="X500" s="264"/>
      <c r="Y500" s="265"/>
      <c r="Z500" s="264"/>
      <c r="AA500" s="265"/>
      <c r="AB500" s="264"/>
      <c r="AC500" s="265"/>
      <c r="AD500" s="264"/>
      <c r="AE500" s="265"/>
      <c r="AF500" s="264"/>
      <c r="AG500" s="265"/>
      <c r="AH500" s="264"/>
      <c r="AI500" s="265"/>
    </row>
    <row r="501" spans="1:35" x14ac:dyDescent="0.15">
      <c r="A501" s="57">
        <v>2</v>
      </c>
      <c r="B501" s="537"/>
      <c r="C501" s="538"/>
      <c r="D501" s="538"/>
      <c r="E501" s="539"/>
      <c r="F501" s="47" t="str">
        <f>VLOOKUP($H:$H,型材表!$B$5:$I$45,2,0)</f>
        <v>窗框</v>
      </c>
      <c r="G501" s="45" t="s">
        <v>40</v>
      </c>
      <c r="H501" s="45" t="str">
        <f>H500</f>
        <v>SN65AK001</v>
      </c>
      <c r="I501" s="45" t="s">
        <v>899</v>
      </c>
      <c r="J501" s="46">
        <f>M488</f>
        <v>1200</v>
      </c>
      <c r="K501" s="45">
        <v>2</v>
      </c>
      <c r="L501" s="47">
        <f>VLOOKUP($H:$H,型材表!$B$5:$I$45,4,0)</f>
        <v>1.02</v>
      </c>
      <c r="M501" s="46">
        <f t="shared" ref="M501:M514" si="66">J501*K501*L501/1000</f>
        <v>2.448</v>
      </c>
      <c r="N501" s="72">
        <f>VLOOKUP($H:$H,型材表!$B$5:$I$45,7,0)</f>
        <v>0</v>
      </c>
      <c r="O501" s="46">
        <f t="shared" ref="O501:O502" si="67">N501*M501</f>
        <v>0</v>
      </c>
      <c r="P501" s="100">
        <f>VLOOKUP($H:$H,型材表!$B$5:$I$45,5,0)</f>
        <v>0.125</v>
      </c>
      <c r="Q501" s="100" t="str">
        <f>VLOOKUP($H:$H,型材表!$B$5:$I$468,6,0)</f>
        <v>断桥隔热铝型材</v>
      </c>
      <c r="R501" s="49"/>
      <c r="S501" s="50"/>
      <c r="X501" s="264"/>
      <c r="Y501" s="265"/>
      <c r="Z501" s="264"/>
      <c r="AA501" s="265"/>
      <c r="AB501" s="264"/>
      <c r="AC501" s="265"/>
      <c r="AD501" s="264"/>
      <c r="AE501" s="265"/>
      <c r="AF501" s="264"/>
      <c r="AG501" s="265"/>
      <c r="AH501" s="264"/>
      <c r="AI501" s="265"/>
    </row>
    <row r="502" spans="1:35" x14ac:dyDescent="0.15">
      <c r="A502" s="395">
        <v>3</v>
      </c>
      <c r="B502" s="531" t="s">
        <v>41</v>
      </c>
      <c r="C502" s="532"/>
      <c r="D502" s="532"/>
      <c r="E502" s="533"/>
      <c r="F502" s="47" t="str">
        <f>VLOOKUP($H:$H,型材表!$B$5:$I$45,2,0)</f>
        <v>窗扇</v>
      </c>
      <c r="G502" s="45" t="s">
        <v>39</v>
      </c>
      <c r="H502" s="45" t="str">
        <f>IF(G485=65,"SN65AS001",IF(G485=55,"SN55S001",IF(G485=551,"SN55BS001",IF(G485=60,"SN60S001",IF(G485=601,"SN60AS001",IF(G485=70,"SN70S001",IF(G485=75,"SN75S001")))))))</f>
        <v>SN65AS001</v>
      </c>
      <c r="I502" s="45" t="s">
        <v>1040</v>
      </c>
      <c r="J502" s="46">
        <f>IF(G485=65,M489-V502,IF(G485=55,M489-X502,IF(G485=551,M489-Z502,IF(G485=60,M489-AB502,IF(G485=601,M489-AD502,IF(G485=70,M489-AF502,IF(G485=75,M489-AH502)))))))</f>
        <v>721</v>
      </c>
      <c r="K502" s="45">
        <v>4</v>
      </c>
      <c r="L502" s="47">
        <f>VLOOKUP($H:$H,型材表!$B$5:$I$45,4,0)</f>
        <v>1.292</v>
      </c>
      <c r="M502" s="46">
        <f t="shared" si="66"/>
        <v>3.7261280000000001</v>
      </c>
      <c r="N502" s="72">
        <f>VLOOKUP($H:$H,型材表!$B$5:$I$45,7,0)</f>
        <v>0</v>
      </c>
      <c r="O502" s="46">
        <f t="shared" si="67"/>
        <v>0</v>
      </c>
      <c r="P502" s="100">
        <f>VLOOKUP($H:$H,型材表!$B$5:$I$45,5,0)</f>
        <v>0.125</v>
      </c>
      <c r="Q502" s="100" t="str">
        <f>VLOOKUP($H:$H,型材表!$B$5:$I$468,6,0)</f>
        <v>断桥隔热铝型材</v>
      </c>
      <c r="R502" s="49"/>
      <c r="S502" s="50"/>
      <c r="U502" s="374" t="s">
        <v>1123</v>
      </c>
      <c r="V502" s="259">
        <f>22+7</f>
        <v>29</v>
      </c>
      <c r="X502" s="264">
        <f>22+7</f>
        <v>29</v>
      </c>
      <c r="Y502" s="265"/>
      <c r="Z502" s="264">
        <f>22+7</f>
        <v>29</v>
      </c>
      <c r="AA502" s="265"/>
      <c r="AB502" s="264">
        <f>22+7</f>
        <v>29</v>
      </c>
      <c r="AC502" s="265"/>
      <c r="AD502" s="264">
        <f>22+7</f>
        <v>29</v>
      </c>
      <c r="AE502" s="265"/>
      <c r="AF502" s="264">
        <f>22+7</f>
        <v>29</v>
      </c>
      <c r="AG502" s="265"/>
      <c r="AH502" s="264">
        <f>22+7</f>
        <v>29</v>
      </c>
      <c r="AI502" s="265"/>
    </row>
    <row r="503" spans="1:35" x14ac:dyDescent="0.15">
      <c r="A503" s="395">
        <v>4</v>
      </c>
      <c r="B503" s="534"/>
      <c r="C503" s="535"/>
      <c r="D503" s="535"/>
      <c r="E503" s="536"/>
      <c r="F503" s="47" t="str">
        <f>VLOOKUP($H:$H,型材表!$B$5:$I$45,2,0)</f>
        <v>窗扇</v>
      </c>
      <c r="G503" s="45" t="s">
        <v>40</v>
      </c>
      <c r="H503" s="45" t="str">
        <f>H502</f>
        <v>SN65AS001</v>
      </c>
      <c r="I503" s="45" t="s">
        <v>1011</v>
      </c>
      <c r="J503" s="46">
        <f>IF(G485=65,M492-V503,IF(G485=55,M492-X503,IF(G485=551,M492-Z503,IF(G485=60,M492-AB503,IF(G485=601,M492-AD503,IF(G485=70,M492-AF503,IF(G485=75,M492-AH503)))))))</f>
        <v>571</v>
      </c>
      <c r="K503" s="45">
        <v>4</v>
      </c>
      <c r="L503" s="47">
        <f>VLOOKUP($H:$H,型材表!$B$5:$I$45,4,0)</f>
        <v>1.292</v>
      </c>
      <c r="M503" s="46">
        <f t="shared" si="66"/>
        <v>2.9509279999999998</v>
      </c>
      <c r="N503" s="72">
        <f>VLOOKUP($H:$H,型材表!$B$5:$I$45,7,0)</f>
        <v>0</v>
      </c>
      <c r="O503" s="46">
        <f>N503*M503</f>
        <v>0</v>
      </c>
      <c r="P503" s="100">
        <f>VLOOKUP($H:$H,型材表!$B$5:$I$45,5,0)</f>
        <v>0.125</v>
      </c>
      <c r="Q503" s="100" t="str">
        <f>VLOOKUP($H:$H,型材表!$B$5:$I$468,6,0)</f>
        <v>断桥隔热铝型材</v>
      </c>
      <c r="R503" s="49"/>
      <c r="S503" s="50"/>
      <c r="U503" s="374" t="s">
        <v>1129</v>
      </c>
      <c r="V503" s="259">
        <f>22+7</f>
        <v>29</v>
      </c>
      <c r="X503" s="264">
        <f>22+7</f>
        <v>29</v>
      </c>
      <c r="Y503" s="265"/>
      <c r="Z503" s="264">
        <f>22+7</f>
        <v>29</v>
      </c>
      <c r="AA503" s="265"/>
      <c r="AB503" s="264">
        <f>22+7</f>
        <v>29</v>
      </c>
      <c r="AC503" s="265"/>
      <c r="AD503" s="264">
        <f>22+7</f>
        <v>29</v>
      </c>
      <c r="AE503" s="265"/>
      <c r="AF503" s="264">
        <f>22+7</f>
        <v>29</v>
      </c>
      <c r="AG503" s="265"/>
      <c r="AH503" s="264">
        <f>22+7</f>
        <v>29</v>
      </c>
      <c r="AI503" s="265"/>
    </row>
    <row r="504" spans="1:35" x14ac:dyDescent="0.15">
      <c r="A504" s="395">
        <v>5</v>
      </c>
      <c r="B504" s="534"/>
      <c r="C504" s="535"/>
      <c r="D504" s="535"/>
      <c r="E504" s="536"/>
      <c r="F504" s="47" t="str">
        <f>VLOOKUP($H:$H,型材表!$B$5:$I$45,2,0)</f>
        <v>中梃</v>
      </c>
      <c r="G504" s="45" t="s">
        <v>143</v>
      </c>
      <c r="H504" s="116" t="str">
        <f>IF(G485=65,"SN65AT001",IF(G485=55,"SN55T001",IF(G485=551,"SN55BT001",IF(G485=60,"SN60T001",IF(G485=601,"SN60AT001",IF(G485=70,"SN70T001",IF(G485=75,"SN75T001")))))))</f>
        <v>SN65AT001</v>
      </c>
      <c r="I504" s="45" t="s">
        <v>1052</v>
      </c>
      <c r="J504" s="46">
        <f>IF(G485=65,M487-V504,IF(G485=55,M487-X504,IF(G485=551,M487-Z504,IF(G485=60,M487-AB504,IF(G485=601,M487-AD504,IF(G485=70,M487-AF504,IF(G485=75,M487-AH504)))))))</f>
        <v>1654</v>
      </c>
      <c r="K504" s="45">
        <v>1</v>
      </c>
      <c r="L504" s="47">
        <f>VLOOKUP($H:$H,型材表!$B$5:$I$45,4,0)</f>
        <v>1.214</v>
      </c>
      <c r="M504" s="46">
        <f t="shared" si="66"/>
        <v>2.0079560000000001</v>
      </c>
      <c r="N504" s="72">
        <f>VLOOKUP($H:$H,型材表!$B$5:$I$45,7,0)</f>
        <v>0</v>
      </c>
      <c r="O504" s="46">
        <f>N504*M504</f>
        <v>0</v>
      </c>
      <c r="P504" s="100">
        <f>VLOOKUP($H:$H,型材表!$B$5:$I$45,5,0)</f>
        <v>0.125</v>
      </c>
      <c r="Q504" s="100" t="str">
        <f>VLOOKUP($H:$H,型材表!$B$5:$I$468,6,0)</f>
        <v>断桥隔热铝型材</v>
      </c>
      <c r="R504" s="49"/>
      <c r="S504" s="50"/>
      <c r="U504" s="374" t="s">
        <v>1033</v>
      </c>
      <c r="V504" s="259">
        <f>23*2</f>
        <v>46</v>
      </c>
      <c r="X504" s="264">
        <f>23*2</f>
        <v>46</v>
      </c>
      <c r="Y504" s="265"/>
      <c r="Z504" s="264">
        <f>23*2</f>
        <v>46</v>
      </c>
      <c r="AA504" s="265"/>
      <c r="AB504" s="264">
        <f>23*2</f>
        <v>46</v>
      </c>
      <c r="AC504" s="265"/>
      <c r="AD504" s="264">
        <f>23*2</f>
        <v>46</v>
      </c>
      <c r="AE504" s="265"/>
      <c r="AF504" s="264">
        <f>23*2</f>
        <v>46</v>
      </c>
      <c r="AG504" s="265"/>
      <c r="AH504" s="264">
        <f>23*2</f>
        <v>46</v>
      </c>
      <c r="AI504" s="265"/>
    </row>
    <row r="505" spans="1:35" x14ac:dyDescent="0.15">
      <c r="A505" s="395">
        <v>6</v>
      </c>
      <c r="B505" s="537"/>
      <c r="C505" s="538"/>
      <c r="D505" s="538"/>
      <c r="E505" s="539"/>
      <c r="F505" s="47" t="str">
        <f>VLOOKUP($H:$H,型材表!$B$5:$I$45,2,0)</f>
        <v>中梃</v>
      </c>
      <c r="G505" s="45" t="s">
        <v>144</v>
      </c>
      <c r="H505" s="116" t="str">
        <f>IF(G485=65,"SN65AT001",IF(G485=55,"SN55T001",IF(G485=551,"SN55BT001",IF(G485=60,"SN60T001",IF(G485=601,"SN60AT001",IF(G485=70,"SN70T001",IF(G485=75,"SN75T001")))))))</f>
        <v>SN65AT001</v>
      </c>
      <c r="I505" s="45" t="s">
        <v>1053</v>
      </c>
      <c r="J505" s="46">
        <f>IF(G485=65,M492-V505,IF(G485=55,M492-X505,IF(G485=551,M492-Z505,IF(G485=60,M492-AB505,IF(G485=601,M492-AD505,IF(G485=70,M492-AF505,IF(G485=75,M492-AH505)))))))</f>
        <v>569</v>
      </c>
      <c r="K505" s="45">
        <v>2</v>
      </c>
      <c r="L505" s="47">
        <f>VLOOKUP($H:$H,型材表!$B$5:$I$45,4,0)</f>
        <v>1.214</v>
      </c>
      <c r="M505" s="46">
        <f t="shared" si="66"/>
        <v>1.381532</v>
      </c>
      <c r="N505" s="72">
        <f>VLOOKUP($H:$H,型材表!$B$5:$I$45,7,0)</f>
        <v>0</v>
      </c>
      <c r="O505" s="46">
        <f>N505*M505</f>
        <v>0</v>
      </c>
      <c r="P505" s="100">
        <f>VLOOKUP($H:$H,型材表!$B$5:$I$45,5,0)</f>
        <v>0.125</v>
      </c>
      <c r="Q505" s="100" t="str">
        <f>VLOOKUP($H:$H,型材表!$B$5:$I$468,6,0)</f>
        <v>断桥隔热铝型材</v>
      </c>
      <c r="R505" s="49"/>
      <c r="S505" s="50"/>
      <c r="U505" s="374" t="s">
        <v>1131</v>
      </c>
      <c r="V505" s="259">
        <f>23+8</f>
        <v>31</v>
      </c>
      <c r="X505" s="264">
        <f>23+8</f>
        <v>31</v>
      </c>
      <c r="Y505" s="265"/>
      <c r="Z505" s="264">
        <f>23+8</f>
        <v>31</v>
      </c>
      <c r="AA505" s="265"/>
      <c r="AB505" s="264">
        <f>23+8</f>
        <v>31</v>
      </c>
      <c r="AC505" s="265"/>
      <c r="AD505" s="264">
        <f>23+8</f>
        <v>31</v>
      </c>
      <c r="AE505" s="265"/>
      <c r="AF505" s="264">
        <f>23+8</f>
        <v>31</v>
      </c>
      <c r="AG505" s="265"/>
      <c r="AH505" s="264">
        <f>23+8</f>
        <v>31</v>
      </c>
      <c r="AI505" s="265"/>
    </row>
    <row r="506" spans="1:35" x14ac:dyDescent="0.15">
      <c r="A506" s="395">
        <v>7</v>
      </c>
      <c r="B506" s="531" t="s">
        <v>42</v>
      </c>
      <c r="C506" s="532"/>
      <c r="D506" s="532"/>
      <c r="E506" s="533"/>
      <c r="F506" s="47" t="str">
        <f>VLOOKUP($H:$H,型材表!$B$5:$I$45,2,0)</f>
        <v>压线</v>
      </c>
      <c r="G506" s="45" t="s">
        <v>39</v>
      </c>
      <c r="H506" s="45" t="str">
        <f>IF(G485=65,"SN65AY002",IF(G485=55,"SN55Y002",IF(G485=551,"SN55BY002",IF(G485=60,"SN60Y002",IF(G485=601,"SN60Y002",IF(G485=70,"SN70Y002",IF(G485=75,"SN75Y002")))))))</f>
        <v>SN65AY002</v>
      </c>
      <c r="I506" s="45" t="s">
        <v>1042</v>
      </c>
      <c r="J506" s="46">
        <f>IF(G485=65,M489-V506,IF(G485=55,M489-X506,IF(G485=551,M489-Z506,IF(G485=60,M489-AB506,IF(G485=601,M489-AD506,IF(G485=70,M489-AF506,IF(G485=75,M489-AH506)))))))</f>
        <v>645.4</v>
      </c>
      <c r="K506" s="45">
        <v>4</v>
      </c>
      <c r="L506" s="47">
        <f>VLOOKUP($H:$H,型材表!$B$5:$I$45,4,0)</f>
        <v>0.20399999999999999</v>
      </c>
      <c r="M506" s="46">
        <f t="shared" si="66"/>
        <v>0.52664639999999996</v>
      </c>
      <c r="N506" s="72">
        <f>VLOOKUP($H:$H,型材表!$B$5:$I$45,7,0)</f>
        <v>0</v>
      </c>
      <c r="O506" s="46">
        <f t="shared" ref="O506:O514" si="68">N506*M506</f>
        <v>0</v>
      </c>
      <c r="P506" s="100">
        <f>VLOOKUP($H:$H,型材表!$B$5:$I$45,5,0)</f>
        <v>0.125</v>
      </c>
      <c r="Q506" s="100" t="str">
        <f>VLOOKUP($H:$H,型材表!$B$5:$I$468,6,0)</f>
        <v>非断桥隔热铝型材</v>
      </c>
      <c r="R506" s="49"/>
      <c r="S506" s="50"/>
      <c r="U506" s="374" t="s">
        <v>1126</v>
      </c>
      <c r="V506" s="269">
        <f>59.8+44.8</f>
        <v>104.6</v>
      </c>
      <c r="W506" s="269"/>
      <c r="X506" s="279">
        <f>59.8+44.8</f>
        <v>104.6</v>
      </c>
      <c r="Y506" s="265"/>
      <c r="Z506" s="279">
        <f>59.8+44.8</f>
        <v>104.6</v>
      </c>
      <c r="AA506" s="265"/>
      <c r="AB506" s="279">
        <f>59.8+44.8</f>
        <v>104.6</v>
      </c>
      <c r="AC506" s="265"/>
      <c r="AD506" s="279">
        <f>59.8+44.8</f>
        <v>104.6</v>
      </c>
      <c r="AE506" s="265"/>
      <c r="AF506" s="279">
        <f>59.8+44.8</f>
        <v>104.6</v>
      </c>
      <c r="AG506" s="265"/>
      <c r="AH506" s="279">
        <f>59.8+44.8</f>
        <v>104.6</v>
      </c>
      <c r="AI506" s="265"/>
    </row>
    <row r="507" spans="1:35" x14ac:dyDescent="0.15">
      <c r="A507" s="395">
        <v>8</v>
      </c>
      <c r="B507" s="534"/>
      <c r="C507" s="535"/>
      <c r="D507" s="535"/>
      <c r="E507" s="536"/>
      <c r="F507" s="47" t="str">
        <f>VLOOKUP($H:$H,型材表!$B$5:$I$45,2,0)</f>
        <v>压线</v>
      </c>
      <c r="G507" s="45" t="s">
        <v>39</v>
      </c>
      <c r="H507" s="207" t="str">
        <f>H506</f>
        <v>SN65AY002</v>
      </c>
      <c r="I507" s="207" t="s">
        <v>1043</v>
      </c>
      <c r="J507" s="208">
        <f>IF(G485=65,M490-V507,IF(G485=55,M490-X507,IF(G485=551,M490-Z507,IF(G485=60,M490-AB507,IF(G485=601,M490-AD507,IF(G485=70,M490-AF507,IF(G485=75,M490-AH507)))))))</f>
        <v>919</v>
      </c>
      <c r="K507" s="45">
        <v>4</v>
      </c>
      <c r="L507" s="47">
        <f>VLOOKUP($H:$H,型材表!$B$5:$I$45,4,0)</f>
        <v>0.20399999999999999</v>
      </c>
      <c r="M507" s="46">
        <f t="shared" ref="M507:M508" si="69">J507*K507*L507/1000</f>
        <v>0.74990400000000002</v>
      </c>
      <c r="N507" s="72">
        <f>VLOOKUP($H:$H,型材表!$B$5:$I$45,7,0)</f>
        <v>0</v>
      </c>
      <c r="O507" s="46">
        <f t="shared" ref="O507:O508" si="70">N507*M507</f>
        <v>0</v>
      </c>
      <c r="P507" s="100">
        <f>VLOOKUP($H:$H,型材表!$B$5:$I$45,5,0)</f>
        <v>0.125</v>
      </c>
      <c r="Q507" s="100" t="str">
        <f>VLOOKUP($H:$H,型材表!$B$5:$I$468,6,0)</f>
        <v>非断桥隔热铝型材</v>
      </c>
      <c r="R507" s="210"/>
      <c r="S507" s="50"/>
      <c r="U507" s="374" t="s">
        <v>1127</v>
      </c>
      <c r="V507" s="269">
        <f>8+23</f>
        <v>31</v>
      </c>
      <c r="W507" s="269"/>
      <c r="X507" s="279">
        <f>8+23</f>
        <v>31</v>
      </c>
      <c r="Y507" s="265"/>
      <c r="Z507" s="279">
        <f>8+23</f>
        <v>31</v>
      </c>
      <c r="AA507" s="265"/>
      <c r="AB507" s="279">
        <f>8+23</f>
        <v>31</v>
      </c>
      <c r="AC507" s="265"/>
      <c r="AD507" s="279">
        <f>8+23</f>
        <v>31</v>
      </c>
      <c r="AE507" s="265"/>
      <c r="AF507" s="279">
        <f>8+23</f>
        <v>31</v>
      </c>
      <c r="AG507" s="265"/>
      <c r="AH507" s="279">
        <f>8+23</f>
        <v>31</v>
      </c>
      <c r="AI507" s="265"/>
    </row>
    <row r="508" spans="1:35" x14ac:dyDescent="0.15">
      <c r="A508" s="395">
        <v>9</v>
      </c>
      <c r="B508" s="534"/>
      <c r="C508" s="535"/>
      <c r="D508" s="535"/>
      <c r="E508" s="536"/>
      <c r="F508" s="47" t="str">
        <f>VLOOKUP($H:$H,型材表!$B$5:$I$45,2,0)</f>
        <v>压线</v>
      </c>
      <c r="G508" s="45" t="s">
        <v>40</v>
      </c>
      <c r="H508" s="207" t="str">
        <f>H507</f>
        <v>SN65AY002</v>
      </c>
      <c r="I508" s="207" t="s">
        <v>1016</v>
      </c>
      <c r="J508" s="208">
        <f>IF(G485=65,M492-V508,IF(G485=55,M492-X508,IF(G485=551,M492-Z508,IF(G485=60,M492-AB508,IF(G485=601,M492-AD508,IF(G485=70,M492-AF508,IF(G485=75,M492-AH508)))))))</f>
        <v>495.4</v>
      </c>
      <c r="K508" s="45">
        <v>4</v>
      </c>
      <c r="L508" s="47">
        <f>VLOOKUP($H:$H,型材表!$B$5:$I$45,4,0)</f>
        <v>0.20399999999999999</v>
      </c>
      <c r="M508" s="46">
        <f t="shared" si="69"/>
        <v>0.40424639999999995</v>
      </c>
      <c r="N508" s="72">
        <f>VLOOKUP($H:$H,型材表!$B$5:$I$45,7,0)</f>
        <v>0</v>
      </c>
      <c r="O508" s="46">
        <f t="shared" si="70"/>
        <v>0</v>
      </c>
      <c r="P508" s="100">
        <f>VLOOKUP($H:$H,型材表!$B$5:$I$45,5,0)</f>
        <v>0.125</v>
      </c>
      <c r="Q508" s="100" t="str">
        <f>VLOOKUP($H:$H,型材表!$B$5:$I$468,6,0)</f>
        <v>非断桥隔热铝型材</v>
      </c>
      <c r="R508" s="210"/>
      <c r="S508" s="50"/>
      <c r="U508" s="374" t="s">
        <v>1030</v>
      </c>
      <c r="V508" s="269">
        <f>59.8+89.6/2</f>
        <v>104.6</v>
      </c>
      <c r="W508" s="269"/>
      <c r="X508" s="279">
        <f>59.8+89.6/2</f>
        <v>104.6</v>
      </c>
      <c r="Y508" s="265"/>
      <c r="Z508" s="279">
        <f>59.8+89.6/2</f>
        <v>104.6</v>
      </c>
      <c r="AA508" s="265"/>
      <c r="AB508" s="279">
        <f>59.8+89.6/2</f>
        <v>104.6</v>
      </c>
      <c r="AC508" s="265"/>
      <c r="AD508" s="279">
        <f>59.8+89.6/2</f>
        <v>104.6</v>
      </c>
      <c r="AE508" s="265"/>
      <c r="AF508" s="279">
        <f>59.8+89.6/2</f>
        <v>104.6</v>
      </c>
      <c r="AG508" s="265"/>
      <c r="AH508" s="279">
        <f>59.8+89.6/2</f>
        <v>104.6</v>
      </c>
      <c r="AI508" s="265"/>
    </row>
    <row r="509" spans="1:35" x14ac:dyDescent="0.15">
      <c r="A509" s="395">
        <v>10</v>
      </c>
      <c r="B509" s="537"/>
      <c r="C509" s="538"/>
      <c r="D509" s="538"/>
      <c r="E509" s="539"/>
      <c r="F509" s="47" t="str">
        <f>VLOOKUP($H:$H,型材表!$B$5:$I$45,2,0)</f>
        <v>压线</v>
      </c>
      <c r="G509" s="45" t="s">
        <v>40</v>
      </c>
      <c r="H509" s="45" t="str">
        <f>H506</f>
        <v>SN65AY002</v>
      </c>
      <c r="I509" s="207" t="s">
        <v>1062</v>
      </c>
      <c r="J509" s="46">
        <f>IF(G485=65,M492-V509,IF(G485=55,M492-X509,IF(G485=551,M492-Z509,IF(G485=60,M492-AB509,IF(G485=601,M492-AD509,IF(G485=70,M492-AF509,IF(G485=75,M492-AH509)))))))</f>
        <v>569</v>
      </c>
      <c r="K509" s="45">
        <v>4</v>
      </c>
      <c r="L509" s="47">
        <f>VLOOKUP($H:$H,型材表!$B$5:$I$45,4,0)</f>
        <v>0.20399999999999999</v>
      </c>
      <c r="M509" s="46">
        <f t="shared" si="66"/>
        <v>0.46430399999999999</v>
      </c>
      <c r="N509" s="72">
        <f>VLOOKUP($H:$H,型材表!$B$5:$I$45,7,0)</f>
        <v>0</v>
      </c>
      <c r="O509" s="46">
        <f t="shared" si="68"/>
        <v>0</v>
      </c>
      <c r="P509" s="100">
        <f>VLOOKUP($H:$H,型材表!$B$5:$I$45,5,0)</f>
        <v>0.125</v>
      </c>
      <c r="Q509" s="100" t="str">
        <f>VLOOKUP($H:$H,型材表!$B$5:$I$468,6,0)</f>
        <v>非断桥隔热铝型材</v>
      </c>
      <c r="R509" s="49"/>
      <c r="S509" s="50"/>
      <c r="U509" s="374" t="s">
        <v>1058</v>
      </c>
      <c r="V509" s="269">
        <f>23+8</f>
        <v>31</v>
      </c>
      <c r="W509" s="269"/>
      <c r="X509" s="279">
        <f>23+8</f>
        <v>31</v>
      </c>
      <c r="Y509" s="265"/>
      <c r="Z509" s="279">
        <f>23+8</f>
        <v>31</v>
      </c>
      <c r="AA509" s="265"/>
      <c r="AB509" s="279">
        <f>23+8</f>
        <v>31</v>
      </c>
      <c r="AC509" s="265"/>
      <c r="AD509" s="279">
        <f>23+8</f>
        <v>31</v>
      </c>
      <c r="AE509" s="265"/>
      <c r="AF509" s="279">
        <f>23+8</f>
        <v>31</v>
      </c>
      <c r="AG509" s="265"/>
      <c r="AH509" s="279">
        <f>23+8</f>
        <v>31</v>
      </c>
      <c r="AI509" s="265"/>
    </row>
    <row r="510" spans="1:35" x14ac:dyDescent="0.15">
      <c r="A510" s="395">
        <v>11</v>
      </c>
      <c r="B510" s="531" t="s">
        <v>44</v>
      </c>
      <c r="C510" s="532"/>
      <c r="D510" s="532"/>
      <c r="E510" s="533"/>
      <c r="F510" s="47" t="str">
        <f>VLOOKUP($H:$H,型材表!$B$5:$I$45,2,0)</f>
        <v>角码</v>
      </c>
      <c r="G510" s="51" t="s">
        <v>446</v>
      </c>
      <c r="H510" s="45" t="str">
        <f>IF(G485=65,"SW55F001","SN55F003")</f>
        <v>SW55F001</v>
      </c>
      <c r="I510" s="45" t="s">
        <v>1006</v>
      </c>
      <c r="J510" s="52">
        <f>IF(G485=65,V510,IF(G485=55,X510,IF(G485=551,Z510,IF(G485=60,AB510,IF(G485=601,AD510,IF(G485=70,AF510,IF(G485=75,AH510)))))))</f>
        <v>32.200000000000003</v>
      </c>
      <c r="K510" s="45">
        <f>K500*2</f>
        <v>4</v>
      </c>
      <c r="L510" s="47">
        <f>VLOOKUP($H:$H,型材表!$B$5:$I$45,4,0)</f>
        <v>2.0950000000000002</v>
      </c>
      <c r="M510" s="46">
        <f t="shared" si="66"/>
        <v>0.26983600000000008</v>
      </c>
      <c r="N510" s="72">
        <f>VLOOKUP($H:$H,型材表!$B$5:$I$45,7,0)</f>
        <v>0</v>
      </c>
      <c r="O510" s="46">
        <f t="shared" si="68"/>
        <v>0</v>
      </c>
      <c r="P510" s="100">
        <f>VLOOKUP($H:$H,型材表!$B$5:$I$45,5,0)</f>
        <v>0.125</v>
      </c>
      <c r="Q510" s="100" t="str">
        <f>VLOOKUP($H:$H,型材表!$B$5:$I$468,6,0)</f>
        <v>阳极氧化铝型材</v>
      </c>
      <c r="R510" s="49"/>
      <c r="S510" s="50"/>
      <c r="U510" s="374" t="s">
        <v>994</v>
      </c>
      <c r="V510" s="259">
        <f>19.5-1+14.7-1</f>
        <v>32.200000000000003</v>
      </c>
      <c r="X510" s="264">
        <f>19.5-1+14.7-1</f>
        <v>32.200000000000003</v>
      </c>
      <c r="Y510" s="265"/>
      <c r="Z510" s="264">
        <f>19.5-1+10.9-1</f>
        <v>28.4</v>
      </c>
      <c r="AA510" s="277"/>
      <c r="AB510" s="264">
        <f>19.5-1+14.7-1</f>
        <v>32.200000000000003</v>
      </c>
      <c r="AC510" s="277"/>
      <c r="AD510" s="264">
        <f>19.5-1+10.9-1</f>
        <v>28.4</v>
      </c>
      <c r="AE510" s="277"/>
      <c r="AF510" s="264">
        <f>19.5-1+14.7-1</f>
        <v>32.200000000000003</v>
      </c>
      <c r="AG510" s="277"/>
      <c r="AH510" s="264">
        <f>19.5-1+14.7-1</f>
        <v>32.200000000000003</v>
      </c>
      <c r="AI510" s="265"/>
    </row>
    <row r="511" spans="1:35" x14ac:dyDescent="0.15">
      <c r="A511" s="395">
        <v>12</v>
      </c>
      <c r="B511" s="534"/>
      <c r="C511" s="535"/>
      <c r="D511" s="535"/>
      <c r="E511" s="536"/>
      <c r="F511" s="47" t="str">
        <f>VLOOKUP($H:$H,型材表!$B$5:$I$45,2,0)</f>
        <v>角码</v>
      </c>
      <c r="G511" s="51" t="s">
        <v>447</v>
      </c>
      <c r="H511" s="45" t="str">
        <f>IF(G485=65,"SN55F003","SN55F003")</f>
        <v>SN55F003</v>
      </c>
      <c r="I511" s="45" t="s">
        <v>995</v>
      </c>
      <c r="J511" s="52">
        <f t="shared" ref="J511:J514" si="71">V511</f>
        <v>27.1</v>
      </c>
      <c r="K511" s="45">
        <v>8</v>
      </c>
      <c r="L511" s="47">
        <f>VLOOKUP($H:$H,型材表!$B$5:$I$45,4,0)</f>
        <v>1.7490000000000001</v>
      </c>
      <c r="M511" s="46">
        <f t="shared" si="66"/>
        <v>0.37918320000000005</v>
      </c>
      <c r="N511" s="72">
        <f>VLOOKUP($H:$H,型材表!$B$5:$I$45,7,0)</f>
        <v>0</v>
      </c>
      <c r="O511" s="46">
        <f t="shared" si="68"/>
        <v>0</v>
      </c>
      <c r="P511" s="100">
        <f>VLOOKUP($H:$H,型材表!$B$5:$I$45,5,0)</f>
        <v>0.125</v>
      </c>
      <c r="Q511" s="100" t="str">
        <f>VLOOKUP($H:$H,型材表!$B$5:$I$468,6,0)</f>
        <v>阳极氧化铝型材</v>
      </c>
      <c r="R511" s="49"/>
      <c r="S511" s="50"/>
      <c r="U511" s="374" t="s">
        <v>995</v>
      </c>
      <c r="V511" s="259">
        <f>28.1-1</f>
        <v>27.1</v>
      </c>
      <c r="X511" s="264"/>
      <c r="Y511" s="265"/>
      <c r="Z511" s="264"/>
      <c r="AA511" s="265"/>
      <c r="AB511" s="264"/>
      <c r="AC511" s="265"/>
      <c r="AD511" s="264"/>
      <c r="AE511" s="265"/>
      <c r="AF511" s="264"/>
      <c r="AG511" s="265"/>
      <c r="AH511" s="264"/>
      <c r="AI511" s="265"/>
    </row>
    <row r="512" spans="1:35" x14ac:dyDescent="0.15">
      <c r="A512" s="395">
        <v>13</v>
      </c>
      <c r="B512" s="534"/>
      <c r="C512" s="535"/>
      <c r="D512" s="535"/>
      <c r="E512" s="536"/>
      <c r="F512" s="47" t="str">
        <f>VLOOKUP($H:$H,型材表!$B$5:$I$45,2,0)</f>
        <v>角码</v>
      </c>
      <c r="G512" s="51" t="s">
        <v>447</v>
      </c>
      <c r="H512" s="45" t="str">
        <f>IF(G485=70,"SW50F002",IF(G485=75,"SW50F002","SN55F003"))</f>
        <v>SN55F003</v>
      </c>
      <c r="I512" s="45" t="s">
        <v>996</v>
      </c>
      <c r="J512" s="52">
        <f>IF(G485=65,V512,IF(G485=55,X512,IF(G485=551,Z512,IF(G485=60,AB512,IF(G485=601,AD512,IF(G485=70,AF512,IF(G485=75,AH512)))))))</f>
        <v>8</v>
      </c>
      <c r="K512" s="45">
        <f>K511</f>
        <v>8</v>
      </c>
      <c r="L512" s="47">
        <f>VLOOKUP($H:$H,型材表!$B$5:$I$45,4,0)</f>
        <v>1.7490000000000001</v>
      </c>
      <c r="M512" s="46">
        <f t="shared" si="66"/>
        <v>0.11193600000000001</v>
      </c>
      <c r="N512" s="72">
        <f>VLOOKUP($H:$H,型材表!$B$5:$I$45,7,0)</f>
        <v>0</v>
      </c>
      <c r="O512" s="46">
        <f t="shared" si="68"/>
        <v>0</v>
      </c>
      <c r="P512" s="100">
        <f>VLOOKUP($H:$H,型材表!$B$5:$I$45,5,0)</f>
        <v>0.125</v>
      </c>
      <c r="Q512" s="100" t="str">
        <f>VLOOKUP($H:$H,型材表!$B$5:$I$468,6,0)</f>
        <v>阳极氧化铝型材</v>
      </c>
      <c r="R512" s="49"/>
      <c r="S512" s="50"/>
      <c r="U512" s="374" t="s">
        <v>996</v>
      </c>
      <c r="V512" s="259">
        <f>9-1</f>
        <v>8</v>
      </c>
      <c r="X512" s="264">
        <f>9-1</f>
        <v>8</v>
      </c>
      <c r="Y512" s="265"/>
      <c r="Z512" s="264">
        <f>5.2-1</f>
        <v>4.2</v>
      </c>
      <c r="AA512" s="277"/>
      <c r="AB512" s="264">
        <f>9-1</f>
        <v>8</v>
      </c>
      <c r="AC512" s="277"/>
      <c r="AD512" s="264">
        <f>5.2-1</f>
        <v>4.2</v>
      </c>
      <c r="AE512" s="277"/>
      <c r="AF512" s="264">
        <f>9-1</f>
        <v>8</v>
      </c>
      <c r="AG512" s="277"/>
      <c r="AH512" s="264">
        <f>9-1</f>
        <v>8</v>
      </c>
      <c r="AI512" s="265"/>
    </row>
    <row r="513" spans="1:35" x14ac:dyDescent="0.15">
      <c r="A513" s="395">
        <v>14</v>
      </c>
      <c r="B513" s="534"/>
      <c r="C513" s="535"/>
      <c r="D513" s="535"/>
      <c r="E513" s="536"/>
      <c r="F513" s="47" t="str">
        <f>VLOOKUP($H:$H,型材表!$B$5:$I$45,2,0)</f>
        <v>中梃角码</v>
      </c>
      <c r="G513" s="51"/>
      <c r="H513" s="45" t="str">
        <f>IF(G485=65,"SN55F001","SN55F001")</f>
        <v>SN55F001</v>
      </c>
      <c r="I513" s="45" t="s">
        <v>997</v>
      </c>
      <c r="J513" s="52">
        <f t="shared" si="71"/>
        <v>18.5</v>
      </c>
      <c r="K513" s="45">
        <v>6</v>
      </c>
      <c r="L513" s="47">
        <f>VLOOKUP($H:$H,型材表!$B$5:$I$45,4,0)</f>
        <v>1.4730000000000001</v>
      </c>
      <c r="M513" s="46">
        <f t="shared" si="66"/>
        <v>0.16350300000000001</v>
      </c>
      <c r="N513" s="72">
        <f>VLOOKUP($H:$H,型材表!$B$5:$I$45,7,0)</f>
        <v>0</v>
      </c>
      <c r="O513" s="46">
        <f t="shared" si="68"/>
        <v>0</v>
      </c>
      <c r="P513" s="100">
        <f>VLOOKUP($H:$H,型材表!$B$5:$I$45,5,0)</f>
        <v>0.125</v>
      </c>
      <c r="Q513" s="100" t="str">
        <f>VLOOKUP($H:$H,型材表!$B$5:$I$468,6,0)</f>
        <v>阳极氧化铝型材</v>
      </c>
      <c r="R513" s="49"/>
      <c r="S513" s="50"/>
      <c r="U513" s="374" t="s">
        <v>997</v>
      </c>
      <c r="V513" s="259">
        <f>19.5-1</f>
        <v>18.5</v>
      </c>
      <c r="X513" s="264"/>
      <c r="Y513" s="265"/>
      <c r="Z513" s="264"/>
      <c r="AA513" s="265"/>
      <c r="AB513" s="264"/>
      <c r="AC513" s="265"/>
      <c r="AD513" s="264"/>
      <c r="AE513" s="265"/>
      <c r="AF513" s="264"/>
      <c r="AG513" s="265"/>
      <c r="AH513" s="264"/>
      <c r="AI513" s="265"/>
    </row>
    <row r="514" spans="1:35" x14ac:dyDescent="0.15">
      <c r="A514" s="395">
        <v>15</v>
      </c>
      <c r="B514" s="537"/>
      <c r="C514" s="538"/>
      <c r="D514" s="538"/>
      <c r="E514" s="539"/>
      <c r="F514" s="47" t="str">
        <f>VLOOKUP($H:$H,型材表!$B$5:$I$45,2,0)</f>
        <v>中梃角码</v>
      </c>
      <c r="G514" s="53"/>
      <c r="H514" s="45" t="str">
        <f>IF(G485=70,"SN70F001",IF(G485=75,"SN70F001",IF(G485=551,"SN55BF001",IF(G485=601,"SN55BF001","SN55F002"))))</f>
        <v>SN55F002</v>
      </c>
      <c r="I514" s="45" t="s">
        <v>939</v>
      </c>
      <c r="J514" s="52">
        <f t="shared" si="71"/>
        <v>13.5</v>
      </c>
      <c r="K514" s="55">
        <f>K513</f>
        <v>6</v>
      </c>
      <c r="L514" s="47">
        <f>VLOOKUP($H:$H,型材表!$B$5:$I$45,4,0)</f>
        <v>0.90400000000000003</v>
      </c>
      <c r="M514" s="46">
        <f t="shared" si="66"/>
        <v>7.3223999999999997E-2</v>
      </c>
      <c r="N514" s="72">
        <f>VLOOKUP($H:$H,型材表!$B$5:$I$45,7,0)</f>
        <v>0</v>
      </c>
      <c r="O514" s="46">
        <f t="shared" si="68"/>
        <v>0</v>
      </c>
      <c r="P514" s="100">
        <f>VLOOKUP($H:$H,型材表!$B$5:$I$45,5,0)</f>
        <v>0.125</v>
      </c>
      <c r="Q514" s="100" t="str">
        <f>VLOOKUP($H:$H,型材表!$B$5:$I$468,6,0)</f>
        <v>阳极氧化铝型材</v>
      </c>
      <c r="R514" s="49"/>
      <c r="S514" s="50"/>
      <c r="U514" s="374" t="s">
        <v>939</v>
      </c>
      <c r="V514" s="259">
        <f>14.5-1</f>
        <v>13.5</v>
      </c>
      <c r="X514" s="264"/>
      <c r="Y514" s="265"/>
      <c r="Z514" s="264"/>
      <c r="AA514" s="265"/>
      <c r="AB514" s="264"/>
      <c r="AC514" s="265"/>
      <c r="AD514" s="264"/>
      <c r="AE514" s="265"/>
      <c r="AF514" s="264"/>
      <c r="AG514" s="265"/>
      <c r="AH514" s="264"/>
      <c r="AI514" s="265"/>
    </row>
    <row r="515" spans="1:35" x14ac:dyDescent="0.15">
      <c r="A515" s="395">
        <v>16</v>
      </c>
      <c r="B515" s="387"/>
      <c r="C515" s="388"/>
      <c r="D515" s="388"/>
      <c r="E515" s="389"/>
      <c r="F515" s="306"/>
      <c r="G515" s="53"/>
      <c r="H515" s="207"/>
      <c r="I515" s="207"/>
      <c r="J515" s="214"/>
      <c r="K515" s="55"/>
      <c r="L515" s="306"/>
      <c r="M515" s="208"/>
      <c r="N515" s="432"/>
      <c r="O515" s="208"/>
      <c r="P515" s="433"/>
      <c r="Q515" s="360"/>
      <c r="R515" s="60"/>
      <c r="S515" s="50"/>
      <c r="X515" s="264"/>
      <c r="Y515" s="265"/>
      <c r="Z515" s="264"/>
      <c r="AA515" s="265"/>
      <c r="AB515" s="264"/>
      <c r="AC515" s="265"/>
      <c r="AD515" s="264"/>
      <c r="AE515" s="265"/>
      <c r="AF515" s="264"/>
      <c r="AG515" s="265"/>
      <c r="AH515" s="264"/>
      <c r="AI515" s="265"/>
    </row>
    <row r="516" spans="1:35" x14ac:dyDescent="0.15">
      <c r="A516" s="395">
        <v>17</v>
      </c>
      <c r="B516" s="387"/>
      <c r="C516" s="388"/>
      <c r="D516" s="388"/>
      <c r="E516" s="389"/>
      <c r="F516" s="306"/>
      <c r="G516" s="53"/>
      <c r="H516" s="207"/>
      <c r="I516" s="207"/>
      <c r="J516" s="214"/>
      <c r="K516" s="55"/>
      <c r="L516" s="306"/>
      <c r="M516" s="208"/>
      <c r="N516" s="432"/>
      <c r="O516" s="208"/>
      <c r="P516" s="433"/>
      <c r="Q516" s="360"/>
      <c r="R516" s="60"/>
      <c r="S516" s="50"/>
      <c r="X516" s="264"/>
      <c r="Y516" s="265"/>
      <c r="Z516" s="264"/>
      <c r="AA516" s="265"/>
      <c r="AB516" s="264"/>
      <c r="AC516" s="265"/>
      <c r="AD516" s="264"/>
      <c r="AE516" s="265"/>
      <c r="AF516" s="264"/>
      <c r="AG516" s="265"/>
      <c r="AH516" s="264"/>
      <c r="AI516" s="265"/>
    </row>
    <row r="517" spans="1:35" x14ac:dyDescent="0.15">
      <c r="A517" s="395">
        <v>18</v>
      </c>
      <c r="B517" s="387"/>
      <c r="C517" s="388"/>
      <c r="D517" s="388"/>
      <c r="E517" s="389"/>
      <c r="F517" s="306"/>
      <c r="G517" s="53"/>
      <c r="H517" s="207"/>
      <c r="I517" s="207"/>
      <c r="J517" s="214"/>
      <c r="K517" s="55"/>
      <c r="L517" s="306"/>
      <c r="M517" s="208"/>
      <c r="N517" s="432"/>
      <c r="O517" s="208"/>
      <c r="P517" s="433"/>
      <c r="Q517" s="360"/>
      <c r="R517" s="60"/>
      <c r="S517" s="50"/>
      <c r="X517" s="264"/>
      <c r="Y517" s="265"/>
      <c r="Z517" s="264"/>
      <c r="AA517" s="265"/>
      <c r="AB517" s="264"/>
      <c r="AC517" s="265"/>
      <c r="AD517" s="264"/>
      <c r="AE517" s="265"/>
      <c r="AF517" s="264"/>
      <c r="AG517" s="265"/>
      <c r="AH517" s="264"/>
      <c r="AI517" s="265"/>
    </row>
    <row r="518" spans="1:35" x14ac:dyDescent="0.15">
      <c r="A518" s="395">
        <v>19</v>
      </c>
      <c r="B518" s="387"/>
      <c r="C518" s="388"/>
      <c r="D518" s="388"/>
      <c r="E518" s="389"/>
      <c r="F518" s="306"/>
      <c r="G518" s="53"/>
      <c r="H518" s="207"/>
      <c r="I518" s="207"/>
      <c r="J518" s="214"/>
      <c r="K518" s="55"/>
      <c r="L518" s="306"/>
      <c r="M518" s="208"/>
      <c r="N518" s="432"/>
      <c r="O518" s="208"/>
      <c r="P518" s="433"/>
      <c r="Q518" s="360"/>
      <c r="R518" s="60"/>
      <c r="S518" s="50"/>
      <c r="X518" s="264"/>
      <c r="Y518" s="265"/>
      <c r="Z518" s="264"/>
      <c r="AA518" s="265"/>
      <c r="AB518" s="264"/>
      <c r="AC518" s="265"/>
      <c r="AD518" s="264"/>
      <c r="AE518" s="265"/>
      <c r="AF518" s="264"/>
      <c r="AG518" s="265"/>
      <c r="AH518" s="264"/>
      <c r="AI518" s="265"/>
    </row>
    <row r="519" spans="1:35" x14ac:dyDescent="0.15">
      <c r="A519" s="395">
        <v>20</v>
      </c>
      <c r="B519" s="387"/>
      <c r="C519" s="388"/>
      <c r="D519" s="388"/>
      <c r="E519" s="389"/>
      <c r="F519" s="306"/>
      <c r="G519" s="53"/>
      <c r="H519" s="207"/>
      <c r="I519" s="207"/>
      <c r="J519" s="214"/>
      <c r="K519" s="55"/>
      <c r="L519" s="306"/>
      <c r="M519" s="208"/>
      <c r="N519" s="432"/>
      <c r="O519" s="208"/>
      <c r="P519" s="433"/>
      <c r="Q519" s="360"/>
      <c r="R519" s="60"/>
      <c r="S519" s="50"/>
      <c r="X519" s="264"/>
      <c r="Y519" s="265"/>
      <c r="Z519" s="264"/>
      <c r="AA519" s="265"/>
      <c r="AB519" s="264"/>
      <c r="AC519" s="265"/>
      <c r="AD519" s="264"/>
      <c r="AE519" s="265"/>
      <c r="AF519" s="264"/>
      <c r="AG519" s="265"/>
      <c r="AH519" s="264"/>
      <c r="AI519" s="265"/>
    </row>
    <row r="520" spans="1:35" x14ac:dyDescent="0.15">
      <c r="A520" s="395">
        <v>21</v>
      </c>
      <c r="B520" s="387"/>
      <c r="C520" s="388"/>
      <c r="D520" s="388"/>
      <c r="E520" s="389"/>
      <c r="F520" s="306"/>
      <c r="G520" s="53"/>
      <c r="H520" s="207"/>
      <c r="I520" s="207"/>
      <c r="J520" s="214"/>
      <c r="K520" s="55"/>
      <c r="L520" s="306"/>
      <c r="M520" s="208"/>
      <c r="N520" s="432"/>
      <c r="O520" s="208"/>
      <c r="P520" s="433"/>
      <c r="Q520" s="360"/>
      <c r="R520" s="60"/>
      <c r="S520" s="50"/>
      <c r="X520" s="264"/>
      <c r="Y520" s="265"/>
      <c r="Z520" s="264"/>
      <c r="AA520" s="265"/>
      <c r="AB520" s="264"/>
      <c r="AC520" s="265"/>
      <c r="AD520" s="264"/>
      <c r="AE520" s="265"/>
      <c r="AF520" s="264"/>
      <c r="AG520" s="265"/>
      <c r="AH520" s="264"/>
      <c r="AI520" s="265"/>
    </row>
    <row r="521" spans="1:35" x14ac:dyDescent="0.15">
      <c r="A521" s="563" t="s">
        <v>877</v>
      </c>
      <c r="B521" s="563"/>
      <c r="C521" s="563"/>
      <c r="D521" s="564"/>
      <c r="E521" s="564"/>
      <c r="F521" s="563"/>
      <c r="G521" s="563"/>
      <c r="H521" s="563"/>
      <c r="I521" s="563"/>
      <c r="J521" s="563"/>
      <c r="K521" s="563"/>
      <c r="L521" s="563"/>
      <c r="M521" s="46">
        <f>SUMIF($Q$500:$Q$514,A521,$M$500:$M$514)</f>
        <v>15.982543999999999</v>
      </c>
      <c r="N521" s="58"/>
      <c r="O521" s="46"/>
      <c r="P521" s="59"/>
      <c r="Q521" s="336"/>
      <c r="R521" s="60"/>
      <c r="S521" s="50"/>
      <c r="X521" s="264"/>
      <c r="Y521" s="265"/>
      <c r="Z521" s="264"/>
      <c r="AA521" s="265"/>
      <c r="AB521" s="264"/>
      <c r="AC521" s="265"/>
      <c r="AD521" s="264"/>
      <c r="AE521" s="265"/>
      <c r="AF521" s="264"/>
      <c r="AG521" s="265"/>
      <c r="AH521" s="264"/>
      <c r="AI521" s="265"/>
    </row>
    <row r="522" spans="1:35" x14ac:dyDescent="0.15">
      <c r="A522" s="563" t="s">
        <v>879</v>
      </c>
      <c r="B522" s="563"/>
      <c r="C522" s="563"/>
      <c r="D522" s="564"/>
      <c r="E522" s="564"/>
      <c r="F522" s="563"/>
      <c r="G522" s="563"/>
      <c r="H522" s="563"/>
      <c r="I522" s="563"/>
      <c r="J522" s="563"/>
      <c r="K522" s="563"/>
      <c r="L522" s="563"/>
      <c r="M522" s="46">
        <f t="shared" ref="M522:M523" si="72">SUMIF($Q$500:$Q$514,A522,$M$500:$M$514)</f>
        <v>2.1451007999999998</v>
      </c>
      <c r="N522" s="58"/>
      <c r="O522" s="46"/>
      <c r="P522" s="59"/>
      <c r="Q522" s="336"/>
      <c r="R522" s="60"/>
      <c r="S522" s="50"/>
      <c r="X522" s="264"/>
      <c r="Y522" s="265"/>
      <c r="Z522" s="264"/>
      <c r="AA522" s="265"/>
      <c r="AB522" s="264"/>
      <c r="AC522" s="265"/>
      <c r="AD522" s="264"/>
      <c r="AE522" s="265"/>
      <c r="AF522" s="264"/>
      <c r="AG522" s="265"/>
      <c r="AH522" s="264"/>
      <c r="AI522" s="265"/>
    </row>
    <row r="523" spans="1:35" x14ac:dyDescent="0.15">
      <c r="A523" s="563" t="s">
        <v>880</v>
      </c>
      <c r="B523" s="563"/>
      <c r="C523" s="563"/>
      <c r="D523" s="564"/>
      <c r="E523" s="564"/>
      <c r="F523" s="563"/>
      <c r="G523" s="563"/>
      <c r="H523" s="563"/>
      <c r="I523" s="563"/>
      <c r="J523" s="563"/>
      <c r="K523" s="563"/>
      <c r="L523" s="563"/>
      <c r="M523" s="46">
        <f t="shared" si="72"/>
        <v>0.99768220000000007</v>
      </c>
      <c r="N523" s="58"/>
      <c r="O523" s="46"/>
      <c r="P523" s="59"/>
      <c r="Q523" s="336"/>
      <c r="R523" s="60"/>
      <c r="S523" s="50"/>
      <c r="X523" s="264"/>
      <c r="Y523" s="265"/>
      <c r="Z523" s="264"/>
      <c r="AA523" s="265"/>
      <c r="AB523" s="264"/>
      <c r="AC523" s="265"/>
      <c r="AD523" s="264"/>
      <c r="AE523" s="265"/>
      <c r="AF523" s="264"/>
      <c r="AG523" s="265"/>
      <c r="AH523" s="264"/>
      <c r="AI523" s="265"/>
    </row>
    <row r="524" spans="1:35" x14ac:dyDescent="0.15">
      <c r="A524" s="61"/>
      <c r="B524" s="552"/>
      <c r="C524" s="557"/>
      <c r="D524" s="557"/>
      <c r="E524" s="553"/>
      <c r="F524" s="552" t="s">
        <v>48</v>
      </c>
      <c r="G524" s="557"/>
      <c r="H524" s="557"/>
      <c r="I524" s="557"/>
      <c r="J524" s="557"/>
      <c r="K524" s="557"/>
      <c r="L524" s="553"/>
      <c r="M524" s="62">
        <f>SUM(M521:M523)</f>
        <v>19.125326999999999</v>
      </c>
      <c r="N524" s="63"/>
      <c r="O524" s="62">
        <f>SUM(O500:O514)</f>
        <v>0</v>
      </c>
      <c r="P524" s="63"/>
      <c r="Q524" s="337"/>
      <c r="R524" s="64"/>
      <c r="S524" s="64"/>
      <c r="X524" s="264"/>
      <c r="Y524" s="265"/>
      <c r="Z524" s="264"/>
      <c r="AA524" s="265"/>
      <c r="AB524" s="264"/>
      <c r="AC524" s="265"/>
      <c r="AD524" s="264"/>
      <c r="AE524" s="265"/>
      <c r="AF524" s="264"/>
      <c r="AG524" s="265"/>
      <c r="AH524" s="264"/>
      <c r="AI524" s="265"/>
    </row>
    <row r="525" spans="1:35" ht="24" x14ac:dyDescent="0.15">
      <c r="A525" s="65"/>
      <c r="B525" s="565" t="s">
        <v>49</v>
      </c>
      <c r="C525" s="561"/>
      <c r="D525" s="561"/>
      <c r="E525" s="566"/>
      <c r="F525" s="565" t="s">
        <v>26</v>
      </c>
      <c r="G525" s="566"/>
      <c r="H525" s="66" t="s">
        <v>1007</v>
      </c>
      <c r="I525" s="66" t="s">
        <v>1008</v>
      </c>
      <c r="J525" s="66" t="s">
        <v>50</v>
      </c>
      <c r="K525" s="66" t="s">
        <v>51</v>
      </c>
      <c r="L525" s="67" t="s">
        <v>30</v>
      </c>
      <c r="M525" s="66" t="s">
        <v>52</v>
      </c>
      <c r="N525" s="68" t="s">
        <v>53</v>
      </c>
      <c r="O525" s="68" t="s">
        <v>34</v>
      </c>
      <c r="P525" s="69" t="s">
        <v>35</v>
      </c>
      <c r="Q525" s="42"/>
      <c r="R525" s="67"/>
      <c r="S525" s="67"/>
      <c r="V525" s="270" t="s">
        <v>352</v>
      </c>
      <c r="W525" s="270" t="s">
        <v>353</v>
      </c>
      <c r="X525" s="271" t="s">
        <v>352</v>
      </c>
      <c r="Y525" s="272" t="s">
        <v>353</v>
      </c>
      <c r="Z525" s="271" t="s">
        <v>352</v>
      </c>
      <c r="AA525" s="272" t="s">
        <v>353</v>
      </c>
      <c r="AB525" s="271" t="s">
        <v>352</v>
      </c>
      <c r="AC525" s="272" t="s">
        <v>353</v>
      </c>
      <c r="AD525" s="271" t="s">
        <v>352</v>
      </c>
      <c r="AE525" s="272" t="s">
        <v>353</v>
      </c>
      <c r="AF525" s="271" t="s">
        <v>352</v>
      </c>
      <c r="AG525" s="272" t="s">
        <v>353</v>
      </c>
      <c r="AH525" s="271" t="s">
        <v>352</v>
      </c>
      <c r="AI525" s="272" t="s">
        <v>353</v>
      </c>
    </row>
    <row r="526" spans="1:35" ht="15" customHeight="1" x14ac:dyDescent="0.15">
      <c r="A526" s="57">
        <v>1</v>
      </c>
      <c r="B526" s="545" t="s">
        <v>133</v>
      </c>
      <c r="C526" s="546"/>
      <c r="D526" s="546"/>
      <c r="E526" s="547"/>
      <c r="F526" s="545" t="s">
        <v>55</v>
      </c>
      <c r="G526" s="547"/>
      <c r="H526" s="45" t="s">
        <v>1027</v>
      </c>
      <c r="I526" s="45" t="s">
        <v>1046</v>
      </c>
      <c r="J526" s="46">
        <f>IF(G485=65,M492-V526,IF(G485=55,M492-X526,IF(G485=551,M492-Z526,IF(G485=60,M492-AB526,IF(G485=601,M492-AD526,IF(G485=70,M492-AF526,IF(G485=75,AH526-X526)))))))</f>
        <v>475</v>
      </c>
      <c r="K526" s="70">
        <f>IF(G485=65,M489-W526,IF(G485=55,M489-Y526,IF(G485=551,M489-AA526,IF(G485=60,M489-AC526,IF(G485=601,M489-AE526,IF(G485=70,M489-AG526,IF(G485=75,M489-AI526)))))))</f>
        <v>625</v>
      </c>
      <c r="L526" s="70">
        <v>2</v>
      </c>
      <c r="M526" s="46">
        <f>J526*K526*L526/1000000</f>
        <v>0.59375</v>
      </c>
      <c r="N526" s="46"/>
      <c r="O526" s="46">
        <f>N526*M526</f>
        <v>0</v>
      </c>
      <c r="P526" s="71"/>
      <c r="Q526" s="240"/>
      <c r="R526" s="72"/>
      <c r="S526" s="72"/>
      <c r="T526" s="456" t="s">
        <v>1595</v>
      </c>
      <c r="U526" s="374" t="s">
        <v>1600</v>
      </c>
      <c r="V526" s="259">
        <f>70+55</f>
        <v>125</v>
      </c>
      <c r="W526" s="259">
        <f>70+55</f>
        <v>125</v>
      </c>
      <c r="X526" s="264">
        <f t="shared" ref="X526:AI526" si="73">72+57</f>
        <v>129</v>
      </c>
      <c r="Y526" s="259">
        <f t="shared" si="73"/>
        <v>129</v>
      </c>
      <c r="Z526" s="264">
        <f t="shared" si="73"/>
        <v>129</v>
      </c>
      <c r="AA526" s="259">
        <f t="shared" si="73"/>
        <v>129</v>
      </c>
      <c r="AB526" s="264">
        <f t="shared" si="73"/>
        <v>129</v>
      </c>
      <c r="AC526" s="259">
        <f t="shared" si="73"/>
        <v>129</v>
      </c>
      <c r="AD526" s="264">
        <f t="shared" si="73"/>
        <v>129</v>
      </c>
      <c r="AE526" s="259">
        <f t="shared" si="73"/>
        <v>129</v>
      </c>
      <c r="AF526" s="264">
        <f t="shared" si="73"/>
        <v>129</v>
      </c>
      <c r="AG526" s="259">
        <f t="shared" si="73"/>
        <v>129</v>
      </c>
      <c r="AH526" s="264">
        <f t="shared" si="73"/>
        <v>129</v>
      </c>
      <c r="AI526" s="259">
        <f t="shared" si="73"/>
        <v>129</v>
      </c>
    </row>
    <row r="527" spans="1:35" x14ac:dyDescent="0.15">
      <c r="A527" s="57">
        <v>2</v>
      </c>
      <c r="B527" s="545" t="s">
        <v>889</v>
      </c>
      <c r="C527" s="546"/>
      <c r="D527" s="546"/>
      <c r="E527" s="547"/>
      <c r="F527" s="545" t="s">
        <v>135</v>
      </c>
      <c r="G527" s="547"/>
      <c r="H527" s="45" t="s">
        <v>1060</v>
      </c>
      <c r="I527" s="45" t="s">
        <v>1047</v>
      </c>
      <c r="J527" s="46">
        <f>IF(G485=65,M492-V527,IF(G485=55,M492-X527,IF(G485=551,M492-Z527,IF(G485=60,M492-AB527,IF(G485=601,M492-AD527,IF(G485=70,M492-AF527,IF(G485=75,M492-AH527)))))))</f>
        <v>549</v>
      </c>
      <c r="K527" s="70">
        <f>IF(G485=65,M490-W527,IF(G485=55,M490-Y527,IF(G485=551,M490-AA527,IF(G485=60,M490-AC527,IF(G485=601,M490-AE527,IF(G485=70,M490-AG527,IF(G485=75,M490-AI527)))))))</f>
        <v>899</v>
      </c>
      <c r="L527" s="70">
        <v>2</v>
      </c>
      <c r="M527" s="46">
        <f>J527*K527*L527/1000000</f>
        <v>0.98710200000000003</v>
      </c>
      <c r="N527" s="46"/>
      <c r="O527" s="46">
        <f>N527*M527</f>
        <v>0</v>
      </c>
      <c r="P527" s="71"/>
      <c r="Q527" s="240"/>
      <c r="R527" s="72"/>
      <c r="S527" s="72"/>
      <c r="T527" s="456" t="s">
        <v>1602</v>
      </c>
      <c r="U527" s="374" t="s">
        <v>1601</v>
      </c>
      <c r="V527" s="259">
        <f>33+18</f>
        <v>51</v>
      </c>
      <c r="W527" s="259">
        <f>33+18</f>
        <v>51</v>
      </c>
      <c r="X527" s="264">
        <f t="shared" ref="X527:AI527" si="74">35+20</f>
        <v>55</v>
      </c>
      <c r="Y527" s="259">
        <f t="shared" si="74"/>
        <v>55</v>
      </c>
      <c r="Z527" s="264">
        <f t="shared" si="74"/>
        <v>55</v>
      </c>
      <c r="AA527" s="259">
        <f t="shared" si="74"/>
        <v>55</v>
      </c>
      <c r="AB527" s="264">
        <f t="shared" si="74"/>
        <v>55</v>
      </c>
      <c r="AC527" s="259">
        <f t="shared" si="74"/>
        <v>55</v>
      </c>
      <c r="AD527" s="264">
        <f t="shared" si="74"/>
        <v>55</v>
      </c>
      <c r="AE527" s="259">
        <f t="shared" si="74"/>
        <v>55</v>
      </c>
      <c r="AF527" s="264">
        <f t="shared" si="74"/>
        <v>55</v>
      </c>
      <c r="AG527" s="259">
        <f t="shared" si="74"/>
        <v>55</v>
      </c>
      <c r="AH527" s="264">
        <f t="shared" si="74"/>
        <v>55</v>
      </c>
      <c r="AI527" s="259">
        <f t="shared" si="74"/>
        <v>55</v>
      </c>
    </row>
    <row r="528" spans="1:35" x14ac:dyDescent="0.15">
      <c r="A528" s="57"/>
      <c r="B528" s="545"/>
      <c r="C528" s="546"/>
      <c r="D528" s="546"/>
      <c r="E528" s="547"/>
      <c r="F528" s="545"/>
      <c r="G528" s="547"/>
      <c r="H528" s="45"/>
      <c r="I528" s="45"/>
      <c r="J528" s="46"/>
      <c r="K528" s="70"/>
      <c r="L528" s="70"/>
      <c r="M528" s="46"/>
      <c r="N528" s="46"/>
      <c r="O528" s="46"/>
      <c r="P528" s="48"/>
      <c r="Q528" s="211"/>
      <c r="R528" s="73"/>
      <c r="S528" s="73"/>
    </row>
    <row r="529" spans="1:23" x14ac:dyDescent="0.15">
      <c r="A529" s="396"/>
      <c r="B529" s="434"/>
      <c r="C529" s="435"/>
      <c r="D529" s="435"/>
      <c r="E529" s="436"/>
      <c r="F529" s="434"/>
      <c r="G529" s="436"/>
      <c r="H529" s="207"/>
      <c r="I529" s="207"/>
      <c r="J529" s="208"/>
      <c r="K529" s="239"/>
      <c r="L529" s="239"/>
      <c r="M529" s="208"/>
      <c r="N529" s="208"/>
      <c r="O529" s="208"/>
      <c r="P529" s="437"/>
      <c r="Q529" s="336"/>
      <c r="R529" s="117"/>
      <c r="S529" s="117"/>
    </row>
    <row r="530" spans="1:23" x14ac:dyDescent="0.15">
      <c r="A530" s="396"/>
      <c r="B530" s="434"/>
      <c r="C530" s="435"/>
      <c r="D530" s="435"/>
      <c r="E530" s="436"/>
      <c r="F530" s="434"/>
      <c r="G530" s="436"/>
      <c r="H530" s="207"/>
      <c r="I530" s="207"/>
      <c r="J530" s="208"/>
      <c r="K530" s="239"/>
      <c r="L530" s="239"/>
      <c r="M530" s="208"/>
      <c r="N530" s="208"/>
      <c r="O530" s="208"/>
      <c r="P530" s="437"/>
      <c r="Q530" s="336"/>
      <c r="R530" s="117"/>
      <c r="S530" s="117"/>
    </row>
    <row r="531" spans="1:23" x14ac:dyDescent="0.15">
      <c r="A531" s="396"/>
      <c r="B531" s="434"/>
      <c r="C531" s="435"/>
      <c r="D531" s="435"/>
      <c r="E531" s="436"/>
      <c r="F531" s="434"/>
      <c r="G531" s="436"/>
      <c r="H531" s="207"/>
      <c r="I531" s="207"/>
      <c r="J531" s="208"/>
      <c r="K531" s="239"/>
      <c r="L531" s="239"/>
      <c r="M531" s="208"/>
      <c r="N531" s="208"/>
      <c r="O531" s="208"/>
      <c r="P531" s="437"/>
      <c r="Q531" s="336"/>
      <c r="R531" s="117"/>
      <c r="S531" s="117"/>
    </row>
    <row r="532" spans="1:23" x14ac:dyDescent="0.15">
      <c r="A532" s="74"/>
      <c r="B532" s="552"/>
      <c r="C532" s="557"/>
      <c r="D532" s="557"/>
      <c r="E532" s="553"/>
      <c r="F532" s="554" t="s">
        <v>56</v>
      </c>
      <c r="G532" s="554"/>
      <c r="H532" s="554"/>
      <c r="I532" s="554"/>
      <c r="J532" s="570"/>
      <c r="K532" s="570"/>
      <c r="L532" s="554"/>
      <c r="M532" s="62">
        <f>SUM(M526:M531)</f>
        <v>1.5808520000000001</v>
      </c>
      <c r="N532" s="75"/>
      <c r="O532" s="62">
        <f>SUM(O526:O531)</f>
        <v>0</v>
      </c>
      <c r="P532" s="63" t="s">
        <v>57</v>
      </c>
      <c r="Q532" s="337"/>
      <c r="R532" s="64"/>
      <c r="S532" s="64"/>
    </row>
    <row r="533" spans="1:23" ht="24" x14ac:dyDescent="0.15">
      <c r="A533" s="65"/>
      <c r="B533" s="565" t="s">
        <v>58</v>
      </c>
      <c r="C533" s="561"/>
      <c r="D533" s="561"/>
      <c r="E533" s="566"/>
      <c r="F533" s="565" t="s">
        <v>26</v>
      </c>
      <c r="G533" s="566"/>
      <c r="H533" s="66" t="s">
        <v>59</v>
      </c>
      <c r="I533" s="66"/>
      <c r="J533" s="66" t="s">
        <v>60</v>
      </c>
      <c r="K533" s="66" t="s">
        <v>6</v>
      </c>
      <c r="L533" s="67" t="s">
        <v>61</v>
      </c>
      <c r="M533" s="66" t="s">
        <v>30</v>
      </c>
      <c r="N533" s="68" t="s">
        <v>62</v>
      </c>
      <c r="O533" s="68" t="s">
        <v>34</v>
      </c>
      <c r="P533" s="69" t="s">
        <v>57</v>
      </c>
      <c r="Q533" s="42"/>
      <c r="R533" s="67"/>
      <c r="S533" s="67"/>
    </row>
    <row r="534" spans="1:23" ht="25.5" customHeight="1" x14ac:dyDescent="0.15">
      <c r="A534" s="57">
        <v>1</v>
      </c>
      <c r="B534" s="545"/>
      <c r="C534" s="546"/>
      <c r="D534" s="546"/>
      <c r="E534" s="547"/>
      <c r="F534" s="545" t="s">
        <v>63</v>
      </c>
      <c r="G534" s="547"/>
      <c r="H534" s="45"/>
      <c r="I534" s="45"/>
      <c r="J534" s="45"/>
      <c r="K534" s="46" t="str">
        <f>VLOOKUP($F:$F,材料单价表!$B$3:$G$42,4,0)</f>
        <v>套</v>
      </c>
      <c r="L534" s="72"/>
      <c r="M534" s="46">
        <v>2</v>
      </c>
      <c r="N534" s="46">
        <f>VLOOKUP($F:$F,材料单价表!$B$3:$G$42,5,0)</f>
        <v>0</v>
      </c>
      <c r="O534" s="46">
        <f t="shared" ref="O534" si="75">N534*M534</f>
        <v>0</v>
      </c>
      <c r="P534" s="48"/>
      <c r="Q534" s="211"/>
      <c r="R534" s="73"/>
      <c r="S534" s="73"/>
    </row>
    <row r="535" spans="1:23" x14ac:dyDescent="0.15">
      <c r="A535" s="74"/>
      <c r="B535" s="552"/>
      <c r="C535" s="557"/>
      <c r="D535" s="557"/>
      <c r="E535" s="553"/>
      <c r="F535" s="554" t="s">
        <v>64</v>
      </c>
      <c r="G535" s="554"/>
      <c r="H535" s="554"/>
      <c r="I535" s="554"/>
      <c r="J535" s="570"/>
      <c r="K535" s="570"/>
      <c r="L535" s="554"/>
      <c r="M535" s="62">
        <f>M534</f>
        <v>2</v>
      </c>
      <c r="N535" s="75"/>
      <c r="O535" s="62">
        <f>SUM(O534:O534)</f>
        <v>0</v>
      </c>
      <c r="P535" s="63" t="s">
        <v>57</v>
      </c>
      <c r="Q535" s="337"/>
      <c r="R535" s="64"/>
      <c r="S535" s="64"/>
    </row>
    <row r="536" spans="1:23" ht="24" x14ac:dyDescent="0.15">
      <c r="A536" s="65"/>
      <c r="B536" s="565" t="s">
        <v>65</v>
      </c>
      <c r="C536" s="561"/>
      <c r="D536" s="561"/>
      <c r="E536" s="566"/>
      <c r="F536" s="565" t="s">
        <v>26</v>
      </c>
      <c r="G536" s="566"/>
      <c r="H536" s="66" t="s">
        <v>59</v>
      </c>
      <c r="I536" s="66"/>
      <c r="J536" s="66" t="s">
        <v>60</v>
      </c>
      <c r="K536" s="66" t="s">
        <v>6</v>
      </c>
      <c r="L536" s="67" t="s">
        <v>61</v>
      </c>
      <c r="M536" s="66" t="s">
        <v>30</v>
      </c>
      <c r="N536" s="68" t="s">
        <v>62</v>
      </c>
      <c r="O536" s="68" t="s">
        <v>34</v>
      </c>
      <c r="P536" s="69" t="s">
        <v>57</v>
      </c>
      <c r="Q536" s="42"/>
      <c r="R536" s="67"/>
      <c r="S536" s="67"/>
    </row>
    <row r="537" spans="1:23" ht="13.5" customHeight="1" x14ac:dyDescent="0.15">
      <c r="A537" s="76">
        <v>1</v>
      </c>
      <c r="B537" s="545"/>
      <c r="C537" s="546"/>
      <c r="D537" s="546"/>
      <c r="E537" s="547"/>
      <c r="F537" s="558" t="s">
        <v>66</v>
      </c>
      <c r="G537" s="559"/>
      <c r="H537" s="78"/>
      <c r="I537" s="78"/>
      <c r="J537" s="77"/>
      <c r="K537" s="46" t="str">
        <f>VLOOKUP($F:$F,材料单价表!$B$3:$G$42,4,0)</f>
        <v>m</v>
      </c>
      <c r="L537" s="46"/>
      <c r="M537" s="80">
        <f>M498</f>
        <v>6.2</v>
      </c>
      <c r="N537" s="46">
        <f>VLOOKUP($F:$F,材料单价表!$B$3:$G$42,5,0)</f>
        <v>0</v>
      </c>
      <c r="O537" s="46">
        <f>N537*M537</f>
        <v>0</v>
      </c>
      <c r="P537" s="48"/>
      <c r="Q537" s="59"/>
      <c r="R537" s="81"/>
      <c r="S537" s="79"/>
    </row>
    <row r="538" spans="1:23" ht="15.75" customHeight="1" x14ac:dyDescent="0.15">
      <c r="A538" s="76">
        <v>2</v>
      </c>
      <c r="B538" s="545"/>
      <c r="C538" s="546"/>
      <c r="D538" s="546"/>
      <c r="E538" s="547"/>
      <c r="F538" s="558" t="s">
        <v>68</v>
      </c>
      <c r="G538" s="559"/>
      <c r="H538" s="78" t="s">
        <v>67</v>
      </c>
      <c r="I538" s="78"/>
      <c r="J538" s="77"/>
      <c r="K538" s="46" t="str">
        <f>VLOOKUP($F:$F,材料单价表!$B$3:$G$42,4,0)</f>
        <v>m</v>
      </c>
      <c r="L538" s="46"/>
      <c r="M538" s="80">
        <f>(J506*K506+J509*K509+J507*K507+J508*K508)/1000*2</f>
        <v>21.0304</v>
      </c>
      <c r="N538" s="46">
        <f>VLOOKUP($F:$F,材料单价表!$B$3:$G$42,5,0)</f>
        <v>0</v>
      </c>
      <c r="O538" s="46">
        <f t="shared" ref="O538:O544" si="76">N538*M538</f>
        <v>0</v>
      </c>
      <c r="P538" s="48"/>
      <c r="Q538" s="59"/>
      <c r="R538" s="81"/>
      <c r="S538" s="79"/>
      <c r="V538" s="104"/>
      <c r="W538" s="104"/>
    </row>
    <row r="539" spans="1:23" ht="13.5" customHeight="1" x14ac:dyDescent="0.15">
      <c r="A539" s="76">
        <v>3</v>
      </c>
      <c r="B539" s="545"/>
      <c r="C539" s="546"/>
      <c r="D539" s="546"/>
      <c r="E539" s="547"/>
      <c r="F539" s="558" t="s">
        <v>68</v>
      </c>
      <c r="G539" s="559"/>
      <c r="H539" s="78" t="s">
        <v>69</v>
      </c>
      <c r="I539" s="78"/>
      <c r="J539" s="77"/>
      <c r="K539" s="46" t="str">
        <f>VLOOKUP($F:$F,材料单价表!$B$3:$G$42,4,0)</f>
        <v>m</v>
      </c>
      <c r="L539" s="46"/>
      <c r="M539" s="80">
        <f>M498</f>
        <v>6.2</v>
      </c>
      <c r="N539" s="46">
        <f>VLOOKUP($F:$F,材料单价表!$B$3:$G$42,5,0)</f>
        <v>0</v>
      </c>
      <c r="O539" s="46">
        <f t="shared" si="76"/>
        <v>0</v>
      </c>
      <c r="P539" s="48"/>
      <c r="Q539" s="59"/>
      <c r="R539" s="81"/>
      <c r="S539" s="79"/>
      <c r="V539" s="104"/>
      <c r="W539" s="104"/>
    </row>
    <row r="540" spans="1:23" ht="13.5" customHeight="1" x14ac:dyDescent="0.15">
      <c r="A540" s="76">
        <v>4</v>
      </c>
      <c r="B540" s="545"/>
      <c r="C540" s="546"/>
      <c r="D540" s="546"/>
      <c r="E540" s="547"/>
      <c r="F540" s="558" t="s">
        <v>68</v>
      </c>
      <c r="G540" s="559"/>
      <c r="H540" s="78" t="s">
        <v>70</v>
      </c>
      <c r="I540" s="78"/>
      <c r="J540" s="77"/>
      <c r="K540" s="46" t="str">
        <f>VLOOKUP($F:$F,材料单价表!$B$3:$G$42,4,0)</f>
        <v>m</v>
      </c>
      <c r="L540" s="46"/>
      <c r="M540" s="80">
        <f>M498</f>
        <v>6.2</v>
      </c>
      <c r="N540" s="46">
        <f>VLOOKUP($F:$F,材料单价表!$B$3:$G$42,5,0)</f>
        <v>0</v>
      </c>
      <c r="O540" s="46">
        <f t="shared" si="76"/>
        <v>0</v>
      </c>
      <c r="P540" s="48"/>
      <c r="Q540" s="59"/>
      <c r="R540" s="81"/>
      <c r="S540" s="79"/>
      <c r="V540" s="104"/>
      <c r="W540" s="104"/>
    </row>
    <row r="541" spans="1:23" ht="13.5" customHeight="1" x14ac:dyDescent="0.15">
      <c r="A541" s="76">
        <v>5</v>
      </c>
      <c r="B541" s="545"/>
      <c r="C541" s="546"/>
      <c r="D541" s="546"/>
      <c r="E541" s="547"/>
      <c r="F541" s="558" t="s">
        <v>71</v>
      </c>
      <c r="G541" s="559"/>
      <c r="H541" s="78"/>
      <c r="I541" s="78"/>
      <c r="J541" s="77"/>
      <c r="K541" s="46" t="str">
        <f>VLOOKUP($F:$F,材料单价表!$B$3:$G$42,4,0)</f>
        <v>个</v>
      </c>
      <c r="L541" s="79"/>
      <c r="M541" s="80">
        <f>K510+K511+K513</f>
        <v>18</v>
      </c>
      <c r="N541" s="46">
        <f>VLOOKUP($F:$F,材料单价表!$B$3:$G$42,5,0)</f>
        <v>0</v>
      </c>
      <c r="O541" s="46">
        <f t="shared" si="76"/>
        <v>0</v>
      </c>
      <c r="P541" s="48"/>
      <c r="Q541" s="59"/>
      <c r="R541" s="81"/>
      <c r="S541" s="79"/>
    </row>
    <row r="542" spans="1:23" ht="13.5" customHeight="1" x14ac:dyDescent="0.15">
      <c r="A542" s="76">
        <v>6</v>
      </c>
      <c r="B542" s="545"/>
      <c r="C542" s="546"/>
      <c r="D542" s="546"/>
      <c r="E542" s="547"/>
      <c r="F542" s="558" t="s">
        <v>121</v>
      </c>
      <c r="G542" s="559"/>
      <c r="H542" s="78"/>
      <c r="I542" s="78"/>
      <c r="J542" s="77"/>
      <c r="K542" s="46" t="str">
        <f>VLOOKUP($F:$F,材料单价表!$B$3:$G$42,4,0)</f>
        <v>m</v>
      </c>
      <c r="L542" s="79"/>
      <c r="M542" s="80">
        <f>(J502*K502+J503*K503)/1000*2</f>
        <v>10.336</v>
      </c>
      <c r="N542" s="46">
        <f>VLOOKUP($F:$F,材料单价表!$B$3:$G$42,5,0)</f>
        <v>0</v>
      </c>
      <c r="O542" s="46">
        <f t="shared" si="76"/>
        <v>0</v>
      </c>
      <c r="P542" s="48"/>
      <c r="Q542" s="59"/>
      <c r="R542" s="81"/>
      <c r="S542" s="46"/>
    </row>
    <row r="543" spans="1:23" ht="13.5" customHeight="1" x14ac:dyDescent="0.15">
      <c r="A543" s="76">
        <v>7</v>
      </c>
      <c r="B543" s="545"/>
      <c r="C543" s="546"/>
      <c r="D543" s="546"/>
      <c r="E543" s="547"/>
      <c r="F543" s="558" t="s">
        <v>121</v>
      </c>
      <c r="G543" s="559"/>
      <c r="H543" s="78"/>
      <c r="I543" s="78"/>
      <c r="J543" s="77"/>
      <c r="K543" s="46" t="str">
        <f>VLOOKUP($F:$F,材料单价表!$B$3:$G$42,4,0)</f>
        <v>m</v>
      </c>
      <c r="L543" s="79"/>
      <c r="M543" s="80">
        <f>(J503*K503+J502*K502)/1000*1</f>
        <v>5.1680000000000001</v>
      </c>
      <c r="N543" s="46">
        <f>VLOOKUP($F:$F,材料单价表!$B$3:$G$42,5,0)</f>
        <v>0</v>
      </c>
      <c r="O543" s="46">
        <f t="shared" si="76"/>
        <v>0</v>
      </c>
      <c r="P543" s="48"/>
      <c r="Q543" s="59"/>
      <c r="R543" s="81"/>
      <c r="S543" s="46"/>
    </row>
    <row r="544" spans="1:23" x14ac:dyDescent="0.15">
      <c r="A544" s="76">
        <v>8</v>
      </c>
      <c r="B544" s="545"/>
      <c r="C544" s="546"/>
      <c r="D544" s="546"/>
      <c r="E544" s="547"/>
      <c r="F544" s="558" t="s">
        <v>72</v>
      </c>
      <c r="G544" s="559"/>
      <c r="H544" s="45"/>
      <c r="I544" s="45"/>
      <c r="J544" s="45"/>
      <c r="K544" s="46" t="str">
        <f>VLOOKUP($F:$F,材料单价表!$B$3:$G$42,4,0)</f>
        <v>m2</v>
      </c>
      <c r="L544" s="72"/>
      <c r="M544" s="46">
        <f>M549</f>
        <v>2.34</v>
      </c>
      <c r="N544" s="46">
        <f>VLOOKUP($F:$F,材料单价表!$B$3:$G$42,5,0)</f>
        <v>0</v>
      </c>
      <c r="O544" s="46">
        <f t="shared" si="76"/>
        <v>0</v>
      </c>
      <c r="P544" s="48"/>
      <c r="Q544" s="211"/>
      <c r="R544" s="73"/>
      <c r="S544" s="73"/>
    </row>
    <row r="545" spans="1:19" x14ac:dyDescent="0.15">
      <c r="A545" s="76">
        <v>9</v>
      </c>
      <c r="B545" s="545"/>
      <c r="C545" s="546"/>
      <c r="D545" s="546"/>
      <c r="E545" s="547"/>
      <c r="F545" s="558"/>
      <c r="G545" s="559"/>
      <c r="H545" s="45"/>
      <c r="I545" s="45"/>
      <c r="J545" s="45"/>
      <c r="K545" s="45"/>
      <c r="L545" s="72"/>
      <c r="M545" s="46"/>
      <c r="N545" s="46"/>
      <c r="O545" s="82"/>
      <c r="P545" s="48"/>
      <c r="Q545" s="211"/>
      <c r="R545" s="73"/>
      <c r="S545" s="73"/>
    </row>
    <row r="546" spans="1:19" x14ac:dyDescent="0.15">
      <c r="A546" s="74"/>
      <c r="B546" s="552"/>
      <c r="C546" s="557"/>
      <c r="D546" s="557"/>
      <c r="E546" s="553"/>
      <c r="F546" s="552" t="s">
        <v>73</v>
      </c>
      <c r="G546" s="557"/>
      <c r="H546" s="557"/>
      <c r="I546" s="557"/>
      <c r="J546" s="557"/>
      <c r="K546" s="557"/>
      <c r="L546" s="557"/>
      <c r="M546" s="61"/>
      <c r="N546" s="61"/>
      <c r="O546" s="62">
        <f>SUM(O537:O545)</f>
        <v>0</v>
      </c>
      <c r="P546" s="63" t="s">
        <v>57</v>
      </c>
      <c r="Q546" s="337"/>
      <c r="R546" s="64"/>
      <c r="S546" s="64"/>
    </row>
    <row r="547" spans="1:19" x14ac:dyDescent="0.15">
      <c r="A547" s="74"/>
      <c r="B547" s="552"/>
      <c r="C547" s="557"/>
      <c r="D547" s="557"/>
      <c r="E547" s="553"/>
      <c r="F547" s="552" t="s">
        <v>74</v>
      </c>
      <c r="G547" s="557"/>
      <c r="H547" s="557"/>
      <c r="I547" s="557"/>
      <c r="J547" s="557"/>
      <c r="K547" s="557"/>
      <c r="L547" s="557"/>
      <c r="M547" s="557"/>
      <c r="N547" s="553"/>
      <c r="O547" s="62">
        <f>O546+O535+O532+O524</f>
        <v>0</v>
      </c>
      <c r="P547" s="63" t="s">
        <v>57</v>
      </c>
      <c r="Q547" s="337"/>
      <c r="R547" s="64"/>
      <c r="S547" s="64"/>
    </row>
    <row r="548" spans="1:19" ht="24" x14ac:dyDescent="0.15">
      <c r="A548" s="65"/>
      <c r="B548" s="565" t="s">
        <v>75</v>
      </c>
      <c r="C548" s="561"/>
      <c r="D548" s="561"/>
      <c r="E548" s="566"/>
      <c r="F548" s="565" t="s">
        <v>26</v>
      </c>
      <c r="G548" s="566"/>
      <c r="H548" s="66"/>
      <c r="I548" s="66"/>
      <c r="J548" s="66"/>
      <c r="K548" s="66" t="s">
        <v>6</v>
      </c>
      <c r="L548" s="83" t="s">
        <v>61</v>
      </c>
      <c r="M548" s="66" t="s">
        <v>76</v>
      </c>
      <c r="N548" s="68" t="s">
        <v>62</v>
      </c>
      <c r="O548" s="68" t="s">
        <v>34</v>
      </c>
      <c r="P548" s="84" t="s">
        <v>57</v>
      </c>
      <c r="Q548" s="84"/>
      <c r="R548" s="67"/>
      <c r="S548" s="67"/>
    </row>
    <row r="549" spans="1:19" x14ac:dyDescent="0.15">
      <c r="A549" s="57">
        <v>1</v>
      </c>
      <c r="B549" s="545"/>
      <c r="C549" s="546"/>
      <c r="D549" s="546"/>
      <c r="E549" s="547"/>
      <c r="F549" s="545" t="s">
        <v>77</v>
      </c>
      <c r="G549" s="547"/>
      <c r="H549" s="45"/>
      <c r="I549" s="45"/>
      <c r="J549" s="46"/>
      <c r="K549" s="45" t="s">
        <v>78</v>
      </c>
      <c r="L549" s="72"/>
      <c r="M549" s="85">
        <f>O485</f>
        <v>2.34</v>
      </c>
      <c r="N549" s="46">
        <f>VLOOKUP($F:$F,材料单价表!$B$3:$G$42,5,0)</f>
        <v>0</v>
      </c>
      <c r="O549" s="46">
        <f>N549*M549</f>
        <v>0</v>
      </c>
      <c r="P549" s="48"/>
      <c r="Q549" s="211"/>
      <c r="R549" s="72"/>
      <c r="S549" s="72"/>
    </row>
    <row r="550" spans="1:19" x14ac:dyDescent="0.15">
      <c r="A550" s="57">
        <v>2</v>
      </c>
      <c r="B550" s="545"/>
      <c r="C550" s="546"/>
      <c r="D550" s="546"/>
      <c r="E550" s="547"/>
      <c r="F550" s="545" t="s">
        <v>79</v>
      </c>
      <c r="G550" s="547"/>
      <c r="H550" s="45"/>
      <c r="I550" s="45"/>
      <c r="J550" s="46"/>
      <c r="K550" s="45" t="s">
        <v>78</v>
      </c>
      <c r="L550" s="72"/>
      <c r="M550" s="85">
        <f>M549</f>
        <v>2.34</v>
      </c>
      <c r="N550" s="46">
        <f>VLOOKUP($F:$F,材料单价表!$B$3:$G$42,5,0)</f>
        <v>0</v>
      </c>
      <c r="O550" s="46">
        <f>N550*M550</f>
        <v>0</v>
      </c>
      <c r="P550" s="48"/>
      <c r="Q550" s="211"/>
      <c r="R550" s="72"/>
      <c r="S550" s="72"/>
    </row>
    <row r="551" spans="1:19" ht="24.75" customHeight="1" x14ac:dyDescent="0.15">
      <c r="A551" s="74"/>
      <c r="B551" s="552"/>
      <c r="C551" s="557"/>
      <c r="D551" s="557"/>
      <c r="E551" s="553"/>
      <c r="F551" s="552" t="s">
        <v>80</v>
      </c>
      <c r="G551" s="553"/>
      <c r="H551" s="86"/>
      <c r="I551" s="325"/>
      <c r="J551" s="554" t="s">
        <v>81</v>
      </c>
      <c r="K551" s="554"/>
      <c r="L551" s="554"/>
      <c r="M551" s="554"/>
      <c r="N551" s="87"/>
      <c r="O551" s="62">
        <f>O547+O549+O550</f>
        <v>0</v>
      </c>
      <c r="P551" s="63" t="s">
        <v>57</v>
      </c>
      <c r="Q551" s="337"/>
      <c r="R551" s="64"/>
      <c r="S551" s="64"/>
    </row>
    <row r="552" spans="1:19" ht="24" customHeight="1" x14ac:dyDescent="0.15">
      <c r="A552" s="74"/>
      <c r="B552" s="552"/>
      <c r="C552" s="557"/>
      <c r="D552" s="557"/>
      <c r="E552" s="553"/>
      <c r="F552" s="555" t="s">
        <v>82</v>
      </c>
      <c r="G552" s="556"/>
      <c r="H552" s="105"/>
      <c r="I552" s="324"/>
      <c r="J552" s="552" t="s">
        <v>81</v>
      </c>
      <c r="K552" s="557"/>
      <c r="L552" s="557"/>
      <c r="M552" s="557"/>
      <c r="N552" s="62"/>
      <c r="O552" s="62">
        <f>O551/O485</f>
        <v>0</v>
      </c>
      <c r="P552" s="89" t="s">
        <v>57</v>
      </c>
      <c r="Q552" s="89"/>
      <c r="R552" s="90"/>
      <c r="S552" s="90"/>
    </row>
    <row r="553" spans="1:19" ht="18.75" customHeight="1" x14ac:dyDescent="0.15">
      <c r="A553" s="549" t="s">
        <v>0</v>
      </c>
      <c r="B553" s="549"/>
      <c r="C553" s="549"/>
      <c r="D553" s="549"/>
      <c r="E553" s="549"/>
      <c r="F553" s="549"/>
      <c r="G553" s="549"/>
      <c r="H553" s="549"/>
      <c r="I553" s="549"/>
      <c r="J553" s="549"/>
      <c r="K553" s="549"/>
      <c r="L553" s="550"/>
      <c r="M553" s="549"/>
      <c r="N553" s="549"/>
      <c r="O553" s="549"/>
      <c r="P553" s="549"/>
      <c r="Q553" s="549"/>
      <c r="R553" s="551"/>
      <c r="S553" s="551"/>
    </row>
    <row r="554" spans="1:19" x14ac:dyDescent="0.15">
      <c r="A554" s="2" t="s">
        <v>1</v>
      </c>
      <c r="B554" s="339" t="str">
        <f>$B$2</f>
        <v>NC</v>
      </c>
      <c r="C554" s="3">
        <v>9</v>
      </c>
      <c r="D554" s="3"/>
      <c r="E554" s="3"/>
      <c r="F554" s="4" t="s">
        <v>2</v>
      </c>
      <c r="G554" s="5">
        <v>65</v>
      </c>
      <c r="H554" s="106" t="s">
        <v>126</v>
      </c>
      <c r="I554" s="106"/>
      <c r="J554" s="4" t="s">
        <v>3</v>
      </c>
      <c r="K554" s="6">
        <f>L557</f>
        <v>2000</v>
      </c>
      <c r="L554" s="7" t="s">
        <v>83</v>
      </c>
      <c r="M554" s="6">
        <f>L556</f>
        <v>1800</v>
      </c>
      <c r="N554" s="8" t="s">
        <v>4</v>
      </c>
      <c r="O554" s="9">
        <f>M566</f>
        <v>3.6</v>
      </c>
      <c r="P554" s="10"/>
      <c r="Q554" s="10"/>
      <c r="R554" s="10" t="s">
        <v>5</v>
      </c>
      <c r="S554" s="11"/>
    </row>
    <row r="555" spans="1:19" ht="14.25" x14ac:dyDescent="0.2">
      <c r="A555" s="12"/>
      <c r="B555" s="13"/>
      <c r="C555" s="13"/>
      <c r="D555" s="13"/>
      <c r="E555" s="13"/>
      <c r="F555" s="14"/>
      <c r="G555" s="14"/>
      <c r="H555" s="15"/>
      <c r="I555" s="15"/>
      <c r="J555" s="16"/>
      <c r="K555" s="16" t="s">
        <v>6</v>
      </c>
      <c r="L555" s="17" t="s">
        <v>7</v>
      </c>
      <c r="M555" s="16" t="s">
        <v>8</v>
      </c>
      <c r="N555" s="18"/>
      <c r="O555" s="548" t="s">
        <v>940</v>
      </c>
      <c r="P555" s="548"/>
      <c r="Q555" s="16" t="s">
        <v>1018</v>
      </c>
      <c r="R555" s="529" t="s">
        <v>1066</v>
      </c>
      <c r="S555" s="530" t="s">
        <v>1592</v>
      </c>
    </row>
    <row r="556" spans="1:19" ht="14.25" x14ac:dyDescent="0.2">
      <c r="A556" s="398" t="s">
        <v>884</v>
      </c>
      <c r="B556" s="401" t="s">
        <v>893</v>
      </c>
      <c r="C556" s="22"/>
      <c r="D556" s="22"/>
      <c r="E556" s="22"/>
      <c r="F556" s="23"/>
      <c r="G556" s="23"/>
      <c r="H556" s="107"/>
      <c r="I556" s="107"/>
      <c r="J556" s="24" t="s">
        <v>9</v>
      </c>
      <c r="K556" s="16" t="s">
        <v>10</v>
      </c>
      <c r="L556" s="25">
        <v>1800</v>
      </c>
      <c r="M556" s="113">
        <f>L556-M565*2</f>
        <v>1700</v>
      </c>
      <c r="N556" s="18"/>
      <c r="O556" s="356" t="s">
        <v>941</v>
      </c>
      <c r="P556" s="357"/>
      <c r="Q556" s="16" t="s">
        <v>1019</v>
      </c>
      <c r="R556" s="529"/>
      <c r="S556" s="530"/>
    </row>
    <row r="557" spans="1:19" ht="14.25" x14ac:dyDescent="0.2">
      <c r="A557" s="21"/>
      <c r="B557" s="22"/>
      <c r="C557" s="22"/>
      <c r="D557" s="22"/>
      <c r="E557" s="22"/>
      <c r="F557" s="23"/>
      <c r="G557" s="23"/>
      <c r="H557" s="18"/>
      <c r="I557" s="18"/>
      <c r="J557" s="24" t="s">
        <v>11</v>
      </c>
      <c r="K557" s="16" t="s">
        <v>10</v>
      </c>
      <c r="L557" s="25">
        <v>2000</v>
      </c>
      <c r="M557" s="113">
        <f>L557-M565*2</f>
        <v>1900</v>
      </c>
      <c r="N557" s="18"/>
      <c r="O557" s="356" t="s">
        <v>924</v>
      </c>
      <c r="P557" s="357"/>
      <c r="Q557" s="16" t="s">
        <v>1020</v>
      </c>
      <c r="R557" s="529" t="s">
        <v>1067</v>
      </c>
      <c r="S557" s="530" t="s">
        <v>1086</v>
      </c>
    </row>
    <row r="558" spans="1:19" ht="14.25" x14ac:dyDescent="0.2">
      <c r="A558" s="21"/>
      <c r="B558" s="22"/>
      <c r="C558" s="22"/>
      <c r="D558" s="22"/>
      <c r="E558" s="22"/>
      <c r="F558" s="23"/>
      <c r="G558" s="23"/>
      <c r="H558" s="18"/>
      <c r="I558" s="18"/>
      <c r="J558" s="24" t="s">
        <v>12</v>
      </c>
      <c r="K558" s="16" t="s">
        <v>10</v>
      </c>
      <c r="L558" s="26"/>
      <c r="M558" s="113">
        <f>M556-M559</f>
        <v>750</v>
      </c>
      <c r="N558" s="18"/>
      <c r="O558" s="356" t="s">
        <v>925</v>
      </c>
      <c r="P558" s="357"/>
      <c r="Q558" s="16" t="s">
        <v>1021</v>
      </c>
      <c r="R558" s="529"/>
      <c r="S558" s="530"/>
    </row>
    <row r="559" spans="1:19" ht="14.25" x14ac:dyDescent="0.2">
      <c r="A559" s="21"/>
      <c r="B559" s="22"/>
      <c r="C559" s="22"/>
      <c r="D559" s="22"/>
      <c r="E559" s="22"/>
      <c r="F559" s="23"/>
      <c r="G559" s="23"/>
      <c r="H559" s="18"/>
      <c r="I559" s="18"/>
      <c r="J559" s="24" t="s">
        <v>13</v>
      </c>
      <c r="K559" s="16" t="s">
        <v>10</v>
      </c>
      <c r="L559" s="26"/>
      <c r="M559" s="25">
        <v>950</v>
      </c>
      <c r="N559" s="540" t="s">
        <v>146</v>
      </c>
      <c r="O559" s="356" t="s">
        <v>926</v>
      </c>
      <c r="P559" s="357"/>
      <c r="Q559" s="16" t="s">
        <v>1022</v>
      </c>
      <c r="R559" s="27"/>
      <c r="S559" s="28"/>
    </row>
    <row r="560" spans="1:19" ht="14.25" x14ac:dyDescent="0.2">
      <c r="A560" s="21"/>
      <c r="B560" s="22"/>
      <c r="C560" s="22"/>
      <c r="D560" s="22"/>
      <c r="E560" s="22"/>
      <c r="F560" s="23"/>
      <c r="G560" s="23"/>
      <c r="H560" s="18"/>
      <c r="I560" s="18"/>
      <c r="J560" s="24" t="s">
        <v>14</v>
      </c>
      <c r="K560" s="16" t="s">
        <v>10</v>
      </c>
      <c r="L560" s="26"/>
      <c r="M560" s="113"/>
      <c r="N560" s="540"/>
      <c r="O560" s="356" t="s">
        <v>927</v>
      </c>
      <c r="P560" s="357"/>
      <c r="Q560" s="16" t="s">
        <v>1023</v>
      </c>
      <c r="R560" s="27"/>
      <c r="S560" s="28"/>
    </row>
    <row r="561" spans="1:35" ht="14.25" x14ac:dyDescent="0.2">
      <c r="A561" s="21"/>
      <c r="B561" s="22"/>
      <c r="C561" s="22"/>
      <c r="D561" s="22"/>
      <c r="E561" s="22"/>
      <c r="F561" s="23"/>
      <c r="G561" s="23"/>
      <c r="H561" s="18"/>
      <c r="I561" s="18"/>
      <c r="J561" s="24" t="s">
        <v>15</v>
      </c>
      <c r="K561" s="16" t="s">
        <v>10</v>
      </c>
      <c r="L561" s="26"/>
      <c r="M561" s="113">
        <f>IF(L557=1800,550,IF(AND(L557&gt;1899,L557&lt;2301),600,IF(AND(L557&gt;2399,L557&lt;3001),750)))</f>
        <v>600</v>
      </c>
      <c r="N561" s="540"/>
      <c r="O561" s="356" t="s">
        <v>928</v>
      </c>
      <c r="P561" s="357"/>
      <c r="Q561" s="16" t="s">
        <v>1005</v>
      </c>
      <c r="R561" s="27"/>
      <c r="S561" s="28"/>
    </row>
    <row r="562" spans="1:35" ht="14.25" x14ac:dyDescent="0.2">
      <c r="A562" s="21"/>
      <c r="B562" s="22"/>
      <c r="C562" s="22"/>
      <c r="D562" s="22"/>
      <c r="E562" s="22"/>
      <c r="F562" s="23"/>
      <c r="G562" s="23"/>
      <c r="H562" s="18"/>
      <c r="I562" s="18"/>
      <c r="J562" s="24" t="s">
        <v>16</v>
      </c>
      <c r="K562" s="16" t="s">
        <v>10</v>
      </c>
      <c r="L562" s="26"/>
      <c r="M562" s="113">
        <f>M557-M561*2</f>
        <v>700</v>
      </c>
      <c r="N562" s="540"/>
      <c r="O562" s="356" t="s">
        <v>929</v>
      </c>
      <c r="P562" s="357"/>
      <c r="Q562" s="16" t="s">
        <v>1024</v>
      </c>
      <c r="R562" s="27"/>
      <c r="S562" s="28"/>
    </row>
    <row r="563" spans="1:35" ht="14.25" x14ac:dyDescent="0.2">
      <c r="A563" s="21"/>
      <c r="B563" s="22"/>
      <c r="C563" s="22"/>
      <c r="D563" s="22"/>
      <c r="E563" s="22"/>
      <c r="F563" s="23"/>
      <c r="G563" s="23"/>
      <c r="H563" s="18"/>
      <c r="I563" s="18"/>
      <c r="J563" s="24" t="s">
        <v>17</v>
      </c>
      <c r="K563" s="16" t="s">
        <v>10</v>
      </c>
      <c r="L563" s="26"/>
      <c r="M563" s="113"/>
      <c r="N563" s="540"/>
      <c r="O563" s="356" t="s">
        <v>930</v>
      </c>
      <c r="P563" s="357"/>
      <c r="Q563" s="16" t="s">
        <v>931</v>
      </c>
      <c r="R563" s="27"/>
      <c r="S563" s="28"/>
    </row>
    <row r="564" spans="1:35" ht="14.25" x14ac:dyDescent="0.2">
      <c r="A564" s="21"/>
      <c r="B564" s="22"/>
      <c r="C564" s="22"/>
      <c r="D564" s="22"/>
      <c r="E564" s="22"/>
      <c r="F564" s="23"/>
      <c r="G564" s="23"/>
      <c r="H564" s="18"/>
      <c r="I564" s="18"/>
      <c r="J564" s="24" t="s">
        <v>18</v>
      </c>
      <c r="K564" s="16" t="s">
        <v>10</v>
      </c>
      <c r="L564" s="26"/>
      <c r="M564" s="113"/>
      <c r="N564" s="540"/>
      <c r="O564" s="356" t="s">
        <v>932</v>
      </c>
      <c r="P564" s="357"/>
      <c r="Q564" s="16" t="s">
        <v>933</v>
      </c>
      <c r="R564" s="27"/>
      <c r="S564" s="28"/>
    </row>
    <row r="565" spans="1:35" ht="14.25" x14ac:dyDescent="0.2">
      <c r="A565" s="21"/>
      <c r="B565" s="22"/>
      <c r="C565" s="22"/>
      <c r="D565" s="22"/>
      <c r="E565" s="22"/>
      <c r="F565" s="23"/>
      <c r="G565" s="23"/>
      <c r="H565" s="18"/>
      <c r="I565" s="18"/>
      <c r="J565" s="24" t="s">
        <v>19</v>
      </c>
      <c r="K565" s="16" t="s">
        <v>10</v>
      </c>
      <c r="L565" s="26"/>
      <c r="M565" s="25">
        <v>50</v>
      </c>
      <c r="N565" s="540"/>
      <c r="O565" s="356" t="s">
        <v>934</v>
      </c>
      <c r="P565" s="357"/>
      <c r="Q565" s="16" t="s">
        <v>935</v>
      </c>
      <c r="R565" s="27"/>
      <c r="S565" s="28"/>
    </row>
    <row r="566" spans="1:35" ht="14.25" x14ac:dyDescent="0.2">
      <c r="A566" s="21"/>
      <c r="B566" s="22"/>
      <c r="C566" s="22"/>
      <c r="D566" s="22"/>
      <c r="E566" s="22"/>
      <c r="F566" s="23"/>
      <c r="G566" s="23"/>
      <c r="H566" s="18"/>
      <c r="I566" s="18"/>
      <c r="J566" s="29" t="s">
        <v>20</v>
      </c>
      <c r="K566" s="16" t="s">
        <v>21</v>
      </c>
      <c r="L566" s="30"/>
      <c r="M566" s="31">
        <f>L556*L557/1000000</f>
        <v>3.6</v>
      </c>
      <c r="N566" s="540"/>
      <c r="O566" s="356" t="s">
        <v>936</v>
      </c>
      <c r="P566" s="357"/>
      <c r="Q566" s="16" t="s">
        <v>937</v>
      </c>
      <c r="R566" s="27"/>
      <c r="S566" s="28"/>
    </row>
    <row r="567" spans="1:35" ht="14.25" x14ac:dyDescent="0.2">
      <c r="A567" s="32"/>
      <c r="B567" s="33"/>
      <c r="C567" s="33"/>
      <c r="D567" s="33"/>
      <c r="E567" s="33"/>
      <c r="F567" s="34"/>
      <c r="G567" s="34"/>
      <c r="H567" s="35"/>
      <c r="I567" s="35"/>
      <c r="J567" s="29" t="s">
        <v>22</v>
      </c>
      <c r="K567" s="16" t="s">
        <v>23</v>
      </c>
      <c r="L567" s="30"/>
      <c r="M567" s="36">
        <f>(L556+L557)*2/1000</f>
        <v>7.6</v>
      </c>
      <c r="N567" s="541"/>
      <c r="O567" s="356" t="s">
        <v>938</v>
      </c>
      <c r="P567" s="357"/>
      <c r="Q567" s="16" t="s">
        <v>939</v>
      </c>
      <c r="R567" s="37"/>
      <c r="S567" s="38"/>
    </row>
    <row r="568" spans="1:35" ht="36" x14ac:dyDescent="0.15">
      <c r="A568" s="39" t="s">
        <v>24</v>
      </c>
      <c r="B568" s="560" t="s">
        <v>25</v>
      </c>
      <c r="C568" s="561"/>
      <c r="D568" s="561"/>
      <c r="E568" s="562"/>
      <c r="F568" s="40" t="s">
        <v>26</v>
      </c>
      <c r="G568" s="40" t="s">
        <v>27</v>
      </c>
      <c r="H568" s="40" t="s">
        <v>28</v>
      </c>
      <c r="I568" s="40" t="s">
        <v>898</v>
      </c>
      <c r="J568" s="40" t="s">
        <v>29</v>
      </c>
      <c r="K568" s="40" t="s">
        <v>30</v>
      </c>
      <c r="L568" s="41" t="s">
        <v>31</v>
      </c>
      <c r="M568" s="40" t="s">
        <v>32</v>
      </c>
      <c r="N568" s="40" t="s">
        <v>33</v>
      </c>
      <c r="O568" s="40" t="s">
        <v>34</v>
      </c>
      <c r="P568" s="42" t="s">
        <v>35</v>
      </c>
      <c r="Q568" s="338" t="s">
        <v>875</v>
      </c>
      <c r="R568" s="43" t="s">
        <v>36</v>
      </c>
      <c r="S568" s="43" t="s">
        <v>37</v>
      </c>
      <c r="V568" s="261" t="s">
        <v>127</v>
      </c>
      <c r="W568" s="261"/>
      <c r="X568" s="273" t="s">
        <v>128</v>
      </c>
      <c r="Y568" s="261"/>
      <c r="Z568" s="273" t="s">
        <v>438</v>
      </c>
      <c r="AA568" s="261"/>
      <c r="AB568" s="273" t="s">
        <v>439</v>
      </c>
      <c r="AC568" s="261"/>
      <c r="AD568" s="273" t="s">
        <v>444</v>
      </c>
      <c r="AE568" s="261"/>
      <c r="AF568" s="273" t="s">
        <v>441</v>
      </c>
      <c r="AG568" s="261"/>
      <c r="AH568" s="273" t="s">
        <v>442</v>
      </c>
      <c r="AI568" s="261"/>
    </row>
    <row r="569" spans="1:35" x14ac:dyDescent="0.15">
      <c r="A569" s="57">
        <v>1</v>
      </c>
      <c r="B569" s="531" t="s">
        <v>38</v>
      </c>
      <c r="C569" s="532"/>
      <c r="D569" s="532"/>
      <c r="E569" s="533"/>
      <c r="F569" s="47" t="str">
        <f>VLOOKUP($H:$H,型材表!$B$5:$I$45,2,0)</f>
        <v>窗框</v>
      </c>
      <c r="G569" s="45" t="s">
        <v>39</v>
      </c>
      <c r="H569" s="45" t="str">
        <f>IF(G554=65,"SN65AK001",IF(G554=55,"SN55K001",IF(G554=551,"SN55BK001",IF(G554=60,"SN60K001",IF(G554=601,"SN60AK001",IF(G554=70,"SN70K001",IF(G554=75,"SN75K001")))))))</f>
        <v>SN65AK001</v>
      </c>
      <c r="I569" s="45" t="s">
        <v>901</v>
      </c>
      <c r="J569" s="46">
        <f>M556</f>
        <v>1700</v>
      </c>
      <c r="K569" s="45">
        <v>2</v>
      </c>
      <c r="L569" s="47">
        <f>VLOOKUP($H:$H,型材表!$B$5:$I$45,4,0)</f>
        <v>1.02</v>
      </c>
      <c r="M569" s="46">
        <f>J569*K569*L569/1000</f>
        <v>3.468</v>
      </c>
      <c r="N569" s="72">
        <f>VLOOKUP($H:$H,型材表!$B$5:$I$45,7,0)</f>
        <v>0</v>
      </c>
      <c r="O569" s="46">
        <f>N569*M569</f>
        <v>0</v>
      </c>
      <c r="P569" s="100">
        <f>VLOOKUP($H:$H,型材表!$B$5:$I$45,5,0)</f>
        <v>0.125</v>
      </c>
      <c r="Q569" s="100" t="str">
        <f>VLOOKUP($H:$H,型材表!$B$5:$I$468,6,0)</f>
        <v>断桥隔热铝型材</v>
      </c>
      <c r="R569" s="49"/>
      <c r="S569" s="50"/>
      <c r="X569" s="264"/>
      <c r="Z569" s="264"/>
      <c r="AA569" s="259"/>
      <c r="AB569" s="264"/>
      <c r="AC569" s="259"/>
      <c r="AD569" s="264"/>
      <c r="AE569" s="259"/>
      <c r="AF569" s="264"/>
      <c r="AG569" s="259"/>
      <c r="AH569" s="264"/>
      <c r="AI569" s="259"/>
    </row>
    <row r="570" spans="1:35" x14ac:dyDescent="0.15">
      <c r="A570" s="57">
        <v>2</v>
      </c>
      <c r="B570" s="537"/>
      <c r="C570" s="538"/>
      <c r="D570" s="538"/>
      <c r="E570" s="539"/>
      <c r="F570" s="47" t="str">
        <f>VLOOKUP($H:$H,型材表!$B$5:$I$45,2,0)</f>
        <v>窗框</v>
      </c>
      <c r="G570" s="45" t="s">
        <v>40</v>
      </c>
      <c r="H570" s="45" t="str">
        <f>H569</f>
        <v>SN65AK001</v>
      </c>
      <c r="I570" s="45" t="s">
        <v>899</v>
      </c>
      <c r="J570" s="46">
        <f>M557</f>
        <v>1900</v>
      </c>
      <c r="K570" s="45">
        <v>2</v>
      </c>
      <c r="L570" s="47">
        <f>VLOOKUP($H:$H,型材表!$B$5:$I$45,4,0)</f>
        <v>1.02</v>
      </c>
      <c r="M570" s="46">
        <f t="shared" ref="M570:M585" si="77">J570*K570*L570/1000</f>
        <v>3.8759999999999999</v>
      </c>
      <c r="N570" s="72">
        <f>VLOOKUP($H:$H,型材表!$B$5:$I$45,7,0)</f>
        <v>0</v>
      </c>
      <c r="O570" s="46">
        <f t="shared" ref="O570:O571" si="78">N570*M570</f>
        <v>0</v>
      </c>
      <c r="P570" s="100">
        <f>VLOOKUP($H:$H,型材表!$B$5:$I$45,5,0)</f>
        <v>0.125</v>
      </c>
      <c r="Q570" s="100" t="str">
        <f>VLOOKUP($H:$H,型材表!$B$5:$I$468,6,0)</f>
        <v>断桥隔热铝型材</v>
      </c>
      <c r="R570" s="49"/>
      <c r="S570" s="50"/>
      <c r="X570" s="264"/>
      <c r="Z570" s="264"/>
      <c r="AA570" s="259"/>
      <c r="AB570" s="264"/>
      <c r="AC570" s="259"/>
      <c r="AD570" s="264"/>
      <c r="AE570" s="259"/>
      <c r="AF570" s="264"/>
      <c r="AG570" s="259"/>
      <c r="AH570" s="264"/>
      <c r="AI570" s="259"/>
    </row>
    <row r="571" spans="1:35" x14ac:dyDescent="0.15">
      <c r="A571" s="395">
        <v>3</v>
      </c>
      <c r="B571" s="531" t="s">
        <v>41</v>
      </c>
      <c r="C571" s="532"/>
      <c r="D571" s="532"/>
      <c r="E571" s="533"/>
      <c r="F571" s="47" t="str">
        <f>VLOOKUP($H:$H,型材表!$B$5:$I$45,2,0)</f>
        <v>窗扇</v>
      </c>
      <c r="G571" s="45" t="s">
        <v>39</v>
      </c>
      <c r="H571" s="45" t="str">
        <f>IF(G554=65,"SN65AS001",IF(G554=55,"SN55S001",IF(G554=551,"SN55BS001",IF(G554=60,"SN60S001",IF(G554=601,"SN60AS001",IF(G554=70,"SN70S001",IF(G554=75,"SN75S001")))))))</f>
        <v>SN65AS001</v>
      </c>
      <c r="I571" s="45" t="s">
        <v>1040</v>
      </c>
      <c r="J571" s="46">
        <f>IF(G554=65,M558-V571,IF(G554=55,M558-X571,IF(G554=551,M558-Z571,IF(G554=60,M558-AB571,IF(G554=601,M558-AD571,IF(G554=70,M558-AF571,IF(G554=75,M558-AH571)))))))</f>
        <v>721</v>
      </c>
      <c r="K571" s="45">
        <v>4</v>
      </c>
      <c r="L571" s="47">
        <f>VLOOKUP($H:$H,型材表!$B$5:$I$45,4,0)</f>
        <v>1.292</v>
      </c>
      <c r="M571" s="46">
        <f t="shared" si="77"/>
        <v>3.7261280000000001</v>
      </c>
      <c r="N571" s="72">
        <f>VLOOKUP($H:$H,型材表!$B$5:$I$45,7,0)</f>
        <v>0</v>
      </c>
      <c r="O571" s="46">
        <f t="shared" si="78"/>
        <v>0</v>
      </c>
      <c r="P571" s="100">
        <f>VLOOKUP($H:$H,型材表!$B$5:$I$45,5,0)</f>
        <v>0.125</v>
      </c>
      <c r="Q571" s="100" t="str">
        <f>VLOOKUP($H:$H,型材表!$B$5:$I$468,6,0)</f>
        <v>断桥隔热铝型材</v>
      </c>
      <c r="R571" s="49"/>
      <c r="S571" s="50"/>
      <c r="U571" s="374" t="s">
        <v>1123</v>
      </c>
      <c r="V571" s="259">
        <f>22+7</f>
        <v>29</v>
      </c>
      <c r="X571" s="264">
        <f>22+7</f>
        <v>29</v>
      </c>
      <c r="Z571" s="264">
        <f>22+7</f>
        <v>29</v>
      </c>
      <c r="AA571" s="259"/>
      <c r="AB571" s="264">
        <f>22+7</f>
        <v>29</v>
      </c>
      <c r="AC571" s="259"/>
      <c r="AD571" s="264">
        <f>22+7</f>
        <v>29</v>
      </c>
      <c r="AE571" s="259"/>
      <c r="AF571" s="264">
        <f>22+7</f>
        <v>29</v>
      </c>
      <c r="AG571" s="259"/>
      <c r="AH571" s="264">
        <f>22+7</f>
        <v>29</v>
      </c>
      <c r="AI571" s="259"/>
    </row>
    <row r="572" spans="1:35" x14ac:dyDescent="0.15">
      <c r="A572" s="395">
        <v>4</v>
      </c>
      <c r="B572" s="534"/>
      <c r="C572" s="535"/>
      <c r="D572" s="535"/>
      <c r="E572" s="536"/>
      <c r="F572" s="47" t="str">
        <f>VLOOKUP($H:$H,型材表!$B$5:$I$45,2,0)</f>
        <v>窗扇</v>
      </c>
      <c r="G572" s="45" t="s">
        <v>40</v>
      </c>
      <c r="H572" s="45" t="str">
        <f>H571</f>
        <v>SN65AS001</v>
      </c>
      <c r="I572" s="45" t="s">
        <v>1011</v>
      </c>
      <c r="J572" s="46">
        <f>IF(G554=65,M561-V572,IF(G554=55,M561-X572,IF(G554=551,M561-Z572,IF(G554=60,M561-AB572,IF(G554=601,M561-AD572,IF(G554=70,M561-AF572,IF(G554=75,M561-AH572)))))))</f>
        <v>571</v>
      </c>
      <c r="K572" s="45">
        <v>4</v>
      </c>
      <c r="L572" s="47">
        <f>VLOOKUP($H:$H,型材表!$B$5:$I$45,4,0)</f>
        <v>1.292</v>
      </c>
      <c r="M572" s="46">
        <f t="shared" si="77"/>
        <v>2.9509279999999998</v>
      </c>
      <c r="N572" s="72">
        <f>VLOOKUP($H:$H,型材表!$B$5:$I$45,7,0)</f>
        <v>0</v>
      </c>
      <c r="O572" s="46">
        <f>N572*M572</f>
        <v>0</v>
      </c>
      <c r="P572" s="100">
        <f>VLOOKUP($H:$H,型材表!$B$5:$I$45,5,0)</f>
        <v>0.125</v>
      </c>
      <c r="Q572" s="100" t="str">
        <f>VLOOKUP($H:$H,型材表!$B$5:$I$468,6,0)</f>
        <v>断桥隔热铝型材</v>
      </c>
      <c r="R572" s="49"/>
      <c r="S572" s="50"/>
      <c r="U572" s="374" t="s">
        <v>1129</v>
      </c>
      <c r="V572" s="259">
        <f>22+7</f>
        <v>29</v>
      </c>
      <c r="X572" s="264">
        <f>22+7</f>
        <v>29</v>
      </c>
      <c r="Z572" s="264">
        <f>22+7</f>
        <v>29</v>
      </c>
      <c r="AA572" s="259"/>
      <c r="AB572" s="264">
        <f>22+7</f>
        <v>29</v>
      </c>
      <c r="AC572" s="259"/>
      <c r="AD572" s="264">
        <f>22+7</f>
        <v>29</v>
      </c>
      <c r="AE572" s="259"/>
      <c r="AF572" s="264">
        <f>22+7</f>
        <v>29</v>
      </c>
      <c r="AG572" s="259"/>
      <c r="AH572" s="264">
        <f>22+7</f>
        <v>29</v>
      </c>
      <c r="AI572" s="259"/>
    </row>
    <row r="573" spans="1:35" x14ac:dyDescent="0.15">
      <c r="A573" s="395">
        <v>5</v>
      </c>
      <c r="B573" s="534"/>
      <c r="C573" s="535"/>
      <c r="D573" s="535"/>
      <c r="E573" s="536"/>
      <c r="F573" s="47" t="str">
        <f>VLOOKUP($H:$H,型材表!$B$5:$I$45,2,0)</f>
        <v>中梃</v>
      </c>
      <c r="G573" s="45" t="s">
        <v>143</v>
      </c>
      <c r="H573" s="116" t="str">
        <f>IF(G554=65,"SN65AT001",IF(G554=55,"SN55T001",IF(G554=551,"SN55BT001",IF(G554=60,"SN60T001",IF(G554=601,"SN60AT001",IF(G554=70,"SN70T001",IF(G554=75,"SN75T001")))))))</f>
        <v>SN65AT001</v>
      </c>
      <c r="I573" s="45" t="s">
        <v>1052</v>
      </c>
      <c r="J573" s="46">
        <f>IF(G554=65,M556-V573,IF(G554=55,M556-X573,IF(G554=551,M556-Z573,IF(G554=60,M556-AB573,IF(G554=601,M556-AD573,IF(G554=70,M556-AF573,IF(G554=75,M556-AH573)))))))</f>
        <v>1654</v>
      </c>
      <c r="K573" s="45">
        <v>2</v>
      </c>
      <c r="L573" s="47">
        <f>VLOOKUP($H:$H,型材表!$B$5:$I$45,4,0)</f>
        <v>1.214</v>
      </c>
      <c r="M573" s="46">
        <f t="shared" si="77"/>
        <v>4.0159120000000001</v>
      </c>
      <c r="N573" s="72">
        <f>VLOOKUP($H:$H,型材表!$B$5:$I$45,7,0)</f>
        <v>0</v>
      </c>
      <c r="O573" s="46">
        <f>N573*M573</f>
        <v>0</v>
      </c>
      <c r="P573" s="100">
        <f>VLOOKUP($H:$H,型材表!$B$5:$I$45,5,0)</f>
        <v>0.125</v>
      </c>
      <c r="Q573" s="100" t="str">
        <f>VLOOKUP($H:$H,型材表!$B$5:$I$468,6,0)</f>
        <v>断桥隔热铝型材</v>
      </c>
      <c r="R573" s="49"/>
      <c r="S573" s="50"/>
      <c r="U573" s="374" t="s">
        <v>1033</v>
      </c>
      <c r="V573" s="259">
        <f>23*2</f>
        <v>46</v>
      </c>
      <c r="X573" s="264">
        <f>23*2</f>
        <v>46</v>
      </c>
      <c r="Y573" s="265"/>
      <c r="Z573" s="264">
        <f>23*2</f>
        <v>46</v>
      </c>
      <c r="AA573" s="265"/>
      <c r="AB573" s="264">
        <f>23*2</f>
        <v>46</v>
      </c>
      <c r="AC573" s="265"/>
      <c r="AD573" s="264">
        <f>23*2</f>
        <v>46</v>
      </c>
      <c r="AE573" s="265"/>
      <c r="AF573" s="264">
        <f>23*2</f>
        <v>46</v>
      </c>
      <c r="AG573" s="265"/>
      <c r="AH573" s="264">
        <f>23*2</f>
        <v>46</v>
      </c>
      <c r="AI573" s="259"/>
    </row>
    <row r="574" spans="1:35" x14ac:dyDescent="0.15">
      <c r="A574" s="395">
        <v>6</v>
      </c>
      <c r="B574" s="537"/>
      <c r="C574" s="538"/>
      <c r="D574" s="538"/>
      <c r="E574" s="539"/>
      <c r="F574" s="47" t="str">
        <f>VLOOKUP($H:$H,型材表!$B$5:$I$45,2,0)</f>
        <v>中梃</v>
      </c>
      <c r="G574" s="45" t="s">
        <v>144</v>
      </c>
      <c r="H574" s="116" t="str">
        <f>IF(G554=65,"SN65AT001",IF(G554=55,"SN55T001",IF(G554=551,"SN55BT001",IF(G554=60,"SN60T001",IF(G554=601,"SN60AT001",IF(G554=70,"SN70T001",IF(G554=75,"SN75T001")))))))</f>
        <v>SN65AT001</v>
      </c>
      <c r="I574" s="45" t="s">
        <v>1053</v>
      </c>
      <c r="J574" s="46">
        <f>IF(G554=65,M561-V574,IF(G554=55,M561-X574,IF(G554=551,M561-Z574,IF(G554=60,M561-AB574,IF(G554=601,M561-AD574,IF(G554=70,M561-AF574,IF(G554=75,M561-AH574)))))))</f>
        <v>569</v>
      </c>
      <c r="K574" s="45">
        <v>2</v>
      </c>
      <c r="L574" s="47">
        <f>VLOOKUP($H:$H,型材表!$B$5:$I$45,4,0)</f>
        <v>1.214</v>
      </c>
      <c r="M574" s="46">
        <f t="shared" si="77"/>
        <v>1.381532</v>
      </c>
      <c r="N574" s="72">
        <f>VLOOKUP($H:$H,型材表!$B$5:$I$45,7,0)</f>
        <v>0</v>
      </c>
      <c r="O574" s="46">
        <f>N574*M574</f>
        <v>0</v>
      </c>
      <c r="P574" s="100">
        <f>VLOOKUP($H:$H,型材表!$B$5:$I$45,5,0)</f>
        <v>0.125</v>
      </c>
      <c r="Q574" s="100" t="str">
        <f>VLOOKUP($H:$H,型材表!$B$5:$I$468,6,0)</f>
        <v>断桥隔热铝型材</v>
      </c>
      <c r="R574" s="49"/>
      <c r="S574" s="50"/>
      <c r="U574" s="374" t="s">
        <v>1131</v>
      </c>
      <c r="V574" s="259">
        <f>23+8</f>
        <v>31</v>
      </c>
      <c r="X574" s="264">
        <f>23+8</f>
        <v>31</v>
      </c>
      <c r="Z574" s="264">
        <f>23+8</f>
        <v>31</v>
      </c>
      <c r="AA574" s="259"/>
      <c r="AB574" s="264">
        <f>23+8</f>
        <v>31</v>
      </c>
      <c r="AC574" s="259"/>
      <c r="AD574" s="264">
        <f>23+8</f>
        <v>31</v>
      </c>
      <c r="AE574" s="259"/>
      <c r="AF574" s="264">
        <f>23+8</f>
        <v>31</v>
      </c>
      <c r="AG574" s="259"/>
      <c r="AH574" s="264">
        <f>23+8</f>
        <v>31</v>
      </c>
      <c r="AI574" s="259"/>
    </row>
    <row r="575" spans="1:35" x14ac:dyDescent="0.15">
      <c r="A575" s="395">
        <v>7</v>
      </c>
      <c r="B575" s="531" t="s">
        <v>42</v>
      </c>
      <c r="C575" s="532"/>
      <c r="D575" s="532"/>
      <c r="E575" s="533"/>
      <c r="F575" s="47" t="str">
        <f>VLOOKUP($H:$H,型材表!$B$5:$I$45,2,0)</f>
        <v>压线</v>
      </c>
      <c r="G575" s="45" t="s">
        <v>39</v>
      </c>
      <c r="H575" s="45" t="str">
        <f>IF(G554=65,"SN65AY002",IF(G554=55,"SN55Y002",IF(G554=551,"SN55BY002",IF(G554=60,"SN60Y002",IF(G554=601,"SN60Y002",IF(G554=70,"SN70Y002",IF(G554=75,"SN75Y002")))))))</f>
        <v>SN65AY002</v>
      </c>
      <c r="I575" s="45" t="s">
        <v>1042</v>
      </c>
      <c r="J575" s="46">
        <f>IF(G554=65,M558-V575,IF(G554=55,M558-X575,IF(G554=551,M558-Z575,IF(G554=60,M558-AB575,IF(G554=601,M558-AD575,IF(G554=70,M558-AF575,IF(G554=75,M558-AH575)))))))</f>
        <v>645.4</v>
      </c>
      <c r="K575" s="45">
        <v>4</v>
      </c>
      <c r="L575" s="47">
        <f>VLOOKUP($H:$H,型材表!$B$5:$I$45,4,0)</f>
        <v>0.20399999999999999</v>
      </c>
      <c r="M575" s="46">
        <f t="shared" si="77"/>
        <v>0.52664639999999996</v>
      </c>
      <c r="N575" s="72">
        <f>VLOOKUP($H:$H,型材表!$B$5:$I$45,7,0)</f>
        <v>0</v>
      </c>
      <c r="O575" s="46">
        <f t="shared" ref="O575:O585" si="79">N575*M575</f>
        <v>0</v>
      </c>
      <c r="P575" s="100">
        <f>VLOOKUP($H:$H,型材表!$B$5:$I$45,5,0)</f>
        <v>0.125</v>
      </c>
      <c r="Q575" s="100" t="str">
        <f>VLOOKUP($H:$H,型材表!$B$5:$I$468,6,0)</f>
        <v>非断桥隔热铝型材</v>
      </c>
      <c r="R575" s="49"/>
      <c r="S575" s="50"/>
      <c r="U575" s="374" t="s">
        <v>1126</v>
      </c>
      <c r="V575" s="269">
        <f>59.8+44.8</f>
        <v>104.6</v>
      </c>
      <c r="W575" s="269"/>
      <c r="X575" s="279">
        <f>59.8+44.8</f>
        <v>104.6</v>
      </c>
      <c r="Z575" s="279">
        <f>59.8+44.8</f>
        <v>104.6</v>
      </c>
      <c r="AA575" s="259"/>
      <c r="AB575" s="279">
        <f>59.8+44.8</f>
        <v>104.6</v>
      </c>
      <c r="AC575" s="259"/>
      <c r="AD575" s="279">
        <f>59.8+44.8</f>
        <v>104.6</v>
      </c>
      <c r="AE575" s="259"/>
      <c r="AF575" s="279">
        <f>59.8+44.8</f>
        <v>104.6</v>
      </c>
      <c r="AG575" s="259"/>
      <c r="AH575" s="279">
        <f>59.8+44.8</f>
        <v>104.6</v>
      </c>
      <c r="AI575" s="259"/>
    </row>
    <row r="576" spans="1:35" x14ac:dyDescent="0.15">
      <c r="A576" s="395">
        <v>8</v>
      </c>
      <c r="B576" s="534"/>
      <c r="C576" s="535"/>
      <c r="D576" s="535"/>
      <c r="E576" s="536"/>
      <c r="F576" s="47" t="str">
        <f>VLOOKUP($H:$H,型材表!$B$5:$I$45,2,0)</f>
        <v>压线</v>
      </c>
      <c r="G576" s="45" t="s">
        <v>39</v>
      </c>
      <c r="H576" s="207" t="str">
        <f>H575</f>
        <v>SN65AY002</v>
      </c>
      <c r="I576" s="207" t="s">
        <v>1043</v>
      </c>
      <c r="J576" s="208">
        <f>IF(G554=65,M559-V576,IF(G554=55,M559-X576,IF(G554=551,M559-Z576,IF(G554=60,M559-AB576,IF(G554=601,M559-AD576,IF(G554=70,M559-AF576,IF(G554=75,M559-AH576)))))))</f>
        <v>919</v>
      </c>
      <c r="K576" s="207">
        <v>4</v>
      </c>
      <c r="L576" s="47">
        <f>VLOOKUP($H:$H,型材表!$B$5:$I$45,4,0)</f>
        <v>0.20399999999999999</v>
      </c>
      <c r="M576" s="46">
        <f t="shared" ref="M576:M579" si="80">J576*K576*L576/1000</f>
        <v>0.74990400000000002</v>
      </c>
      <c r="N576" s="72">
        <f>VLOOKUP($H:$H,型材表!$B$5:$I$45,7,0)</f>
        <v>0</v>
      </c>
      <c r="O576" s="46">
        <f t="shared" ref="O576:O579" si="81">N576*M576</f>
        <v>0</v>
      </c>
      <c r="P576" s="100">
        <f>VLOOKUP($H:$H,型材表!$B$5:$I$45,5,0)</f>
        <v>0.125</v>
      </c>
      <c r="Q576" s="100" t="str">
        <f>VLOOKUP($H:$H,型材表!$B$5:$I$468,6,0)</f>
        <v>非断桥隔热铝型材</v>
      </c>
      <c r="R576" s="210"/>
      <c r="S576" s="50"/>
      <c r="U576" s="374" t="s">
        <v>1127</v>
      </c>
      <c r="V576" s="269">
        <f>23+8</f>
        <v>31</v>
      </c>
      <c r="W576" s="269"/>
      <c r="X576" s="279">
        <f>23+8</f>
        <v>31</v>
      </c>
      <c r="Z576" s="279">
        <f>23+8</f>
        <v>31</v>
      </c>
      <c r="AA576" s="259"/>
      <c r="AB576" s="279">
        <f>23+8</f>
        <v>31</v>
      </c>
      <c r="AC576" s="259"/>
      <c r="AD576" s="279">
        <f>23+8</f>
        <v>31</v>
      </c>
      <c r="AE576" s="259"/>
      <c r="AF576" s="279">
        <f>23+8</f>
        <v>31</v>
      </c>
      <c r="AG576" s="259"/>
      <c r="AH576" s="279">
        <f>23+8</f>
        <v>31</v>
      </c>
      <c r="AI576" s="259"/>
    </row>
    <row r="577" spans="1:35" s="315" customFormat="1" x14ac:dyDescent="0.15">
      <c r="A577" s="327">
        <v>9</v>
      </c>
      <c r="B577" s="534"/>
      <c r="C577" s="535"/>
      <c r="D577" s="535"/>
      <c r="E577" s="536"/>
      <c r="F577" s="310" t="str">
        <f>VLOOKUP($H:$H,型材表!$B$5:$I$45,2,0)</f>
        <v>压线</v>
      </c>
      <c r="G577" s="116" t="s">
        <v>39</v>
      </c>
      <c r="H577" s="328" t="str">
        <f t="shared" ref="H577:H579" si="82">H576</f>
        <v>SN65AY002</v>
      </c>
      <c r="I577" s="328" t="s">
        <v>1652</v>
      </c>
      <c r="J577" s="329">
        <f>IF(G554=65,M556-V577,IF(G554=55,M556-X577,IF(G554=551,M556-Z577,IF(G554=60,M556-AB577,IF(G554=601,M556-AD577,IF(G554=70,M556-AF577,IF(G554=75,M556-AH577)))))))</f>
        <v>1654</v>
      </c>
      <c r="K577" s="328">
        <v>2</v>
      </c>
      <c r="L577" s="310">
        <f>VLOOKUP($H:$H,型材表!$B$5:$I$45,4,0)</f>
        <v>0.20399999999999999</v>
      </c>
      <c r="M577" s="147">
        <f t="shared" si="80"/>
        <v>0.67483199999999999</v>
      </c>
      <c r="N577" s="311">
        <f>VLOOKUP($H:$H,型材表!$B$5:$I$45,7,0)</f>
        <v>0</v>
      </c>
      <c r="O577" s="147">
        <f t="shared" si="81"/>
        <v>0</v>
      </c>
      <c r="P577" s="312">
        <f>VLOOKUP($H:$H,型材表!$B$5:$I$45,5,0)</f>
        <v>0.125</v>
      </c>
      <c r="Q577" s="312" t="str">
        <f>VLOOKUP($H:$H,型材表!$B$5:$I$468,6,0)</f>
        <v>非断桥隔热铝型材</v>
      </c>
      <c r="R577" s="330"/>
      <c r="S577" s="314"/>
      <c r="T577" s="490"/>
      <c r="U577" s="493" t="s">
        <v>1650</v>
      </c>
      <c r="V577" s="491">
        <v>46</v>
      </c>
      <c r="W577" s="491"/>
      <c r="X577" s="492">
        <v>46</v>
      </c>
      <c r="Y577" s="316"/>
      <c r="Z577" s="492">
        <v>46</v>
      </c>
      <c r="AA577" s="316"/>
      <c r="AB577" s="492">
        <v>46</v>
      </c>
      <c r="AC577" s="316"/>
      <c r="AD577" s="492">
        <v>46</v>
      </c>
      <c r="AE577" s="316"/>
      <c r="AF577" s="492">
        <v>46</v>
      </c>
      <c r="AG577" s="316"/>
      <c r="AH577" s="492">
        <v>46</v>
      </c>
      <c r="AI577" s="316"/>
    </row>
    <row r="578" spans="1:35" x14ac:dyDescent="0.15">
      <c r="A578" s="395">
        <v>10</v>
      </c>
      <c r="B578" s="534"/>
      <c r="C578" s="535"/>
      <c r="D578" s="535"/>
      <c r="E578" s="536"/>
      <c r="F578" s="47" t="str">
        <f>VLOOKUP($H:$H,型材表!$B$5:$I$45,2,0)</f>
        <v>压线</v>
      </c>
      <c r="G578" s="45" t="s">
        <v>40</v>
      </c>
      <c r="H578" s="207" t="str">
        <f t="shared" si="82"/>
        <v>SN65AY002</v>
      </c>
      <c r="I578" s="207" t="s">
        <v>1016</v>
      </c>
      <c r="J578" s="208">
        <f>IF(G554=65,M561-V578,IF(G554=55,M561-X578,IF(G554=551,M561-Z578,IF(G554=60,M561-AB578,IF(G554=601,M561-AD578,IF(G554=70,M561-AF578,IF(G554=75,M561-AH578)))))))</f>
        <v>495.4</v>
      </c>
      <c r="K578" s="207">
        <v>4</v>
      </c>
      <c r="L578" s="47">
        <f>VLOOKUP($H:$H,型材表!$B$5:$I$45,4,0)</f>
        <v>0.20399999999999999</v>
      </c>
      <c r="M578" s="46">
        <f t="shared" si="80"/>
        <v>0.40424639999999995</v>
      </c>
      <c r="N578" s="72">
        <f>VLOOKUP($H:$H,型材表!$B$5:$I$45,7,0)</f>
        <v>0</v>
      </c>
      <c r="O578" s="46">
        <f t="shared" si="81"/>
        <v>0</v>
      </c>
      <c r="P578" s="100">
        <f>VLOOKUP($H:$H,型材表!$B$5:$I$45,5,0)</f>
        <v>0.125</v>
      </c>
      <c r="Q578" s="100" t="str">
        <f>VLOOKUP($H:$H,型材表!$B$5:$I$468,6,0)</f>
        <v>非断桥隔热铝型材</v>
      </c>
      <c r="R578" s="210"/>
      <c r="S578" s="50"/>
      <c r="U578" s="374" t="s">
        <v>1030</v>
      </c>
      <c r="V578" s="269">
        <f>59.8+44.8</f>
        <v>104.6</v>
      </c>
      <c r="W578" s="269"/>
      <c r="X578" s="279">
        <f>59.8+44.8</f>
        <v>104.6</v>
      </c>
      <c r="Z578" s="279">
        <f>59.8+44.8</f>
        <v>104.6</v>
      </c>
      <c r="AA578" s="259"/>
      <c r="AB578" s="279">
        <f>59.8+44.8</f>
        <v>104.6</v>
      </c>
      <c r="AC578" s="259"/>
      <c r="AD578" s="279">
        <f>59.8+44.8</f>
        <v>104.6</v>
      </c>
      <c r="AE578" s="259"/>
      <c r="AF578" s="279">
        <f>59.8+44.8</f>
        <v>104.6</v>
      </c>
      <c r="AG578" s="259"/>
      <c r="AH578" s="279">
        <f>59.8+44.8</f>
        <v>104.6</v>
      </c>
      <c r="AI578" s="259"/>
    </row>
    <row r="579" spans="1:35" x14ac:dyDescent="0.15">
      <c r="A579" s="395">
        <v>11</v>
      </c>
      <c r="B579" s="534"/>
      <c r="C579" s="535"/>
      <c r="D579" s="535"/>
      <c r="E579" s="536"/>
      <c r="F579" s="47" t="str">
        <f>VLOOKUP($H:$H,型材表!$B$5:$I$45,2,0)</f>
        <v>压线</v>
      </c>
      <c r="G579" s="45" t="s">
        <v>40</v>
      </c>
      <c r="H579" s="207" t="str">
        <f t="shared" si="82"/>
        <v>SN65AY002</v>
      </c>
      <c r="I579" s="207" t="s">
        <v>1062</v>
      </c>
      <c r="J579" s="208">
        <f>IF(G554=65,M561-V579,IF(G554=55,M561-X579,IF(G554=551,M561-Z579,IF(G554=60,M561-AB579,IF(G554=601,M561-AD579,IF(G554=70,M561-AF579,IF(G554=75,M561-AH579)))))))</f>
        <v>569</v>
      </c>
      <c r="K579" s="207">
        <v>4</v>
      </c>
      <c r="L579" s="47">
        <f>VLOOKUP($H:$H,型材表!$B$5:$I$45,4,0)</f>
        <v>0.20399999999999999</v>
      </c>
      <c r="M579" s="46">
        <f t="shared" si="80"/>
        <v>0.46430399999999999</v>
      </c>
      <c r="N579" s="72">
        <f>VLOOKUP($H:$H,型材表!$B$5:$I$45,7,0)</f>
        <v>0</v>
      </c>
      <c r="O579" s="46">
        <f t="shared" si="81"/>
        <v>0</v>
      </c>
      <c r="P579" s="100">
        <f>VLOOKUP($H:$H,型材表!$B$5:$I$45,5,0)</f>
        <v>0.125</v>
      </c>
      <c r="Q579" s="100" t="str">
        <f>VLOOKUP($H:$H,型材表!$B$5:$I$468,6,0)</f>
        <v>非断桥隔热铝型材</v>
      </c>
      <c r="R579" s="210"/>
      <c r="S579" s="50"/>
      <c r="U579" s="374" t="s">
        <v>1058</v>
      </c>
      <c r="V579" s="269">
        <f>8+23</f>
        <v>31</v>
      </c>
      <c r="W579" s="269"/>
      <c r="X579" s="279">
        <f>8+23</f>
        <v>31</v>
      </c>
      <c r="Z579" s="279">
        <f>8+23</f>
        <v>31</v>
      </c>
      <c r="AA579" s="259"/>
      <c r="AB579" s="279">
        <f>8+23</f>
        <v>31</v>
      </c>
      <c r="AC579" s="259"/>
      <c r="AD579" s="279">
        <f>8+23</f>
        <v>31</v>
      </c>
      <c r="AE579" s="259"/>
      <c r="AF579" s="279">
        <f>8+23</f>
        <v>31</v>
      </c>
      <c r="AG579" s="259"/>
      <c r="AH579" s="279">
        <f>8+23</f>
        <v>31</v>
      </c>
      <c r="AI579" s="259"/>
    </row>
    <row r="580" spans="1:35" s="315" customFormat="1" x14ac:dyDescent="0.15">
      <c r="A580" s="327">
        <v>12</v>
      </c>
      <c r="B580" s="537"/>
      <c r="C580" s="538"/>
      <c r="D580" s="538"/>
      <c r="E580" s="539"/>
      <c r="F580" s="310" t="str">
        <f>VLOOKUP($H:$H,型材表!$B$5:$I$45,2,0)</f>
        <v>压线</v>
      </c>
      <c r="G580" s="116" t="s">
        <v>40</v>
      </c>
      <c r="H580" s="116" t="str">
        <f>H575</f>
        <v>SN65AY002</v>
      </c>
      <c r="I580" s="328" t="s">
        <v>1653</v>
      </c>
      <c r="J580" s="147">
        <f>IF(G554=65,M562-V580,IF(G554=55,M562-X580,IF(G554=551,M562-Z580,IF(G554=60,M562-AB580,IF(G554=601,M562-AD580,IF(G554=70,M562-AF580,IF(G554=75,M562-AH580)))))))</f>
        <v>684</v>
      </c>
      <c r="K580" s="116">
        <v>2</v>
      </c>
      <c r="L580" s="310">
        <f>VLOOKUP($H:$H,型材表!$B$5:$I$45,4,0)</f>
        <v>0.20399999999999999</v>
      </c>
      <c r="M580" s="147">
        <f t="shared" si="77"/>
        <v>0.27907199999999999</v>
      </c>
      <c r="N580" s="311">
        <f>VLOOKUP($H:$H,型材表!$B$5:$I$45,7,0)</f>
        <v>0</v>
      </c>
      <c r="O580" s="147">
        <f t="shared" si="79"/>
        <v>0</v>
      </c>
      <c r="P580" s="312">
        <f>VLOOKUP($H:$H,型材表!$B$5:$I$45,5,0)</f>
        <v>0.125</v>
      </c>
      <c r="Q580" s="312" t="str">
        <f>VLOOKUP($H:$H,型材表!$B$5:$I$468,6,0)</f>
        <v>非断桥隔热铝型材</v>
      </c>
      <c r="R580" s="313"/>
      <c r="S580" s="314"/>
      <c r="T580" s="490"/>
      <c r="U580" s="493" t="s">
        <v>1651</v>
      </c>
      <c r="V580" s="491">
        <v>16</v>
      </c>
      <c r="W580" s="491"/>
      <c r="X580" s="492">
        <v>16</v>
      </c>
      <c r="Y580" s="316"/>
      <c r="Z580" s="492">
        <v>16</v>
      </c>
      <c r="AA580" s="316"/>
      <c r="AB580" s="492">
        <v>16</v>
      </c>
      <c r="AC580" s="316"/>
      <c r="AD580" s="492">
        <v>16</v>
      </c>
      <c r="AE580" s="316"/>
      <c r="AF580" s="492">
        <v>16</v>
      </c>
      <c r="AG580" s="316"/>
      <c r="AH580" s="492">
        <v>16</v>
      </c>
      <c r="AI580" s="316"/>
    </row>
    <row r="581" spans="1:35" x14ac:dyDescent="0.15">
      <c r="A581" s="395">
        <v>13</v>
      </c>
      <c r="B581" s="531" t="s">
        <v>44</v>
      </c>
      <c r="C581" s="532"/>
      <c r="D581" s="532"/>
      <c r="E581" s="533"/>
      <c r="F581" s="47" t="str">
        <f>VLOOKUP($H:$H,型材表!$B$5:$I$45,2,0)</f>
        <v>角码</v>
      </c>
      <c r="G581" s="51" t="s">
        <v>446</v>
      </c>
      <c r="H581" s="45" t="str">
        <f>IF(G554=65,"SW55F001","SN55F003")</f>
        <v>SW55F001</v>
      </c>
      <c r="I581" s="45" t="s">
        <v>1006</v>
      </c>
      <c r="J581" s="52">
        <f>IF(G554=65,V581,IF(G554=55,X581,IF(G554=551,Z581,IF(G554=60,AB581,IF(G554=601,AD581,IF(G554=70,AF581,IF(G554=75,AH581)))))))</f>
        <v>32.200000000000003</v>
      </c>
      <c r="K581" s="45">
        <f>K569*2</f>
        <v>4</v>
      </c>
      <c r="L581" s="47">
        <f>VLOOKUP($H:$H,型材表!$B$5:$I$45,4,0)</f>
        <v>2.0950000000000002</v>
      </c>
      <c r="M581" s="46">
        <f t="shared" si="77"/>
        <v>0.26983600000000008</v>
      </c>
      <c r="N581" s="72">
        <f>VLOOKUP($H:$H,型材表!$B$5:$I$45,7,0)</f>
        <v>0</v>
      </c>
      <c r="O581" s="46">
        <f t="shared" si="79"/>
        <v>0</v>
      </c>
      <c r="P581" s="100">
        <f>VLOOKUP($H:$H,型材表!$B$5:$I$45,5,0)</f>
        <v>0.125</v>
      </c>
      <c r="Q581" s="100" t="str">
        <f>VLOOKUP($H:$H,型材表!$B$5:$I$468,6,0)</f>
        <v>阳极氧化铝型材</v>
      </c>
      <c r="R581" s="49"/>
      <c r="S581" s="50"/>
      <c r="U581" s="374" t="s">
        <v>994</v>
      </c>
      <c r="V581" s="259">
        <f>19.5-1+14.7-1</f>
        <v>32.200000000000003</v>
      </c>
      <c r="X581" s="264">
        <f>19.5-1+14.7-1</f>
        <v>32.200000000000003</v>
      </c>
      <c r="Y581" s="265"/>
      <c r="Z581" s="264">
        <f>19.5-1+10.9-1</f>
        <v>28.4</v>
      </c>
      <c r="AA581" s="277"/>
      <c r="AB581" s="264">
        <f>19.5-1+14.7-1</f>
        <v>32.200000000000003</v>
      </c>
      <c r="AC581" s="277"/>
      <c r="AD581" s="264">
        <f>19.5-1+10.9-1</f>
        <v>28.4</v>
      </c>
      <c r="AE581" s="277"/>
      <c r="AF581" s="264">
        <f>19.5-1+14.7-1</f>
        <v>32.200000000000003</v>
      </c>
      <c r="AG581" s="277"/>
      <c r="AH581" s="264">
        <f>19.5-1+14.7-1</f>
        <v>32.200000000000003</v>
      </c>
      <c r="AI581" s="259"/>
    </row>
    <row r="582" spans="1:35" x14ac:dyDescent="0.15">
      <c r="A582" s="395">
        <v>14</v>
      </c>
      <c r="B582" s="534"/>
      <c r="C582" s="535"/>
      <c r="D582" s="535"/>
      <c r="E582" s="536"/>
      <c r="F582" s="47" t="str">
        <f>VLOOKUP($H:$H,型材表!$B$5:$I$45,2,0)</f>
        <v>角码</v>
      </c>
      <c r="G582" s="51" t="s">
        <v>447</v>
      </c>
      <c r="H582" s="45" t="str">
        <f>IF(G554=65,"SN55F003","SN55F003")</f>
        <v>SN55F003</v>
      </c>
      <c r="I582" s="45" t="s">
        <v>995</v>
      </c>
      <c r="J582" s="52">
        <f t="shared" ref="J582:J585" si="83">V582</f>
        <v>27.1</v>
      </c>
      <c r="K582" s="45">
        <v>8</v>
      </c>
      <c r="L582" s="47">
        <f>VLOOKUP($H:$H,型材表!$B$5:$I$45,4,0)</f>
        <v>1.7490000000000001</v>
      </c>
      <c r="M582" s="46">
        <f t="shared" si="77"/>
        <v>0.37918320000000005</v>
      </c>
      <c r="N582" s="72">
        <f>VLOOKUP($H:$H,型材表!$B$5:$I$45,7,0)</f>
        <v>0</v>
      </c>
      <c r="O582" s="46">
        <f t="shared" si="79"/>
        <v>0</v>
      </c>
      <c r="P582" s="100">
        <f>VLOOKUP($H:$H,型材表!$B$5:$I$45,5,0)</f>
        <v>0.125</v>
      </c>
      <c r="Q582" s="100" t="str">
        <f>VLOOKUP($H:$H,型材表!$B$5:$I$468,6,0)</f>
        <v>阳极氧化铝型材</v>
      </c>
      <c r="R582" s="49"/>
      <c r="S582" s="50"/>
      <c r="U582" s="374" t="s">
        <v>995</v>
      </c>
      <c r="V582" s="259">
        <f>28.1-1</f>
        <v>27.1</v>
      </c>
      <c r="X582" s="264"/>
      <c r="Z582" s="264"/>
      <c r="AA582" s="259"/>
      <c r="AB582" s="264"/>
      <c r="AC582" s="259"/>
      <c r="AD582" s="264"/>
      <c r="AE582" s="259"/>
      <c r="AF582" s="264"/>
      <c r="AG582" s="259"/>
      <c r="AH582" s="264"/>
      <c r="AI582" s="259"/>
    </row>
    <row r="583" spans="1:35" x14ac:dyDescent="0.15">
      <c r="A583" s="395">
        <v>15</v>
      </c>
      <c r="B583" s="534"/>
      <c r="C583" s="535"/>
      <c r="D583" s="535"/>
      <c r="E583" s="536"/>
      <c r="F583" s="47" t="str">
        <f>VLOOKUP($H:$H,型材表!$B$5:$I$45,2,0)</f>
        <v>角码</v>
      </c>
      <c r="G583" s="51" t="s">
        <v>447</v>
      </c>
      <c r="H583" s="45" t="str">
        <f>IF(G554=70,"SW50F002",IF(G554=75,"SW50F002","SN55F003"))</f>
        <v>SN55F003</v>
      </c>
      <c r="I583" s="45" t="s">
        <v>996</v>
      </c>
      <c r="J583" s="52">
        <f>IF(G554=65,V583,IF(G554=55,X583,IF(G554=551,Z583,IF(G554=60,AB583,IF(G554=601,AD583,IF(G554=70,AF583,IF(G554=75,AH583)))))))</f>
        <v>8</v>
      </c>
      <c r="K583" s="45">
        <v>8</v>
      </c>
      <c r="L583" s="47">
        <f>VLOOKUP($H:$H,型材表!$B$5:$I$45,4,0)</f>
        <v>1.7490000000000001</v>
      </c>
      <c r="M583" s="46">
        <f t="shared" si="77"/>
        <v>0.11193600000000001</v>
      </c>
      <c r="N583" s="72">
        <f>VLOOKUP($H:$H,型材表!$B$5:$I$45,7,0)</f>
        <v>0</v>
      </c>
      <c r="O583" s="46">
        <f t="shared" si="79"/>
        <v>0</v>
      </c>
      <c r="P583" s="100">
        <f>VLOOKUP($H:$H,型材表!$B$5:$I$45,5,0)</f>
        <v>0.125</v>
      </c>
      <c r="Q583" s="100" t="str">
        <f>VLOOKUP($H:$H,型材表!$B$5:$I$468,6,0)</f>
        <v>阳极氧化铝型材</v>
      </c>
      <c r="R583" s="49"/>
      <c r="S583" s="50"/>
      <c r="U583" s="374" t="s">
        <v>996</v>
      </c>
      <c r="V583" s="259">
        <f>9-1</f>
        <v>8</v>
      </c>
      <c r="X583" s="264">
        <f>9-1</f>
        <v>8</v>
      </c>
      <c r="Y583" s="265"/>
      <c r="Z583" s="264">
        <f>5.2-1</f>
        <v>4.2</v>
      </c>
      <c r="AA583" s="277"/>
      <c r="AB583" s="264">
        <f>9-1</f>
        <v>8</v>
      </c>
      <c r="AC583" s="277"/>
      <c r="AD583" s="264">
        <f>5.2-1</f>
        <v>4.2</v>
      </c>
      <c r="AE583" s="277"/>
      <c r="AF583" s="264">
        <f>9-1</f>
        <v>8</v>
      </c>
      <c r="AG583" s="277"/>
      <c r="AH583" s="264">
        <f>9-1</f>
        <v>8</v>
      </c>
      <c r="AI583" s="259"/>
    </row>
    <row r="584" spans="1:35" x14ac:dyDescent="0.15">
      <c r="A584" s="395">
        <v>16</v>
      </c>
      <c r="B584" s="534"/>
      <c r="C584" s="535"/>
      <c r="D584" s="535"/>
      <c r="E584" s="536"/>
      <c r="F584" s="47" t="str">
        <f>VLOOKUP($H:$H,型材表!$B$5:$I$45,2,0)</f>
        <v>中梃角码</v>
      </c>
      <c r="G584" s="51"/>
      <c r="H584" s="45" t="str">
        <f>IF(G554=65,"SN55F001","SN55F001")</f>
        <v>SN55F001</v>
      </c>
      <c r="I584" s="45" t="s">
        <v>997</v>
      </c>
      <c r="J584" s="52">
        <f t="shared" si="83"/>
        <v>18.5</v>
      </c>
      <c r="K584" s="45">
        <v>8</v>
      </c>
      <c r="L584" s="47">
        <f>VLOOKUP($H:$H,型材表!$B$5:$I$45,4,0)</f>
        <v>1.4730000000000001</v>
      </c>
      <c r="M584" s="46">
        <f t="shared" si="77"/>
        <v>0.21800400000000003</v>
      </c>
      <c r="N584" s="72">
        <f>VLOOKUP($H:$H,型材表!$B$5:$I$45,7,0)</f>
        <v>0</v>
      </c>
      <c r="O584" s="46">
        <f t="shared" si="79"/>
        <v>0</v>
      </c>
      <c r="P584" s="100">
        <f>VLOOKUP($H:$H,型材表!$B$5:$I$45,5,0)</f>
        <v>0.125</v>
      </c>
      <c r="Q584" s="100" t="str">
        <f>VLOOKUP($H:$H,型材表!$B$5:$I$468,6,0)</f>
        <v>阳极氧化铝型材</v>
      </c>
      <c r="R584" s="49"/>
      <c r="S584" s="50"/>
      <c r="U584" s="374" t="s">
        <v>997</v>
      </c>
      <c r="V584" s="259">
        <f>19.5-1</f>
        <v>18.5</v>
      </c>
      <c r="X584" s="264"/>
      <c r="Z584" s="264"/>
      <c r="AA584" s="259"/>
      <c r="AB584" s="264"/>
      <c r="AC584" s="259"/>
      <c r="AD584" s="264"/>
      <c r="AE584" s="259"/>
      <c r="AF584" s="264"/>
      <c r="AG584" s="259"/>
      <c r="AH584" s="264"/>
      <c r="AI584" s="259"/>
    </row>
    <row r="585" spans="1:35" x14ac:dyDescent="0.15">
      <c r="A585" s="395">
        <v>17</v>
      </c>
      <c r="B585" s="537"/>
      <c r="C585" s="538"/>
      <c r="D585" s="538"/>
      <c r="E585" s="539"/>
      <c r="F585" s="47" t="str">
        <f>VLOOKUP($H:$H,型材表!$B$5:$I$45,2,0)</f>
        <v>中梃角码</v>
      </c>
      <c r="G585" s="53"/>
      <c r="H585" s="45" t="str">
        <f>IF(G554=70,"SN70F001",IF(G554=75,"SN70F001",IF(G554=551,"SN55BF001",IF(G554=601,"SN55BF001","SN55F002"))))</f>
        <v>SN55F002</v>
      </c>
      <c r="I585" s="45" t="s">
        <v>939</v>
      </c>
      <c r="J585" s="52">
        <f t="shared" si="83"/>
        <v>13.5</v>
      </c>
      <c r="K585" s="55">
        <f>K584</f>
        <v>8</v>
      </c>
      <c r="L585" s="47">
        <f>VLOOKUP($H:$H,型材表!$B$5:$I$45,4,0)</f>
        <v>0.90400000000000003</v>
      </c>
      <c r="M585" s="46">
        <f t="shared" si="77"/>
        <v>9.763200000000001E-2</v>
      </c>
      <c r="N585" s="72">
        <f>VLOOKUP($H:$H,型材表!$B$5:$I$45,7,0)</f>
        <v>0</v>
      </c>
      <c r="O585" s="46">
        <f t="shared" si="79"/>
        <v>0</v>
      </c>
      <c r="P585" s="100">
        <f>VLOOKUP($H:$H,型材表!$B$5:$I$45,5,0)</f>
        <v>0.125</v>
      </c>
      <c r="Q585" s="100" t="str">
        <f>VLOOKUP($H:$H,型材表!$B$5:$I$468,6,0)</f>
        <v>阳极氧化铝型材</v>
      </c>
      <c r="R585" s="49"/>
      <c r="S585" s="50"/>
      <c r="U585" s="374" t="s">
        <v>939</v>
      </c>
      <c r="V585" s="259">
        <f>14.5-1</f>
        <v>13.5</v>
      </c>
      <c r="X585" s="264"/>
      <c r="Z585" s="264"/>
      <c r="AA585" s="259"/>
      <c r="AB585" s="264"/>
      <c r="AC585" s="259"/>
      <c r="AD585" s="264"/>
      <c r="AE585" s="259"/>
      <c r="AF585" s="264"/>
      <c r="AG585" s="259"/>
      <c r="AH585" s="264"/>
      <c r="AI585" s="259"/>
    </row>
    <row r="586" spans="1:35" x14ac:dyDescent="0.15">
      <c r="A586" s="395">
        <v>18</v>
      </c>
      <c r="B586" s="387"/>
      <c r="C586" s="388"/>
      <c r="D586" s="388"/>
      <c r="E586" s="389"/>
      <c r="F586" s="306"/>
      <c r="G586" s="53"/>
      <c r="H586" s="207"/>
      <c r="I586" s="207"/>
      <c r="J586" s="214"/>
      <c r="K586" s="55"/>
      <c r="L586" s="306"/>
      <c r="M586" s="208"/>
      <c r="N586" s="432"/>
      <c r="O586" s="208"/>
      <c r="P586" s="433"/>
      <c r="Q586" s="360"/>
      <c r="R586" s="60"/>
      <c r="S586" s="50"/>
      <c r="X586" s="264"/>
      <c r="Z586" s="264"/>
      <c r="AA586" s="259"/>
      <c r="AB586" s="264"/>
      <c r="AC586" s="259"/>
      <c r="AD586" s="264"/>
      <c r="AE586" s="259"/>
      <c r="AF586" s="264"/>
      <c r="AG586" s="259"/>
      <c r="AH586" s="264"/>
      <c r="AI586" s="259"/>
    </row>
    <row r="587" spans="1:35" x14ac:dyDescent="0.15">
      <c r="A587" s="395">
        <v>19</v>
      </c>
      <c r="B587" s="387"/>
      <c r="C587" s="388"/>
      <c r="D587" s="388"/>
      <c r="E587" s="389"/>
      <c r="F587" s="306"/>
      <c r="G587" s="53"/>
      <c r="H587" s="207"/>
      <c r="I587" s="207"/>
      <c r="J587" s="214"/>
      <c r="K587" s="55"/>
      <c r="L587" s="306"/>
      <c r="M587" s="208"/>
      <c r="N587" s="432"/>
      <c r="O587" s="208"/>
      <c r="P587" s="433"/>
      <c r="Q587" s="360"/>
      <c r="R587" s="60"/>
      <c r="S587" s="50"/>
      <c r="X587" s="264"/>
      <c r="Z587" s="264"/>
      <c r="AA587" s="259"/>
      <c r="AB587" s="264"/>
      <c r="AC587" s="259"/>
      <c r="AD587" s="264"/>
      <c r="AE587" s="259"/>
      <c r="AF587" s="264"/>
      <c r="AG587" s="259"/>
      <c r="AH587" s="264"/>
      <c r="AI587" s="259"/>
    </row>
    <row r="588" spans="1:35" x14ac:dyDescent="0.15">
      <c r="A588" s="395">
        <v>20</v>
      </c>
      <c r="B588" s="387"/>
      <c r="C588" s="388"/>
      <c r="D588" s="388"/>
      <c r="E588" s="389"/>
      <c r="F588" s="306"/>
      <c r="G588" s="53"/>
      <c r="H588" s="207"/>
      <c r="I588" s="207"/>
      <c r="J588" s="214"/>
      <c r="K588" s="55"/>
      <c r="L588" s="306"/>
      <c r="M588" s="208"/>
      <c r="N588" s="432"/>
      <c r="O588" s="208"/>
      <c r="P588" s="433"/>
      <c r="Q588" s="360"/>
      <c r="R588" s="60"/>
      <c r="S588" s="50"/>
      <c r="X588" s="264"/>
      <c r="Z588" s="264"/>
      <c r="AA588" s="259"/>
      <c r="AB588" s="264"/>
      <c r="AC588" s="259"/>
      <c r="AD588" s="264"/>
      <c r="AE588" s="259"/>
      <c r="AF588" s="264"/>
      <c r="AG588" s="259"/>
      <c r="AH588" s="264"/>
      <c r="AI588" s="259"/>
    </row>
    <row r="589" spans="1:35" x14ac:dyDescent="0.15">
      <c r="A589" s="395">
        <v>21</v>
      </c>
      <c r="B589" s="387"/>
      <c r="C589" s="388"/>
      <c r="D589" s="388"/>
      <c r="E589" s="389"/>
      <c r="F589" s="306"/>
      <c r="G589" s="53"/>
      <c r="H589" s="207"/>
      <c r="I589" s="207"/>
      <c r="J589" s="214"/>
      <c r="K589" s="55"/>
      <c r="L589" s="306"/>
      <c r="M589" s="208"/>
      <c r="N589" s="432"/>
      <c r="O589" s="208"/>
      <c r="P589" s="433"/>
      <c r="Q589" s="360"/>
      <c r="R589" s="60"/>
      <c r="S589" s="50"/>
      <c r="X589" s="264"/>
      <c r="Z589" s="264"/>
      <c r="AA589" s="259"/>
      <c r="AB589" s="264"/>
      <c r="AC589" s="259"/>
      <c r="AD589" s="264"/>
      <c r="AE589" s="259"/>
      <c r="AF589" s="264"/>
      <c r="AG589" s="259"/>
      <c r="AH589" s="264"/>
      <c r="AI589" s="259"/>
    </row>
    <row r="590" spans="1:35" x14ac:dyDescent="0.15">
      <c r="A590" s="563" t="s">
        <v>877</v>
      </c>
      <c r="B590" s="563"/>
      <c r="C590" s="563"/>
      <c r="D590" s="564"/>
      <c r="E590" s="564"/>
      <c r="F590" s="563"/>
      <c r="G590" s="563"/>
      <c r="H590" s="563"/>
      <c r="I590" s="563"/>
      <c r="J590" s="563"/>
      <c r="K590" s="563"/>
      <c r="L590" s="563"/>
      <c r="M590" s="46">
        <f>SUMIF($Q$569:$Q$585,A590,$M$569:$M$585)</f>
        <v>19.418500000000002</v>
      </c>
      <c r="N590" s="58"/>
      <c r="O590" s="46"/>
      <c r="P590" s="59"/>
      <c r="Q590" s="336"/>
      <c r="R590" s="60"/>
      <c r="S590" s="50"/>
      <c r="X590" s="264"/>
      <c r="Z590" s="264"/>
      <c r="AA590" s="259"/>
      <c r="AB590" s="264"/>
      <c r="AC590" s="259"/>
      <c r="AD590" s="264"/>
      <c r="AE590" s="259"/>
      <c r="AF590" s="264"/>
      <c r="AG590" s="259"/>
      <c r="AH590" s="264"/>
      <c r="AI590" s="259"/>
    </row>
    <row r="591" spans="1:35" x14ac:dyDescent="0.15">
      <c r="A591" s="563" t="s">
        <v>879</v>
      </c>
      <c r="B591" s="563"/>
      <c r="C591" s="563"/>
      <c r="D591" s="564"/>
      <c r="E591" s="564"/>
      <c r="F591" s="563"/>
      <c r="G591" s="563"/>
      <c r="H591" s="563"/>
      <c r="I591" s="563"/>
      <c r="J591" s="563"/>
      <c r="K591" s="563"/>
      <c r="L591" s="563"/>
      <c r="M591" s="46">
        <f t="shared" ref="M591:M592" si="84">SUMIF($Q$569:$Q$585,A591,$M$569:$M$585)</f>
        <v>3.0990047999999994</v>
      </c>
      <c r="N591" s="58"/>
      <c r="O591" s="46"/>
      <c r="P591" s="59"/>
      <c r="Q591" s="336"/>
      <c r="R591" s="60"/>
      <c r="S591" s="50"/>
      <c r="X591" s="264"/>
      <c r="Z591" s="264"/>
      <c r="AA591" s="259"/>
      <c r="AB591" s="264"/>
      <c r="AC591" s="259"/>
      <c r="AD591" s="264"/>
      <c r="AE591" s="259"/>
      <c r="AF591" s="264"/>
      <c r="AG591" s="259"/>
      <c r="AH591" s="264"/>
      <c r="AI591" s="259"/>
    </row>
    <row r="592" spans="1:35" x14ac:dyDescent="0.15">
      <c r="A592" s="563" t="s">
        <v>880</v>
      </c>
      <c r="B592" s="563"/>
      <c r="C592" s="563"/>
      <c r="D592" s="564"/>
      <c r="E592" s="564"/>
      <c r="F592" s="563"/>
      <c r="G592" s="563"/>
      <c r="H592" s="563"/>
      <c r="I592" s="563"/>
      <c r="J592" s="563"/>
      <c r="K592" s="563"/>
      <c r="L592" s="563"/>
      <c r="M592" s="46">
        <f t="shared" si="84"/>
        <v>1.0765912000000002</v>
      </c>
      <c r="N592" s="58"/>
      <c r="O592" s="46"/>
      <c r="P592" s="59"/>
      <c r="Q592" s="336"/>
      <c r="R592" s="60"/>
      <c r="S592" s="50"/>
      <c r="X592" s="264"/>
      <c r="Z592" s="264"/>
      <c r="AA592" s="259"/>
      <c r="AB592" s="264"/>
      <c r="AC592" s="259"/>
      <c r="AD592" s="264"/>
      <c r="AE592" s="259"/>
      <c r="AF592" s="264"/>
      <c r="AG592" s="259"/>
      <c r="AH592" s="264"/>
      <c r="AI592" s="259"/>
    </row>
    <row r="593" spans="1:35" x14ac:dyDescent="0.15">
      <c r="A593" s="61"/>
      <c r="B593" s="552"/>
      <c r="C593" s="557"/>
      <c r="D593" s="557"/>
      <c r="E593" s="553"/>
      <c r="F593" s="552" t="s">
        <v>48</v>
      </c>
      <c r="G593" s="557"/>
      <c r="H593" s="557"/>
      <c r="I593" s="557"/>
      <c r="J593" s="557"/>
      <c r="K593" s="557"/>
      <c r="L593" s="553"/>
      <c r="M593" s="62">
        <f>SUM(M590:M592)</f>
        <v>23.594096</v>
      </c>
      <c r="N593" s="63"/>
      <c r="O593" s="62">
        <f>SUM(O569:O585)</f>
        <v>0</v>
      </c>
      <c r="P593" s="63"/>
      <c r="Q593" s="337"/>
      <c r="R593" s="64"/>
      <c r="S593" s="64"/>
      <c r="X593" s="264"/>
      <c r="Z593" s="264"/>
      <c r="AA593" s="259"/>
      <c r="AB593" s="264"/>
      <c r="AC593" s="259"/>
      <c r="AD593" s="264"/>
      <c r="AE593" s="259"/>
      <c r="AF593" s="264"/>
      <c r="AG593" s="259"/>
      <c r="AH593" s="264"/>
      <c r="AI593" s="259"/>
    </row>
    <row r="594" spans="1:35" ht="24" x14ac:dyDescent="0.15">
      <c r="A594" s="65"/>
      <c r="B594" s="560" t="s">
        <v>49</v>
      </c>
      <c r="C594" s="561"/>
      <c r="D594" s="561"/>
      <c r="E594" s="562"/>
      <c r="F594" s="565" t="s">
        <v>26</v>
      </c>
      <c r="G594" s="566"/>
      <c r="H594" s="66" t="s">
        <v>1007</v>
      </c>
      <c r="I594" s="66" t="s">
        <v>1008</v>
      </c>
      <c r="J594" s="66" t="s">
        <v>50</v>
      </c>
      <c r="K594" s="66" t="s">
        <v>51</v>
      </c>
      <c r="L594" s="67" t="s">
        <v>30</v>
      </c>
      <c r="M594" s="66" t="s">
        <v>52</v>
      </c>
      <c r="N594" s="68" t="s">
        <v>53</v>
      </c>
      <c r="O594" s="68" t="s">
        <v>34</v>
      </c>
      <c r="P594" s="69" t="s">
        <v>35</v>
      </c>
      <c r="Q594" s="42"/>
      <c r="R594" s="67"/>
      <c r="S594" s="67"/>
      <c r="V594" s="270" t="s">
        <v>352</v>
      </c>
      <c r="W594" s="270" t="s">
        <v>353</v>
      </c>
      <c r="X594" s="271" t="s">
        <v>352</v>
      </c>
      <c r="Y594" s="272" t="s">
        <v>353</v>
      </c>
      <c r="Z594" s="271" t="s">
        <v>352</v>
      </c>
      <c r="AA594" s="272" t="s">
        <v>353</v>
      </c>
      <c r="AB594" s="271" t="s">
        <v>352</v>
      </c>
      <c r="AC594" s="272" t="s">
        <v>353</v>
      </c>
      <c r="AD594" s="271" t="s">
        <v>352</v>
      </c>
      <c r="AE594" s="272" t="s">
        <v>353</v>
      </c>
      <c r="AF594" s="271" t="s">
        <v>352</v>
      </c>
      <c r="AG594" s="272" t="s">
        <v>353</v>
      </c>
      <c r="AH594" s="271" t="s">
        <v>352</v>
      </c>
      <c r="AI594" s="272" t="s">
        <v>353</v>
      </c>
    </row>
    <row r="595" spans="1:35" ht="18" customHeight="1" x14ac:dyDescent="0.15">
      <c r="A595" s="57">
        <v>1</v>
      </c>
      <c r="B595" s="545" t="s">
        <v>133</v>
      </c>
      <c r="C595" s="546"/>
      <c r="D595" s="546"/>
      <c r="E595" s="547"/>
      <c r="F595" s="545" t="s">
        <v>55</v>
      </c>
      <c r="G595" s="547"/>
      <c r="H595" s="45" t="s">
        <v>1027</v>
      </c>
      <c r="I595" s="45" t="s">
        <v>1046</v>
      </c>
      <c r="J595" s="46">
        <f>IF(G554=65,M561-V595,IF(G554=55,M561-X595,IF(G554=551,M561-Z595,IF(G554=60,M561-AB595,IF(G554=601,M561-AD595,IF(G554=70,M561-AF595,IF(G554=75,M561-AH595)))))))</f>
        <v>475</v>
      </c>
      <c r="K595" s="70">
        <f>IF(G554=65,M558-W595,IF(G554=55,M558-Y595,IF(G554=551,M558-AA595,IF(G554=60,M558-AC595,IF(G554=601,M558-AE595,IF(G554=70,M558-AG595,IF(G554=75,M558-AI595)))))))</f>
        <v>625</v>
      </c>
      <c r="L595" s="70">
        <v>2</v>
      </c>
      <c r="M595" s="46">
        <f>J595*K595*L595/1000000</f>
        <v>0.59375</v>
      </c>
      <c r="N595" s="46"/>
      <c r="O595" s="46">
        <f>N595*M595</f>
        <v>0</v>
      </c>
      <c r="P595" s="71"/>
      <c r="Q595" s="240"/>
      <c r="R595" s="72"/>
      <c r="S595" s="72"/>
      <c r="T595" s="456" t="s">
        <v>1595</v>
      </c>
      <c r="U595" s="374" t="s">
        <v>1600</v>
      </c>
      <c r="V595" s="259">
        <f>70+55</f>
        <v>125</v>
      </c>
      <c r="W595" s="259">
        <f>70+55</f>
        <v>125</v>
      </c>
      <c r="X595" s="264">
        <f t="shared" ref="X595:AI595" si="85">72+57</f>
        <v>129</v>
      </c>
      <c r="Y595" s="259">
        <f t="shared" si="85"/>
        <v>129</v>
      </c>
      <c r="Z595" s="264">
        <f t="shared" si="85"/>
        <v>129</v>
      </c>
      <c r="AA595" s="259">
        <f t="shared" si="85"/>
        <v>129</v>
      </c>
      <c r="AB595" s="264">
        <f t="shared" si="85"/>
        <v>129</v>
      </c>
      <c r="AC595" s="259">
        <f t="shared" si="85"/>
        <v>129</v>
      </c>
      <c r="AD595" s="264">
        <f t="shared" si="85"/>
        <v>129</v>
      </c>
      <c r="AE595" s="259">
        <f t="shared" si="85"/>
        <v>129</v>
      </c>
      <c r="AF595" s="264">
        <f t="shared" si="85"/>
        <v>129</v>
      </c>
      <c r="AG595" s="259">
        <f t="shared" si="85"/>
        <v>129</v>
      </c>
      <c r="AH595" s="264">
        <f t="shared" si="85"/>
        <v>129</v>
      </c>
      <c r="AI595" s="259">
        <f t="shared" si="85"/>
        <v>129</v>
      </c>
    </row>
    <row r="596" spans="1:35" x14ac:dyDescent="0.15">
      <c r="A596" s="57">
        <v>2</v>
      </c>
      <c r="B596" s="545" t="s">
        <v>889</v>
      </c>
      <c r="C596" s="546"/>
      <c r="D596" s="546"/>
      <c r="E596" s="547"/>
      <c r="F596" s="545" t="s">
        <v>135</v>
      </c>
      <c r="G596" s="547"/>
      <c r="H596" s="45" t="s">
        <v>1060</v>
      </c>
      <c r="I596" s="45" t="s">
        <v>1047</v>
      </c>
      <c r="J596" s="46">
        <f>IF(G554=65,M561-V596,IF(G554=55,M561-X596,IF(G554=551,M561-Z596,IF(G554=60,M561-AB596,IF(G554=601,M561-AD596,IF(G554=70,M561-AF596,IF(G554=75,M561-AH596)))))))</f>
        <v>549</v>
      </c>
      <c r="K596" s="70">
        <f>IF(G554=65,M559-W596,IF(G554=55,M559-Y596,IF(G554=551,M559-AA596,IF(G554=60,M559-AC596,IF(G554=601,M559-AE596,IF(G554=70,M559-AG596,IF(G554=75,M559-AI596)))))))</f>
        <v>899</v>
      </c>
      <c r="L596" s="70">
        <v>2</v>
      </c>
      <c r="M596" s="46">
        <f>J596*K596*L596/1000000</f>
        <v>0.98710200000000003</v>
      </c>
      <c r="N596" s="46"/>
      <c r="O596" s="46">
        <f>N596*M596</f>
        <v>0</v>
      </c>
      <c r="P596" s="71"/>
      <c r="Q596" s="240"/>
      <c r="R596" s="72"/>
      <c r="S596" s="72"/>
      <c r="T596" s="456" t="s">
        <v>1602</v>
      </c>
      <c r="U596" s="374" t="s">
        <v>1601</v>
      </c>
      <c r="V596" s="259">
        <f>33+18</f>
        <v>51</v>
      </c>
      <c r="W596" s="259">
        <f>33+18</f>
        <v>51</v>
      </c>
      <c r="X596" s="264">
        <f t="shared" ref="X596:AI596" si="86">35+20</f>
        <v>55</v>
      </c>
      <c r="Y596" s="259">
        <f t="shared" si="86"/>
        <v>55</v>
      </c>
      <c r="Z596" s="264">
        <f t="shared" si="86"/>
        <v>55</v>
      </c>
      <c r="AA596" s="259">
        <f t="shared" si="86"/>
        <v>55</v>
      </c>
      <c r="AB596" s="264">
        <f t="shared" si="86"/>
        <v>55</v>
      </c>
      <c r="AC596" s="259">
        <f t="shared" si="86"/>
        <v>55</v>
      </c>
      <c r="AD596" s="264">
        <f t="shared" si="86"/>
        <v>55</v>
      </c>
      <c r="AE596" s="259">
        <f t="shared" si="86"/>
        <v>55</v>
      </c>
      <c r="AF596" s="264">
        <f t="shared" si="86"/>
        <v>55</v>
      </c>
      <c r="AG596" s="259">
        <f t="shared" si="86"/>
        <v>55</v>
      </c>
      <c r="AH596" s="264">
        <f t="shared" si="86"/>
        <v>55</v>
      </c>
      <c r="AI596" s="259">
        <f t="shared" si="86"/>
        <v>55</v>
      </c>
    </row>
    <row r="597" spans="1:35" x14ac:dyDescent="0.15">
      <c r="A597" s="395">
        <v>3</v>
      </c>
      <c r="B597" s="545" t="s">
        <v>824</v>
      </c>
      <c r="C597" s="546"/>
      <c r="D597" s="546"/>
      <c r="E597" s="547"/>
      <c r="F597" s="545" t="s">
        <v>145</v>
      </c>
      <c r="G597" s="547"/>
      <c r="H597" s="45" t="s">
        <v>1064</v>
      </c>
      <c r="I597" s="45" t="s">
        <v>1065</v>
      </c>
      <c r="J597" s="46">
        <f>IF(G554=65,M562-V597,IF(G554=55,M562-X597,IF(G554=551,M562-Z597,IF(G554=60,M562-AB597,IF(G554=601,M562-AD597,IF(G554=70,M562-AF597,IF(G554=75,M562-AH597)))))))</f>
        <v>664</v>
      </c>
      <c r="K597" s="70">
        <f>IF(G554=65,M556-W597,IF(G554=55,M556-Y597,IF(G554=551,M556-AA597,IF(G554=60,M556-AC597,IF(G554=601,M556-AE597,IF(G554=70,M556-AG597,IF(G554=75,M556-AI597)))))))</f>
        <v>1634</v>
      </c>
      <c r="L597" s="70">
        <v>1</v>
      </c>
      <c r="M597" s="46">
        <f>J597*K597*L597/1000000</f>
        <v>1.0849759999999999</v>
      </c>
      <c r="N597" s="46"/>
      <c r="O597" s="46">
        <f>N597*M597</f>
        <v>0</v>
      </c>
      <c r="P597" s="48"/>
      <c r="Q597" s="211"/>
      <c r="R597" s="73"/>
      <c r="S597" s="73"/>
      <c r="T597" s="456" t="s">
        <v>1603</v>
      </c>
      <c r="U597" s="374" t="s">
        <v>1604</v>
      </c>
      <c r="V597" s="259">
        <f>18*2</f>
        <v>36</v>
      </c>
      <c r="W597" s="259">
        <f>33*2</f>
        <v>66</v>
      </c>
      <c r="X597" s="264">
        <f>20*2</f>
        <v>40</v>
      </c>
      <c r="Y597" s="259">
        <f>35*2</f>
        <v>70</v>
      </c>
      <c r="Z597" s="264">
        <f>20*2</f>
        <v>40</v>
      </c>
      <c r="AA597" s="259">
        <f>35*2</f>
        <v>70</v>
      </c>
      <c r="AB597" s="264">
        <f>20*2</f>
        <v>40</v>
      </c>
      <c r="AC597" s="259">
        <f>35*2</f>
        <v>70</v>
      </c>
      <c r="AD597" s="264">
        <f>20*2</f>
        <v>40</v>
      </c>
      <c r="AE597" s="259">
        <f>35*2</f>
        <v>70</v>
      </c>
      <c r="AF597" s="264">
        <f>20*2</f>
        <v>40</v>
      </c>
      <c r="AG597" s="259">
        <f>35*2</f>
        <v>70</v>
      </c>
      <c r="AH597" s="264">
        <f>20*2</f>
        <v>40</v>
      </c>
      <c r="AI597" s="259">
        <f>35*2</f>
        <v>70</v>
      </c>
    </row>
    <row r="598" spans="1:35" x14ac:dyDescent="0.15">
      <c r="A598" s="396"/>
      <c r="B598" s="434"/>
      <c r="C598" s="435"/>
      <c r="D598" s="435"/>
      <c r="E598" s="436"/>
      <c r="F598" s="434"/>
      <c r="G598" s="436"/>
      <c r="H598" s="207"/>
      <c r="I598" s="207"/>
      <c r="J598" s="208"/>
      <c r="K598" s="239"/>
      <c r="L598" s="239"/>
      <c r="M598" s="208"/>
      <c r="N598" s="208"/>
      <c r="O598" s="208"/>
      <c r="P598" s="437"/>
      <c r="Q598" s="336"/>
      <c r="R598" s="117"/>
      <c r="S598" s="117"/>
      <c r="X598" s="265"/>
      <c r="Z598" s="265"/>
      <c r="AA598" s="259"/>
      <c r="AB598" s="265"/>
      <c r="AC598" s="259"/>
      <c r="AD598" s="265"/>
      <c r="AE598" s="259"/>
      <c r="AF598" s="265"/>
      <c r="AG598" s="259"/>
      <c r="AH598" s="265"/>
      <c r="AI598" s="259"/>
    </row>
    <row r="599" spans="1:35" x14ac:dyDescent="0.15">
      <c r="A599" s="396"/>
      <c r="B599" s="434"/>
      <c r="C599" s="435"/>
      <c r="D599" s="435"/>
      <c r="E599" s="436"/>
      <c r="F599" s="434"/>
      <c r="G599" s="436"/>
      <c r="H599" s="207"/>
      <c r="I599" s="207"/>
      <c r="J599" s="208"/>
      <c r="K599" s="239"/>
      <c r="L599" s="239"/>
      <c r="M599" s="208"/>
      <c r="N599" s="208"/>
      <c r="O599" s="208"/>
      <c r="P599" s="437"/>
      <c r="Q599" s="336"/>
      <c r="R599" s="117"/>
      <c r="S599" s="117"/>
      <c r="X599" s="265"/>
      <c r="Z599" s="265"/>
      <c r="AA599" s="259"/>
      <c r="AB599" s="265"/>
      <c r="AC599" s="259"/>
      <c r="AD599" s="265"/>
      <c r="AE599" s="259"/>
      <c r="AF599" s="265"/>
      <c r="AG599" s="259"/>
      <c r="AH599" s="265"/>
      <c r="AI599" s="259"/>
    </row>
    <row r="600" spans="1:35" x14ac:dyDescent="0.15">
      <c r="A600" s="396"/>
      <c r="B600" s="434"/>
      <c r="C600" s="435"/>
      <c r="D600" s="435"/>
      <c r="E600" s="436"/>
      <c r="F600" s="434"/>
      <c r="G600" s="436"/>
      <c r="H600" s="207"/>
      <c r="I600" s="207"/>
      <c r="J600" s="208"/>
      <c r="K600" s="239"/>
      <c r="L600" s="239"/>
      <c r="M600" s="208"/>
      <c r="N600" s="208"/>
      <c r="O600" s="208"/>
      <c r="P600" s="437"/>
      <c r="Q600" s="336"/>
      <c r="R600" s="117"/>
      <c r="S600" s="117"/>
      <c r="X600" s="265"/>
      <c r="Z600" s="265"/>
      <c r="AA600" s="259"/>
      <c r="AB600" s="265"/>
      <c r="AC600" s="259"/>
      <c r="AD600" s="265"/>
      <c r="AE600" s="259"/>
      <c r="AF600" s="265"/>
      <c r="AG600" s="259"/>
      <c r="AH600" s="265"/>
      <c r="AI600" s="259"/>
    </row>
    <row r="601" spans="1:35" x14ac:dyDescent="0.15">
      <c r="A601" s="74"/>
      <c r="B601" s="552"/>
      <c r="C601" s="557"/>
      <c r="D601" s="557"/>
      <c r="E601" s="553"/>
      <c r="F601" s="554" t="s">
        <v>56</v>
      </c>
      <c r="G601" s="554"/>
      <c r="H601" s="554"/>
      <c r="I601" s="554"/>
      <c r="J601" s="570"/>
      <c r="K601" s="570"/>
      <c r="L601" s="554"/>
      <c r="M601" s="62">
        <f>SUM(M595:M600)</f>
        <v>2.6658280000000003</v>
      </c>
      <c r="N601" s="75"/>
      <c r="O601" s="62">
        <f>SUM(O595:O600)</f>
        <v>0</v>
      </c>
      <c r="P601" s="63" t="s">
        <v>57</v>
      </c>
      <c r="Q601" s="337"/>
      <c r="R601" s="64"/>
      <c r="S601" s="64"/>
    </row>
    <row r="602" spans="1:35" ht="24" x14ac:dyDescent="0.15">
      <c r="A602" s="65"/>
      <c r="B602" s="560" t="s">
        <v>58</v>
      </c>
      <c r="C602" s="561"/>
      <c r="D602" s="561"/>
      <c r="E602" s="562"/>
      <c r="F602" s="565" t="s">
        <v>26</v>
      </c>
      <c r="G602" s="566"/>
      <c r="H602" s="66" t="s">
        <v>59</v>
      </c>
      <c r="I602" s="66"/>
      <c r="J602" s="66" t="s">
        <v>60</v>
      </c>
      <c r="K602" s="66" t="s">
        <v>6</v>
      </c>
      <c r="L602" s="67" t="s">
        <v>61</v>
      </c>
      <c r="M602" s="66" t="s">
        <v>30</v>
      </c>
      <c r="N602" s="68" t="s">
        <v>62</v>
      </c>
      <c r="O602" s="68" t="s">
        <v>34</v>
      </c>
      <c r="P602" s="69" t="s">
        <v>57</v>
      </c>
      <c r="Q602" s="42"/>
      <c r="R602" s="67"/>
      <c r="S602" s="67"/>
    </row>
    <row r="603" spans="1:35" ht="25.5" customHeight="1" x14ac:dyDescent="0.15">
      <c r="A603" s="57">
        <v>1</v>
      </c>
      <c r="B603" s="545"/>
      <c r="C603" s="546"/>
      <c r="D603" s="546"/>
      <c r="E603" s="547"/>
      <c r="F603" s="545" t="s">
        <v>63</v>
      </c>
      <c r="G603" s="547"/>
      <c r="H603" s="45"/>
      <c r="I603" s="45"/>
      <c r="J603" s="45"/>
      <c r="K603" s="46" t="str">
        <f>VLOOKUP($F:$F,材料单价表!$B$3:$G$42,4,0)</f>
        <v>套</v>
      </c>
      <c r="L603" s="72"/>
      <c r="M603" s="46">
        <v>2</v>
      </c>
      <c r="N603" s="46">
        <f>VLOOKUP($F:$F,材料单价表!$B$3:$G$42,5,0)</f>
        <v>0</v>
      </c>
      <c r="O603" s="46">
        <f t="shared" ref="O603" si="87">N603*M603</f>
        <v>0</v>
      </c>
      <c r="P603" s="48"/>
      <c r="Q603" s="211"/>
      <c r="R603" s="73"/>
      <c r="S603" s="73"/>
    </row>
    <row r="604" spans="1:35" x14ac:dyDescent="0.15">
      <c r="A604" s="74"/>
      <c r="B604" s="552"/>
      <c r="C604" s="557"/>
      <c r="D604" s="557"/>
      <c r="E604" s="553"/>
      <c r="F604" s="554" t="s">
        <v>64</v>
      </c>
      <c r="G604" s="554"/>
      <c r="H604" s="554"/>
      <c r="I604" s="554"/>
      <c r="J604" s="570"/>
      <c r="K604" s="570"/>
      <c r="L604" s="554"/>
      <c r="M604" s="62">
        <f>M603</f>
        <v>2</v>
      </c>
      <c r="N604" s="75"/>
      <c r="O604" s="62">
        <f>SUM(O603:O603)</f>
        <v>0</v>
      </c>
      <c r="P604" s="63" t="s">
        <v>57</v>
      </c>
      <c r="Q604" s="337"/>
      <c r="R604" s="64"/>
      <c r="S604" s="64"/>
    </row>
    <row r="605" spans="1:35" ht="24" x14ac:dyDescent="0.15">
      <c r="A605" s="65"/>
      <c r="B605" s="560" t="s">
        <v>65</v>
      </c>
      <c r="C605" s="561"/>
      <c r="D605" s="561"/>
      <c r="E605" s="562"/>
      <c r="F605" s="565" t="s">
        <v>26</v>
      </c>
      <c r="G605" s="566"/>
      <c r="H605" s="66" t="s">
        <v>59</v>
      </c>
      <c r="I605" s="66"/>
      <c r="J605" s="66" t="s">
        <v>60</v>
      </c>
      <c r="K605" s="66" t="s">
        <v>6</v>
      </c>
      <c r="L605" s="67" t="s">
        <v>61</v>
      </c>
      <c r="M605" s="66" t="s">
        <v>30</v>
      </c>
      <c r="N605" s="68" t="s">
        <v>62</v>
      </c>
      <c r="O605" s="68" t="s">
        <v>34</v>
      </c>
      <c r="P605" s="69" t="s">
        <v>57</v>
      </c>
      <c r="Q605" s="42"/>
      <c r="R605" s="67"/>
      <c r="S605" s="67"/>
    </row>
    <row r="606" spans="1:35" ht="13.5" customHeight="1" x14ac:dyDescent="0.15">
      <c r="A606" s="76">
        <v>1</v>
      </c>
      <c r="B606" s="545"/>
      <c r="C606" s="546"/>
      <c r="D606" s="546"/>
      <c r="E606" s="547"/>
      <c r="F606" s="558" t="s">
        <v>66</v>
      </c>
      <c r="G606" s="559"/>
      <c r="H606" s="78"/>
      <c r="I606" s="78"/>
      <c r="J606" s="77"/>
      <c r="K606" s="46" t="str">
        <f>VLOOKUP($F:$F,材料单价表!$B$3:$G$42,4,0)</f>
        <v>m</v>
      </c>
      <c r="L606" s="46"/>
      <c r="M606" s="80">
        <f>M567</f>
        <v>7.6</v>
      </c>
      <c r="N606" s="46">
        <f>VLOOKUP($F:$F,材料单价表!$B$3:$G$42,5,0)</f>
        <v>0</v>
      </c>
      <c r="O606" s="46">
        <f>N606*M606</f>
        <v>0</v>
      </c>
      <c r="P606" s="48"/>
      <c r="Q606" s="59"/>
      <c r="R606" s="81"/>
      <c r="S606" s="79"/>
    </row>
    <row r="607" spans="1:35" ht="15.75" customHeight="1" x14ac:dyDescent="0.15">
      <c r="A607" s="76">
        <v>2</v>
      </c>
      <c r="B607" s="545"/>
      <c r="C607" s="546"/>
      <c r="D607" s="546"/>
      <c r="E607" s="547"/>
      <c r="F607" s="558" t="s">
        <v>68</v>
      </c>
      <c r="G607" s="559"/>
      <c r="H607" s="78" t="s">
        <v>67</v>
      </c>
      <c r="I607" s="78"/>
      <c r="J607" s="77"/>
      <c r="K607" s="46" t="str">
        <f>VLOOKUP($F:$F,材料单价表!$B$3:$G$42,4,0)</f>
        <v>m</v>
      </c>
      <c r="L607" s="46"/>
      <c r="M607" s="80">
        <f>(J575*K575+J580*K580+J576*K576+J577*K577+J578*K578+J579*K579)/1000*2</f>
        <v>30.382400000000001</v>
      </c>
      <c r="N607" s="46">
        <f>VLOOKUP($F:$F,材料单价表!$B$3:$G$42,5,0)</f>
        <v>0</v>
      </c>
      <c r="O607" s="46">
        <f t="shared" ref="O607:O613" si="88">N607*M607</f>
        <v>0</v>
      </c>
      <c r="P607" s="48"/>
      <c r="Q607" s="59"/>
      <c r="R607" s="81"/>
      <c r="S607" s="79"/>
      <c r="V607" s="104"/>
      <c r="W607" s="104"/>
    </row>
    <row r="608" spans="1:35" ht="13.5" customHeight="1" x14ac:dyDescent="0.15">
      <c r="A608" s="76">
        <v>3</v>
      </c>
      <c r="B608" s="545"/>
      <c r="C608" s="546"/>
      <c r="D608" s="546"/>
      <c r="E608" s="547"/>
      <c r="F608" s="558" t="s">
        <v>68</v>
      </c>
      <c r="G608" s="559"/>
      <c r="H608" s="78" t="s">
        <v>69</v>
      </c>
      <c r="I608" s="78"/>
      <c r="J608" s="77"/>
      <c r="K608" s="46" t="str">
        <f>VLOOKUP($F:$F,材料单价表!$B$3:$G$42,4,0)</f>
        <v>m</v>
      </c>
      <c r="L608" s="46"/>
      <c r="M608" s="80">
        <f>M567</f>
        <v>7.6</v>
      </c>
      <c r="N608" s="46">
        <f>VLOOKUP($F:$F,材料单价表!$B$3:$G$42,5,0)</f>
        <v>0</v>
      </c>
      <c r="O608" s="46">
        <f t="shared" si="88"/>
        <v>0</v>
      </c>
      <c r="P608" s="48"/>
      <c r="Q608" s="59"/>
      <c r="R608" s="81"/>
      <c r="S608" s="79"/>
      <c r="V608" s="104"/>
      <c r="W608" s="104"/>
    </row>
    <row r="609" spans="1:23" ht="13.5" customHeight="1" x14ac:dyDescent="0.15">
      <c r="A609" s="76">
        <v>4</v>
      </c>
      <c r="B609" s="545"/>
      <c r="C609" s="546"/>
      <c r="D609" s="546"/>
      <c r="E609" s="547"/>
      <c r="F609" s="558" t="s">
        <v>68</v>
      </c>
      <c r="G609" s="559"/>
      <c r="H609" s="78" t="s">
        <v>70</v>
      </c>
      <c r="I609" s="78"/>
      <c r="J609" s="77"/>
      <c r="K609" s="46" t="str">
        <f>VLOOKUP($F:$F,材料单价表!$B$3:$G$42,4,0)</f>
        <v>m</v>
      </c>
      <c r="L609" s="46"/>
      <c r="M609" s="80">
        <f>M567</f>
        <v>7.6</v>
      </c>
      <c r="N609" s="46">
        <f>VLOOKUP($F:$F,材料单价表!$B$3:$G$42,5,0)</f>
        <v>0</v>
      </c>
      <c r="O609" s="46">
        <f t="shared" si="88"/>
        <v>0</v>
      </c>
      <c r="P609" s="48"/>
      <c r="Q609" s="59"/>
      <c r="R609" s="81"/>
      <c r="S609" s="79"/>
      <c r="V609" s="104"/>
      <c r="W609" s="104"/>
    </row>
    <row r="610" spans="1:23" ht="13.5" customHeight="1" x14ac:dyDescent="0.15">
      <c r="A610" s="76">
        <v>5</v>
      </c>
      <c r="B610" s="545"/>
      <c r="C610" s="546"/>
      <c r="D610" s="546"/>
      <c r="E610" s="547"/>
      <c r="F610" s="558" t="s">
        <v>71</v>
      </c>
      <c r="G610" s="559"/>
      <c r="H610" s="78"/>
      <c r="I610" s="78"/>
      <c r="J610" s="77"/>
      <c r="K610" s="46" t="str">
        <f>VLOOKUP($F:$F,材料单价表!$B$3:$G$42,4,0)</f>
        <v>个</v>
      </c>
      <c r="L610" s="79"/>
      <c r="M610" s="80">
        <f>K581+K582+K584</f>
        <v>20</v>
      </c>
      <c r="N610" s="46">
        <f>VLOOKUP($F:$F,材料单价表!$B$3:$G$42,5,0)</f>
        <v>0</v>
      </c>
      <c r="O610" s="46">
        <f t="shared" si="88"/>
        <v>0</v>
      </c>
      <c r="P610" s="48"/>
      <c r="Q610" s="59"/>
      <c r="R610" s="81"/>
      <c r="S610" s="79"/>
    </row>
    <row r="611" spans="1:23" ht="13.5" customHeight="1" x14ac:dyDescent="0.15">
      <c r="A611" s="76">
        <v>6</v>
      </c>
      <c r="B611" s="545"/>
      <c r="C611" s="546"/>
      <c r="D611" s="546"/>
      <c r="E611" s="547"/>
      <c r="F611" s="558" t="s">
        <v>121</v>
      </c>
      <c r="G611" s="559"/>
      <c r="H611" s="78"/>
      <c r="I611" s="78"/>
      <c r="J611" s="77"/>
      <c r="K611" s="46" t="str">
        <f>VLOOKUP($F:$F,材料单价表!$B$3:$G$42,4,0)</f>
        <v>m</v>
      </c>
      <c r="L611" s="79"/>
      <c r="M611" s="80">
        <f>(J571*K571+J572*K572)/1000*2</f>
        <v>10.336</v>
      </c>
      <c r="N611" s="46">
        <f>VLOOKUP($F:$F,材料单价表!$B$3:$G$42,5,0)</f>
        <v>0</v>
      </c>
      <c r="O611" s="46">
        <f t="shared" si="88"/>
        <v>0</v>
      </c>
      <c r="P611" s="48"/>
      <c r="Q611" s="59"/>
      <c r="R611" s="81"/>
      <c r="S611" s="46"/>
    </row>
    <row r="612" spans="1:23" ht="13.5" customHeight="1" x14ac:dyDescent="0.15">
      <c r="A612" s="76">
        <v>7</v>
      </c>
      <c r="B612" s="545"/>
      <c r="C612" s="546"/>
      <c r="D612" s="546"/>
      <c r="E612" s="547"/>
      <c r="F612" s="558" t="s">
        <v>121</v>
      </c>
      <c r="G612" s="559"/>
      <c r="H612" s="78"/>
      <c r="I612" s="78"/>
      <c r="J612" s="77"/>
      <c r="K612" s="46" t="str">
        <f>VLOOKUP($F:$F,材料单价表!$B$3:$G$42,4,0)</f>
        <v>m</v>
      </c>
      <c r="L612" s="79"/>
      <c r="M612" s="80">
        <f>(J572*K572+J571*K571)/1000*1</f>
        <v>5.1680000000000001</v>
      </c>
      <c r="N612" s="46">
        <f>VLOOKUP($F:$F,材料单价表!$B$3:$G$42,5,0)</f>
        <v>0</v>
      </c>
      <c r="O612" s="46">
        <f t="shared" si="88"/>
        <v>0</v>
      </c>
      <c r="P612" s="48"/>
      <c r="Q612" s="59"/>
      <c r="R612" s="81"/>
      <c r="S612" s="46"/>
    </row>
    <row r="613" spans="1:23" x14ac:dyDescent="0.15">
      <c r="A613" s="76">
        <v>8</v>
      </c>
      <c r="B613" s="545"/>
      <c r="C613" s="546"/>
      <c r="D613" s="546"/>
      <c r="E613" s="547"/>
      <c r="F613" s="558" t="s">
        <v>72</v>
      </c>
      <c r="G613" s="559"/>
      <c r="H613" s="45"/>
      <c r="I613" s="45"/>
      <c r="J613" s="45"/>
      <c r="K613" s="46" t="str">
        <f>VLOOKUP($F:$F,材料单价表!$B$3:$G$42,4,0)</f>
        <v>m2</v>
      </c>
      <c r="L613" s="72"/>
      <c r="M613" s="46">
        <f>M618</f>
        <v>3.6</v>
      </c>
      <c r="N613" s="46">
        <f>VLOOKUP($F:$F,材料单价表!$B$3:$G$42,5,0)</f>
        <v>0</v>
      </c>
      <c r="O613" s="46">
        <f t="shared" si="88"/>
        <v>0</v>
      </c>
      <c r="P613" s="48"/>
      <c r="Q613" s="211"/>
      <c r="R613" s="73"/>
      <c r="S613" s="73"/>
    </row>
    <row r="614" spans="1:23" x14ac:dyDescent="0.15">
      <c r="A614" s="76">
        <v>9</v>
      </c>
      <c r="B614" s="545"/>
      <c r="C614" s="546"/>
      <c r="D614" s="546"/>
      <c r="E614" s="547"/>
      <c r="F614" s="558"/>
      <c r="G614" s="559"/>
      <c r="H614" s="45"/>
      <c r="I614" s="45"/>
      <c r="J614" s="45"/>
      <c r="K614" s="45"/>
      <c r="L614" s="72"/>
      <c r="M614" s="46"/>
      <c r="N614" s="46"/>
      <c r="O614" s="82"/>
      <c r="P614" s="48"/>
      <c r="Q614" s="211"/>
      <c r="R614" s="73"/>
      <c r="S614" s="73"/>
    </row>
    <row r="615" spans="1:23" x14ac:dyDescent="0.15">
      <c r="A615" s="74"/>
      <c r="B615" s="552"/>
      <c r="C615" s="557"/>
      <c r="D615" s="557"/>
      <c r="E615" s="553"/>
      <c r="F615" s="552" t="s">
        <v>73</v>
      </c>
      <c r="G615" s="557"/>
      <c r="H615" s="557"/>
      <c r="I615" s="557"/>
      <c r="J615" s="557"/>
      <c r="K615" s="557"/>
      <c r="L615" s="557"/>
      <c r="M615" s="61"/>
      <c r="N615" s="61"/>
      <c r="O615" s="62">
        <f>SUM(O606:O614)</f>
        <v>0</v>
      </c>
      <c r="P615" s="63" t="s">
        <v>57</v>
      </c>
      <c r="Q615" s="337"/>
      <c r="R615" s="64"/>
      <c r="S615" s="64"/>
    </row>
    <row r="616" spans="1:23" x14ac:dyDescent="0.15">
      <c r="A616" s="74"/>
      <c r="B616" s="552"/>
      <c r="C616" s="557"/>
      <c r="D616" s="557"/>
      <c r="E616" s="553"/>
      <c r="F616" s="552" t="s">
        <v>74</v>
      </c>
      <c r="G616" s="557"/>
      <c r="H616" s="557"/>
      <c r="I616" s="557"/>
      <c r="J616" s="557"/>
      <c r="K616" s="557"/>
      <c r="L616" s="557"/>
      <c r="M616" s="557"/>
      <c r="N616" s="553"/>
      <c r="O616" s="62">
        <f>O615+O604+O601+O593</f>
        <v>0</v>
      </c>
      <c r="P616" s="63" t="s">
        <v>57</v>
      </c>
      <c r="Q616" s="337"/>
      <c r="R616" s="64"/>
      <c r="S616" s="64"/>
    </row>
    <row r="617" spans="1:23" ht="24" x14ac:dyDescent="0.15">
      <c r="A617" s="65"/>
      <c r="B617" s="560" t="s">
        <v>75</v>
      </c>
      <c r="C617" s="561"/>
      <c r="D617" s="561"/>
      <c r="E617" s="562"/>
      <c r="F617" s="565" t="s">
        <v>26</v>
      </c>
      <c r="G617" s="566"/>
      <c r="H617" s="66"/>
      <c r="I617" s="66"/>
      <c r="J617" s="66"/>
      <c r="K617" s="66" t="s">
        <v>6</v>
      </c>
      <c r="L617" s="83" t="s">
        <v>61</v>
      </c>
      <c r="M617" s="66" t="s">
        <v>76</v>
      </c>
      <c r="N617" s="68" t="s">
        <v>62</v>
      </c>
      <c r="O617" s="68" t="s">
        <v>34</v>
      </c>
      <c r="P617" s="84" t="s">
        <v>57</v>
      </c>
      <c r="Q617" s="84"/>
      <c r="R617" s="67"/>
      <c r="S617" s="67"/>
    </row>
    <row r="618" spans="1:23" x14ac:dyDescent="0.15">
      <c r="A618" s="57">
        <v>1</v>
      </c>
      <c r="B618" s="545"/>
      <c r="C618" s="546"/>
      <c r="D618" s="546"/>
      <c r="E618" s="547"/>
      <c r="F618" s="545" t="s">
        <v>77</v>
      </c>
      <c r="G618" s="547"/>
      <c r="H618" s="45"/>
      <c r="I618" s="45"/>
      <c r="J618" s="46"/>
      <c r="K618" s="45" t="s">
        <v>78</v>
      </c>
      <c r="L618" s="72"/>
      <c r="M618" s="85">
        <f>O554</f>
        <v>3.6</v>
      </c>
      <c r="N618" s="46">
        <f>VLOOKUP($F:$F,材料单价表!$B$3:$G$42,5,0)</f>
        <v>0</v>
      </c>
      <c r="O618" s="46">
        <f>N618*M618</f>
        <v>0</v>
      </c>
      <c r="P618" s="48"/>
      <c r="Q618" s="211"/>
      <c r="R618" s="72"/>
      <c r="S618" s="72"/>
    </row>
    <row r="619" spans="1:23" x14ac:dyDescent="0.15">
      <c r="A619" s="57">
        <v>2</v>
      </c>
      <c r="B619" s="545"/>
      <c r="C619" s="546"/>
      <c r="D619" s="546"/>
      <c r="E619" s="547"/>
      <c r="F619" s="545" t="s">
        <v>79</v>
      </c>
      <c r="G619" s="547"/>
      <c r="H619" s="45"/>
      <c r="I619" s="45"/>
      <c r="J619" s="46"/>
      <c r="K619" s="45" t="s">
        <v>78</v>
      </c>
      <c r="L619" s="72"/>
      <c r="M619" s="85">
        <f>M618</f>
        <v>3.6</v>
      </c>
      <c r="N619" s="46">
        <f>VLOOKUP($F:$F,材料单价表!$B$3:$G$42,5,0)</f>
        <v>0</v>
      </c>
      <c r="O619" s="46">
        <f>N619*M619</f>
        <v>0</v>
      </c>
      <c r="P619" s="48"/>
      <c r="Q619" s="211"/>
      <c r="R619" s="72"/>
      <c r="S619" s="72"/>
    </row>
    <row r="620" spans="1:23" ht="24.75" customHeight="1" x14ac:dyDescent="0.15">
      <c r="A620" s="74"/>
      <c r="B620" s="552"/>
      <c r="C620" s="557"/>
      <c r="D620" s="557"/>
      <c r="E620" s="553"/>
      <c r="F620" s="552" t="s">
        <v>80</v>
      </c>
      <c r="G620" s="553"/>
      <c r="H620" s="86"/>
      <c r="I620" s="325"/>
      <c r="J620" s="554" t="s">
        <v>81</v>
      </c>
      <c r="K620" s="554"/>
      <c r="L620" s="554"/>
      <c r="M620" s="554"/>
      <c r="N620" s="87"/>
      <c r="O620" s="62">
        <f>O616+O618+O619</f>
        <v>0</v>
      </c>
      <c r="P620" s="63" t="s">
        <v>57</v>
      </c>
      <c r="Q620" s="337"/>
      <c r="R620" s="64"/>
      <c r="S620" s="64"/>
    </row>
    <row r="621" spans="1:23" ht="24" customHeight="1" x14ac:dyDescent="0.15">
      <c r="A621" s="74"/>
      <c r="B621" s="552"/>
      <c r="C621" s="557"/>
      <c r="D621" s="557"/>
      <c r="E621" s="553"/>
      <c r="F621" s="555" t="s">
        <v>82</v>
      </c>
      <c r="G621" s="556"/>
      <c r="H621" s="105"/>
      <c r="I621" s="324"/>
      <c r="J621" s="552" t="s">
        <v>81</v>
      </c>
      <c r="K621" s="557"/>
      <c r="L621" s="557"/>
      <c r="M621" s="557"/>
      <c r="N621" s="62"/>
      <c r="O621" s="62">
        <f>O620/O554</f>
        <v>0</v>
      </c>
      <c r="P621" s="89" t="s">
        <v>57</v>
      </c>
      <c r="Q621" s="89"/>
      <c r="R621" s="90"/>
      <c r="S621" s="90"/>
    </row>
    <row r="622" spans="1:23" ht="18.75" customHeight="1" x14ac:dyDescent="0.15">
      <c r="A622" s="549" t="s">
        <v>0</v>
      </c>
      <c r="B622" s="549"/>
      <c r="C622" s="549"/>
      <c r="D622" s="549"/>
      <c r="E622" s="549"/>
      <c r="F622" s="549"/>
      <c r="G622" s="549"/>
      <c r="H622" s="549"/>
      <c r="I622" s="549"/>
      <c r="J622" s="549"/>
      <c r="K622" s="549"/>
      <c r="L622" s="550"/>
      <c r="M622" s="549"/>
      <c r="N622" s="549"/>
      <c r="O622" s="549"/>
      <c r="P622" s="549"/>
      <c r="Q622" s="549"/>
      <c r="R622" s="551"/>
      <c r="S622" s="551"/>
    </row>
    <row r="623" spans="1:23" x14ac:dyDescent="0.15">
      <c r="A623" s="2" t="s">
        <v>1</v>
      </c>
      <c r="B623" s="339" t="str">
        <f>$B$2</f>
        <v>NC</v>
      </c>
      <c r="C623" s="3">
        <v>10</v>
      </c>
      <c r="D623" s="3"/>
      <c r="E623" s="3"/>
      <c r="F623" s="4" t="s">
        <v>2</v>
      </c>
      <c r="G623" s="5">
        <v>65</v>
      </c>
      <c r="H623" s="106" t="s">
        <v>86</v>
      </c>
      <c r="I623" s="106"/>
      <c r="J623" s="4" t="s">
        <v>3</v>
      </c>
      <c r="K623" s="6">
        <f>L626</f>
        <v>1300</v>
      </c>
      <c r="L623" s="7" t="s">
        <v>83</v>
      </c>
      <c r="M623" s="6">
        <f>L625</f>
        <v>1800</v>
      </c>
      <c r="N623" s="8" t="s">
        <v>4</v>
      </c>
      <c r="O623" s="9">
        <f>M635</f>
        <v>2.0933250000000001</v>
      </c>
      <c r="P623" s="10"/>
      <c r="Q623" s="10"/>
      <c r="R623" s="10" t="s">
        <v>5</v>
      </c>
      <c r="S623" s="11"/>
    </row>
    <row r="624" spans="1:23" ht="14.25" x14ac:dyDescent="0.2">
      <c r="A624" s="12"/>
      <c r="B624" s="13"/>
      <c r="C624" s="13"/>
      <c r="D624" s="13"/>
      <c r="E624" s="13"/>
      <c r="F624" s="14"/>
      <c r="G624" s="14"/>
      <c r="H624" s="15"/>
      <c r="I624" s="15"/>
      <c r="J624" s="16"/>
      <c r="K624" s="16" t="s">
        <v>6</v>
      </c>
      <c r="L624" s="17" t="s">
        <v>7</v>
      </c>
      <c r="M624" s="16" t="s">
        <v>8</v>
      </c>
      <c r="N624" s="18"/>
      <c r="O624" s="548" t="s">
        <v>940</v>
      </c>
      <c r="P624" s="548"/>
      <c r="Q624" s="16" t="s">
        <v>1018</v>
      </c>
      <c r="R624" s="529" t="s">
        <v>1066</v>
      </c>
      <c r="S624" s="530" t="s">
        <v>1592</v>
      </c>
    </row>
    <row r="625" spans="1:35" ht="14.25" x14ac:dyDescent="0.2">
      <c r="A625" s="398" t="s">
        <v>884</v>
      </c>
      <c r="B625" s="404" t="s">
        <v>896</v>
      </c>
      <c r="C625" s="22"/>
      <c r="D625" s="22"/>
      <c r="E625" s="22"/>
      <c r="F625" s="23"/>
      <c r="G625" s="23"/>
      <c r="H625" s="107"/>
      <c r="I625" s="107"/>
      <c r="J625" s="24" t="s">
        <v>9</v>
      </c>
      <c r="K625" s="16" t="s">
        <v>10</v>
      </c>
      <c r="L625" s="25">
        <v>1800</v>
      </c>
      <c r="M625" s="113">
        <f>L625-M634*2</f>
        <v>1700</v>
      </c>
      <c r="N625" s="18"/>
      <c r="O625" s="356" t="s">
        <v>941</v>
      </c>
      <c r="P625" s="357"/>
      <c r="Q625" s="16" t="s">
        <v>1019</v>
      </c>
      <c r="R625" s="529"/>
      <c r="S625" s="530"/>
    </row>
    <row r="626" spans="1:35" ht="14.25" x14ac:dyDescent="0.2">
      <c r="A626" s="21"/>
      <c r="B626" s="22"/>
      <c r="C626" s="22"/>
      <c r="D626" s="22"/>
      <c r="E626" s="22"/>
      <c r="F626" s="23"/>
      <c r="G626" s="23"/>
      <c r="H626" s="18"/>
      <c r="I626" s="18"/>
      <c r="J626" s="24" t="s">
        <v>11</v>
      </c>
      <c r="K626" s="16" t="s">
        <v>10</v>
      </c>
      <c r="L626" s="25">
        <v>1300</v>
      </c>
      <c r="M626" s="113">
        <f>L626-M634*2</f>
        <v>1200</v>
      </c>
      <c r="N626" s="18"/>
      <c r="O626" s="356" t="s">
        <v>924</v>
      </c>
      <c r="P626" s="357"/>
      <c r="Q626" s="16" t="s">
        <v>1020</v>
      </c>
      <c r="R626" s="529" t="s">
        <v>1067</v>
      </c>
      <c r="S626" s="530" t="s">
        <v>1086</v>
      </c>
    </row>
    <row r="627" spans="1:35" ht="14.25" x14ac:dyDescent="0.2">
      <c r="A627" s="21"/>
      <c r="B627" s="22"/>
      <c r="C627" s="22"/>
      <c r="D627" s="22"/>
      <c r="E627" s="22"/>
      <c r="F627" s="23"/>
      <c r="G627" s="23"/>
      <c r="H627" s="18"/>
      <c r="I627" s="18"/>
      <c r="J627" s="24" t="s">
        <v>12</v>
      </c>
      <c r="K627" s="16" t="s">
        <v>10</v>
      </c>
      <c r="L627" s="26"/>
      <c r="M627" s="113">
        <f>M625-M628-M629</f>
        <v>600</v>
      </c>
      <c r="N627" s="18"/>
      <c r="O627" s="356" t="s">
        <v>925</v>
      </c>
      <c r="P627" s="357"/>
      <c r="Q627" s="16" t="s">
        <v>1021</v>
      </c>
      <c r="R627" s="529"/>
      <c r="S627" s="530"/>
    </row>
    <row r="628" spans="1:35" ht="14.25" x14ac:dyDescent="0.2">
      <c r="A628" s="21"/>
      <c r="B628" s="22"/>
      <c r="C628" s="22"/>
      <c r="D628" s="22"/>
      <c r="E628" s="22"/>
      <c r="F628" s="23"/>
      <c r="G628" s="23"/>
      <c r="H628" s="18"/>
      <c r="I628" s="18"/>
      <c r="J628" s="24" t="s">
        <v>13</v>
      </c>
      <c r="K628" s="16" t="s">
        <v>10</v>
      </c>
      <c r="L628" s="26"/>
      <c r="M628" s="25">
        <v>500</v>
      </c>
      <c r="N628" s="540" t="s">
        <v>151</v>
      </c>
      <c r="O628" s="356" t="s">
        <v>926</v>
      </c>
      <c r="P628" s="357"/>
      <c r="Q628" s="16" t="s">
        <v>1022</v>
      </c>
      <c r="R628" s="27"/>
      <c r="S628" s="28"/>
    </row>
    <row r="629" spans="1:35" ht="14.25" x14ac:dyDescent="0.2">
      <c r="A629" s="21"/>
      <c r="B629" s="22"/>
      <c r="C629" s="22"/>
      <c r="D629" s="22"/>
      <c r="E629" s="22"/>
      <c r="F629" s="23"/>
      <c r="G629" s="23"/>
      <c r="H629" s="18"/>
      <c r="I629" s="18"/>
      <c r="J629" s="24" t="s">
        <v>14</v>
      </c>
      <c r="K629" s="16" t="s">
        <v>10</v>
      </c>
      <c r="L629" s="26"/>
      <c r="M629" s="113">
        <f>M626/2</f>
        <v>600</v>
      </c>
      <c r="N629" s="540"/>
      <c r="O629" s="356" t="s">
        <v>927</v>
      </c>
      <c r="P629" s="357"/>
      <c r="Q629" s="16" t="s">
        <v>1023</v>
      </c>
      <c r="R629" s="27"/>
      <c r="S629" s="28"/>
    </row>
    <row r="630" spans="1:35" ht="14.25" x14ac:dyDescent="0.2">
      <c r="A630" s="21"/>
      <c r="B630" s="22"/>
      <c r="C630" s="22"/>
      <c r="D630" s="22"/>
      <c r="E630" s="22"/>
      <c r="F630" s="23"/>
      <c r="G630" s="23"/>
      <c r="H630" s="18"/>
      <c r="I630" s="18"/>
      <c r="J630" s="24" t="s">
        <v>15</v>
      </c>
      <c r="K630" s="16" t="s">
        <v>10</v>
      </c>
      <c r="L630" s="26"/>
      <c r="M630" s="113">
        <f>M626/2</f>
        <v>600</v>
      </c>
      <c r="N630" s="540"/>
      <c r="O630" s="356" t="s">
        <v>928</v>
      </c>
      <c r="P630" s="357"/>
      <c r="Q630" s="16" t="s">
        <v>1005</v>
      </c>
      <c r="R630" s="27"/>
      <c r="S630" s="28"/>
    </row>
    <row r="631" spans="1:35" ht="14.25" x14ac:dyDescent="0.2">
      <c r="A631" s="21"/>
      <c r="B631" s="22"/>
      <c r="C631" s="22"/>
      <c r="D631" s="22"/>
      <c r="E631" s="22"/>
      <c r="F631" s="23"/>
      <c r="G631" s="23"/>
      <c r="H631" s="18"/>
      <c r="I631" s="18"/>
      <c r="J631" s="24" t="s">
        <v>16</v>
      </c>
      <c r="K631" s="16" t="s">
        <v>10</v>
      </c>
      <c r="L631" s="26"/>
      <c r="M631" s="113"/>
      <c r="N631" s="540"/>
      <c r="O631" s="356" t="s">
        <v>929</v>
      </c>
      <c r="P631" s="357"/>
      <c r="Q631" s="16" t="s">
        <v>1024</v>
      </c>
      <c r="R631" s="27"/>
      <c r="S631" s="28"/>
    </row>
    <row r="632" spans="1:35" ht="14.25" x14ac:dyDescent="0.2">
      <c r="A632" s="21"/>
      <c r="B632" s="22"/>
      <c r="C632" s="22"/>
      <c r="D632" s="22"/>
      <c r="E632" s="22"/>
      <c r="F632" s="23"/>
      <c r="G632" s="23"/>
      <c r="H632" s="18"/>
      <c r="I632" s="18"/>
      <c r="J632" s="24" t="s">
        <v>17</v>
      </c>
      <c r="K632" s="16" t="s">
        <v>10</v>
      </c>
      <c r="L632" s="26"/>
      <c r="M632" s="113"/>
      <c r="N632" s="540"/>
      <c r="O632" s="356" t="s">
        <v>930</v>
      </c>
      <c r="P632" s="357"/>
      <c r="Q632" s="16" t="s">
        <v>931</v>
      </c>
      <c r="R632" s="27"/>
      <c r="S632" s="28"/>
    </row>
    <row r="633" spans="1:35" ht="14.25" x14ac:dyDescent="0.2">
      <c r="A633" s="21"/>
      <c r="B633" s="22"/>
      <c r="C633" s="22"/>
      <c r="D633" s="22"/>
      <c r="E633" s="22"/>
      <c r="F633" s="23"/>
      <c r="G633" s="23"/>
      <c r="H633" s="18"/>
      <c r="I633" s="18"/>
      <c r="J633" s="24" t="s">
        <v>18</v>
      </c>
      <c r="K633" s="16" t="s">
        <v>10</v>
      </c>
      <c r="L633" s="26"/>
      <c r="M633" s="113"/>
      <c r="N633" s="540"/>
      <c r="O633" s="356" t="s">
        <v>932</v>
      </c>
      <c r="P633" s="357"/>
      <c r="Q633" s="16" t="s">
        <v>933</v>
      </c>
      <c r="R633" s="27"/>
      <c r="S633" s="28"/>
    </row>
    <row r="634" spans="1:35" ht="14.25" x14ac:dyDescent="0.2">
      <c r="A634" s="21"/>
      <c r="B634" s="22"/>
      <c r="C634" s="22"/>
      <c r="D634" s="22"/>
      <c r="E634" s="22"/>
      <c r="F634" s="23"/>
      <c r="G634" s="23"/>
      <c r="H634" s="18"/>
      <c r="I634" s="18"/>
      <c r="J634" s="24" t="s">
        <v>19</v>
      </c>
      <c r="K634" s="16" t="s">
        <v>10</v>
      </c>
      <c r="L634" s="26"/>
      <c r="M634" s="25">
        <v>50</v>
      </c>
      <c r="N634" s="540"/>
      <c r="O634" s="356" t="s">
        <v>934</v>
      </c>
      <c r="P634" s="357"/>
      <c r="Q634" s="16" t="s">
        <v>935</v>
      </c>
      <c r="R634" s="27"/>
      <c r="S634" s="28"/>
    </row>
    <row r="635" spans="1:35" ht="14.25" x14ac:dyDescent="0.2">
      <c r="A635" s="21"/>
      <c r="B635" s="22"/>
      <c r="C635" s="22"/>
      <c r="D635" s="22"/>
      <c r="E635" s="22"/>
      <c r="F635" s="23"/>
      <c r="G635" s="23"/>
      <c r="H635" s="18"/>
      <c r="I635" s="18"/>
      <c r="J635" s="29" t="s">
        <v>449</v>
      </c>
      <c r="K635" s="16" t="s">
        <v>21</v>
      </c>
      <c r="L635" s="30"/>
      <c r="M635" s="31">
        <f>((M627+M628)*L626+3.14*L626*L626/8)/1000000</f>
        <v>2.0933250000000001</v>
      </c>
      <c r="N635" s="540"/>
      <c r="O635" s="356" t="s">
        <v>936</v>
      </c>
      <c r="P635" s="357"/>
      <c r="Q635" s="16" t="s">
        <v>937</v>
      </c>
      <c r="R635" s="27"/>
      <c r="S635" s="28"/>
    </row>
    <row r="636" spans="1:35" ht="14.25" x14ac:dyDescent="0.2">
      <c r="A636" s="32"/>
      <c r="B636" s="33"/>
      <c r="C636" s="33"/>
      <c r="D636" s="33"/>
      <c r="E636" s="33"/>
      <c r="F636" s="34"/>
      <c r="G636" s="34"/>
      <c r="H636" s="35"/>
      <c r="I636" s="35"/>
      <c r="J636" s="29" t="s">
        <v>450</v>
      </c>
      <c r="K636" s="16" t="s">
        <v>23</v>
      </c>
      <c r="L636" s="30"/>
      <c r="M636" s="36">
        <f>(L626+M627*2+M628*2)/1000+3.14*L626/2/1000</f>
        <v>5.5410000000000004</v>
      </c>
      <c r="N636" s="541"/>
      <c r="O636" s="356" t="s">
        <v>938</v>
      </c>
      <c r="P636" s="357"/>
      <c r="Q636" s="16" t="s">
        <v>939</v>
      </c>
      <c r="R636" s="37"/>
      <c r="S636" s="38"/>
    </row>
    <row r="637" spans="1:35" ht="36" x14ac:dyDescent="0.15">
      <c r="A637" s="39" t="s">
        <v>24</v>
      </c>
      <c r="B637" s="560" t="s">
        <v>25</v>
      </c>
      <c r="C637" s="561"/>
      <c r="D637" s="561"/>
      <c r="E637" s="562"/>
      <c r="F637" s="40" t="s">
        <v>26</v>
      </c>
      <c r="G637" s="40" t="s">
        <v>27</v>
      </c>
      <c r="H637" s="40" t="s">
        <v>28</v>
      </c>
      <c r="I637" s="40" t="s">
        <v>898</v>
      </c>
      <c r="J637" s="40" t="s">
        <v>29</v>
      </c>
      <c r="K637" s="40" t="s">
        <v>30</v>
      </c>
      <c r="L637" s="41" t="s">
        <v>31</v>
      </c>
      <c r="M637" s="40" t="s">
        <v>32</v>
      </c>
      <c r="N637" s="40" t="s">
        <v>33</v>
      </c>
      <c r="O637" s="40" t="s">
        <v>34</v>
      </c>
      <c r="P637" s="42" t="s">
        <v>35</v>
      </c>
      <c r="Q637" s="338" t="s">
        <v>875</v>
      </c>
      <c r="R637" s="43" t="s">
        <v>36</v>
      </c>
      <c r="S637" s="43" t="s">
        <v>37</v>
      </c>
      <c r="V637" s="280" t="s">
        <v>127</v>
      </c>
      <c r="W637" s="261"/>
      <c r="X637" s="273" t="s">
        <v>128</v>
      </c>
      <c r="Y637" s="261"/>
      <c r="Z637" s="273" t="s">
        <v>438</v>
      </c>
      <c r="AA637" s="261"/>
      <c r="AB637" s="273" t="s">
        <v>439</v>
      </c>
      <c r="AC637" s="261"/>
      <c r="AD637" s="273" t="s">
        <v>440</v>
      </c>
      <c r="AE637" s="261"/>
      <c r="AF637" s="273" t="s">
        <v>441</v>
      </c>
      <c r="AG637" s="261"/>
      <c r="AH637" s="273" t="s">
        <v>442</v>
      </c>
      <c r="AI637" s="261"/>
    </row>
    <row r="638" spans="1:35" x14ac:dyDescent="0.15">
      <c r="A638" s="111">
        <v>1</v>
      </c>
      <c r="B638" s="531" t="s">
        <v>38</v>
      </c>
      <c r="C638" s="532"/>
      <c r="D638" s="532"/>
      <c r="E638" s="533"/>
      <c r="F638" s="47" t="str">
        <f>VLOOKUP($H:$H,型材表!$B$5:$I$45,2,0)</f>
        <v>窗框</v>
      </c>
      <c r="G638" s="45" t="s">
        <v>39</v>
      </c>
      <c r="H638" s="45" t="str">
        <f>IF(G623=65,"SN65AK001",IF(G623=55,"SN55K001",IF(G623=551,"SN55BK001",IF(G623=60,"SN60K001",IF(G623=601,"SN60AK001",IF(G623=70,"SN70K001",IF(G623=75,"SN75K001")))))))</f>
        <v>SN65AK001</v>
      </c>
      <c r="I638" s="45" t="s">
        <v>902</v>
      </c>
      <c r="J638" s="46">
        <f>M627+M628-8</f>
        <v>1092</v>
      </c>
      <c r="K638" s="45">
        <v>2</v>
      </c>
      <c r="L638" s="47">
        <f>VLOOKUP($H:$H,型材表!$B$5:$I$45,4,0)</f>
        <v>1.02</v>
      </c>
      <c r="M638" s="46">
        <f>J638*K638*L638/1000</f>
        <v>2.2276799999999999</v>
      </c>
      <c r="N638" s="72">
        <f>VLOOKUP($H:$H,型材表!$B$5:$I$45,7,0)</f>
        <v>0</v>
      </c>
      <c r="O638" s="46">
        <f>N638*M638</f>
        <v>0</v>
      </c>
      <c r="P638" s="100">
        <f>VLOOKUP($H:$H,型材表!$B$5:$I$45,5,0)</f>
        <v>0.125</v>
      </c>
      <c r="Q638" s="307"/>
      <c r="R638" s="49"/>
      <c r="S638" s="50"/>
      <c r="X638" s="264"/>
      <c r="Z638" s="264"/>
      <c r="AA638" s="259"/>
      <c r="AB638" s="264"/>
      <c r="AC638" s="259"/>
      <c r="AD638" s="264"/>
      <c r="AE638" s="259"/>
      <c r="AF638" s="264"/>
      <c r="AG638" s="259"/>
      <c r="AH638" s="264"/>
      <c r="AI638" s="259"/>
    </row>
    <row r="639" spans="1:35" x14ac:dyDescent="0.15">
      <c r="A639" s="111">
        <v>2</v>
      </c>
      <c r="B639" s="534"/>
      <c r="C639" s="535"/>
      <c r="D639" s="535"/>
      <c r="E639" s="536"/>
      <c r="F639" s="47" t="str">
        <f>VLOOKUP($H:$H,型材表!$B$5:$I$45,2,0)</f>
        <v>窗框</v>
      </c>
      <c r="G639" s="45" t="s">
        <v>40</v>
      </c>
      <c r="H639" s="45" t="str">
        <f>H638</f>
        <v>SN65AK001</v>
      </c>
      <c r="I639" s="45" t="s">
        <v>899</v>
      </c>
      <c r="J639" s="46">
        <f>M626</f>
        <v>1200</v>
      </c>
      <c r="K639" s="45">
        <v>3</v>
      </c>
      <c r="L639" s="47">
        <f>VLOOKUP($H:$H,型材表!$B$5:$I$45,4,0)</f>
        <v>1.02</v>
      </c>
      <c r="M639" s="46">
        <f t="shared" ref="M639:M655" si="89">J639*K639*L639/1000</f>
        <v>3.6720000000000002</v>
      </c>
      <c r="N639" s="72">
        <f>VLOOKUP($H:$H,型材表!$B$5:$I$45,7,0)</f>
        <v>0</v>
      </c>
      <c r="O639" s="46">
        <f t="shared" ref="O639:O641" si="90">N639*M639</f>
        <v>0</v>
      </c>
      <c r="P639" s="100">
        <f>VLOOKUP($H:$H,型材表!$B$5:$I$45,5,0)</f>
        <v>0.125</v>
      </c>
      <c r="Q639" s="307"/>
      <c r="R639" s="49"/>
      <c r="S639" s="50"/>
      <c r="X639" s="264"/>
      <c r="Z639" s="264"/>
      <c r="AA639" s="259"/>
      <c r="AB639" s="264"/>
      <c r="AC639" s="259"/>
      <c r="AD639" s="264"/>
      <c r="AE639" s="259"/>
      <c r="AF639" s="264"/>
      <c r="AG639" s="259"/>
      <c r="AH639" s="264"/>
      <c r="AI639" s="259"/>
    </row>
    <row r="640" spans="1:35" ht="14.25" customHeight="1" x14ac:dyDescent="0.15">
      <c r="A640" s="350">
        <v>3</v>
      </c>
      <c r="B640" s="537"/>
      <c r="C640" s="538"/>
      <c r="D640" s="538"/>
      <c r="E640" s="539"/>
      <c r="F640" s="47" t="str">
        <f>VLOOKUP($H:$H,型材表!$B$5:$I$45,2,0)</f>
        <v>窗框</v>
      </c>
      <c r="G640" s="45" t="s">
        <v>246</v>
      </c>
      <c r="H640" s="45" t="str">
        <f>H639</f>
        <v>SN65AK001</v>
      </c>
      <c r="I640" s="45" t="s">
        <v>1276</v>
      </c>
      <c r="J640" s="46">
        <f>3.14*M626/2</f>
        <v>1884</v>
      </c>
      <c r="K640" s="45">
        <v>1</v>
      </c>
      <c r="L640" s="47">
        <f>VLOOKUP($H:$H,型材表!$B$5:$I$45,4,0)</f>
        <v>1.02</v>
      </c>
      <c r="M640" s="46">
        <f t="shared" si="89"/>
        <v>1.9216800000000001</v>
      </c>
      <c r="N640" s="72">
        <f>VLOOKUP($H:$H,型材表!$B$5:$I$45,7,0)</f>
        <v>0</v>
      </c>
      <c r="O640" s="46">
        <f t="shared" si="90"/>
        <v>0</v>
      </c>
      <c r="P640" s="100">
        <f>VLOOKUP($H:$H,型材表!$B$5:$I$45,5,0)</f>
        <v>0.125</v>
      </c>
      <c r="Q640" s="307"/>
      <c r="R640" s="49"/>
      <c r="S640" s="50"/>
      <c r="X640" s="264"/>
      <c r="Z640" s="264"/>
      <c r="AA640" s="259"/>
      <c r="AB640" s="264"/>
      <c r="AC640" s="259"/>
      <c r="AD640" s="264"/>
      <c r="AE640" s="259"/>
      <c r="AF640" s="264"/>
      <c r="AG640" s="259"/>
      <c r="AH640" s="264"/>
      <c r="AI640" s="259"/>
    </row>
    <row r="641" spans="1:35" x14ac:dyDescent="0.15">
      <c r="A641" s="350">
        <v>4</v>
      </c>
      <c r="B641" s="531" t="s">
        <v>41</v>
      </c>
      <c r="C641" s="532"/>
      <c r="D641" s="532"/>
      <c r="E641" s="533"/>
      <c r="F641" s="47" t="str">
        <f>VLOOKUP($H:$H,型材表!$B$5:$I$45,2,0)</f>
        <v>窗扇</v>
      </c>
      <c r="G641" s="45" t="s">
        <v>39</v>
      </c>
      <c r="H641" s="45" t="str">
        <f>IF(G623=65,"SN65AS001",IF(G623=55,"SN55S001",IF(G623=551,"SN55BS001",IF(G623=60,"SN60S001",IF(G623=601,"SN60AS001",IF(G623=70,"SN70S001",IF(G623=75,"SN75S001")))))))</f>
        <v>SN65AS001</v>
      </c>
      <c r="I641" s="45" t="s">
        <v>1076</v>
      </c>
      <c r="J641" s="46">
        <f>IF(G623=65,M627-V641,IF(G623=55,M627-X641,IF(G623=551,M627-Z641,IF(G623=60,M627-AB641,IF(G623=601,M627-AD641,IF(G623=70,M627-AF641,IF(G623=75,M627-AH641)))))))</f>
        <v>563</v>
      </c>
      <c r="K641" s="45">
        <v>4</v>
      </c>
      <c r="L641" s="47">
        <f>VLOOKUP($H:$H,型材表!$B$5:$I$45,4,0)</f>
        <v>1.292</v>
      </c>
      <c r="M641" s="46">
        <f t="shared" si="89"/>
        <v>2.9095840000000002</v>
      </c>
      <c r="N641" s="72">
        <f>VLOOKUP($H:$H,型材表!$B$5:$I$45,7,0)</f>
        <v>0</v>
      </c>
      <c r="O641" s="46">
        <f t="shared" si="90"/>
        <v>0</v>
      </c>
      <c r="P641" s="100">
        <f>VLOOKUP($H:$H,型材表!$B$5:$I$45,5,0)</f>
        <v>0.125</v>
      </c>
      <c r="Q641" s="307"/>
      <c r="R641" s="49"/>
      <c r="S641" s="50"/>
      <c r="U641" s="374" t="s">
        <v>1136</v>
      </c>
      <c r="V641" s="259">
        <f>30+7</f>
        <v>37</v>
      </c>
      <c r="X641" s="264">
        <f>30+7</f>
        <v>37</v>
      </c>
      <c r="Z641" s="264">
        <f>30+7</f>
        <v>37</v>
      </c>
      <c r="AA641" s="259"/>
      <c r="AB641" s="264">
        <f>30+7</f>
        <v>37</v>
      </c>
      <c r="AC641" s="259"/>
      <c r="AD641" s="264">
        <f>30+7</f>
        <v>37</v>
      </c>
      <c r="AE641" s="259"/>
      <c r="AF641" s="264">
        <f>30+7</f>
        <v>37</v>
      </c>
      <c r="AG641" s="259"/>
      <c r="AH641" s="264">
        <f>30+7</f>
        <v>37</v>
      </c>
      <c r="AI641" s="259"/>
    </row>
    <row r="642" spans="1:35" x14ac:dyDescent="0.15">
      <c r="A642" s="350">
        <v>5</v>
      </c>
      <c r="B642" s="534"/>
      <c r="C642" s="535"/>
      <c r="D642" s="535"/>
      <c r="E642" s="536"/>
      <c r="F642" s="47" t="str">
        <f>VLOOKUP($H:$H,型材表!$B$5:$I$45,2,0)</f>
        <v>窗扇</v>
      </c>
      <c r="G642" s="45" t="s">
        <v>40</v>
      </c>
      <c r="H642" s="45" t="str">
        <f>H641</f>
        <v>SN65AS001</v>
      </c>
      <c r="I642" s="45" t="s">
        <v>1011</v>
      </c>
      <c r="J642" s="46">
        <f>IF(G623=65,M630-V642,IF(G623=55,M630-X642,IF(G623=551,M630-Z642,IF(G623=60,M630-AB642,IF(G623=601,M630-AD642,IF(G623=70,M630-AF642,IF(G623=75,M630-AH642)))))))</f>
        <v>571</v>
      </c>
      <c r="K642" s="45">
        <v>4</v>
      </c>
      <c r="L642" s="47">
        <f>VLOOKUP($H:$H,型材表!$B$5:$I$45,4,0)</f>
        <v>1.292</v>
      </c>
      <c r="M642" s="46">
        <f t="shared" si="89"/>
        <v>2.9509279999999998</v>
      </c>
      <c r="N642" s="72">
        <f>VLOOKUP($H:$H,型材表!$B$5:$I$45,7,0)</f>
        <v>0</v>
      </c>
      <c r="O642" s="46">
        <f>N642*M642</f>
        <v>0</v>
      </c>
      <c r="P642" s="100">
        <f>VLOOKUP($H:$H,型材表!$B$5:$I$45,5,0)</f>
        <v>0.125</v>
      </c>
      <c r="Q642" s="307"/>
      <c r="R642" s="49"/>
      <c r="S642" s="50"/>
      <c r="U642" s="374" t="s">
        <v>1129</v>
      </c>
      <c r="V642" s="259">
        <f>22+7</f>
        <v>29</v>
      </c>
      <c r="X642" s="264">
        <f>22+7</f>
        <v>29</v>
      </c>
      <c r="Z642" s="264">
        <f>22+7</f>
        <v>29</v>
      </c>
      <c r="AA642" s="259"/>
      <c r="AB642" s="264">
        <f>22+7</f>
        <v>29</v>
      </c>
      <c r="AC642" s="259"/>
      <c r="AD642" s="264">
        <f>22+7</f>
        <v>29</v>
      </c>
      <c r="AE642" s="259"/>
      <c r="AF642" s="264">
        <f>22+7</f>
        <v>29</v>
      </c>
      <c r="AG642" s="259"/>
      <c r="AH642" s="264">
        <f>22+7</f>
        <v>29</v>
      </c>
      <c r="AI642" s="259"/>
    </row>
    <row r="643" spans="1:35" x14ac:dyDescent="0.15">
      <c r="A643" s="350">
        <v>6</v>
      </c>
      <c r="B643" s="534"/>
      <c r="C643" s="535"/>
      <c r="D643" s="535"/>
      <c r="E643" s="536"/>
      <c r="F643" s="47" t="str">
        <f>VLOOKUP($H:$H,型材表!$B$5:$I$45,2,0)</f>
        <v>中梃</v>
      </c>
      <c r="G643" s="45" t="s">
        <v>39</v>
      </c>
      <c r="H643" s="116" t="str">
        <f>IF(G623=65,"SN65AT001",IF(G623=55,"SN55T001",IF(G623=551,"SN55BT001",IF(G623=60,"SN60T001",IF(G623=601,"SN60AT001",IF(G623=70,"SN70T001",IF(G623=75,"SN75T001")))))))</f>
        <v>SN65AT001</v>
      </c>
      <c r="I643" s="45" t="s">
        <v>1077</v>
      </c>
      <c r="J643" s="46">
        <f>IF(G623=65,M627-V643,IF(G623=55,M627-X643,IF(G623=551,M627-Z643,IF(G623=60,M627-AB643,IF(G623=601,M627-AD643,IF(G623=70,M627-AF643,IF(G623=75,M627-AH643)))))))</f>
        <v>561</v>
      </c>
      <c r="K643" s="45">
        <v>1</v>
      </c>
      <c r="L643" s="47">
        <f>VLOOKUP($H:$H,型材表!$B$5:$I$45,4,0)</f>
        <v>1.214</v>
      </c>
      <c r="M643" s="46">
        <f t="shared" si="89"/>
        <v>0.68105399999999994</v>
      </c>
      <c r="N643" s="72">
        <f>VLOOKUP($H:$H,型材表!$B$5:$I$45,7,0)</f>
        <v>0</v>
      </c>
      <c r="O643" s="46">
        <f>N643*M643</f>
        <v>0</v>
      </c>
      <c r="P643" s="100">
        <f>VLOOKUP($H:$H,型材表!$B$5:$I$45,5,0)</f>
        <v>0.125</v>
      </c>
      <c r="Q643" s="307"/>
      <c r="R643" s="49"/>
      <c r="S643" s="50"/>
      <c r="U643" s="374" t="s">
        <v>1137</v>
      </c>
      <c r="V643" s="259">
        <f>31+8</f>
        <v>39</v>
      </c>
      <c r="X643" s="264">
        <f>31+8</f>
        <v>39</v>
      </c>
      <c r="Z643" s="264">
        <f>31+8</f>
        <v>39</v>
      </c>
      <c r="AA643" s="259"/>
      <c r="AB643" s="264">
        <f>31+8</f>
        <v>39</v>
      </c>
      <c r="AC643" s="259"/>
      <c r="AD643" s="264">
        <f>31+8</f>
        <v>39</v>
      </c>
      <c r="AE643" s="259"/>
      <c r="AF643" s="264">
        <f>31+8</f>
        <v>39</v>
      </c>
      <c r="AG643" s="259"/>
      <c r="AH643" s="264">
        <f>31+8</f>
        <v>39</v>
      </c>
      <c r="AI643" s="259"/>
    </row>
    <row r="644" spans="1:35" x14ac:dyDescent="0.15">
      <c r="A644" s="350">
        <v>7</v>
      </c>
      <c r="B644" s="537"/>
      <c r="C644" s="538"/>
      <c r="D644" s="538"/>
      <c r="E644" s="539"/>
      <c r="F644" s="47" t="str">
        <f>VLOOKUP($H:$H,型材表!$B$5:$I$45,2,0)</f>
        <v>中梃</v>
      </c>
      <c r="G644" s="45" t="s">
        <v>40</v>
      </c>
      <c r="H644" s="116" t="str">
        <f>IF(G623=65,"SN65AT001",IF(G623=55,"SN55T001",IF(G623=551,"SN55BT001",IF(G623=60,"SN60T001",IF(G623=601,"SN60AT001",IF(G623=70,"SN70T001",IF(G623=75,"SN75T001")))))))</f>
        <v>SN65AT001</v>
      </c>
      <c r="I644" s="45" t="s">
        <v>1078</v>
      </c>
      <c r="J644" s="46">
        <f>IF(G623=65,M626-V644,IF(G623=55,M626-X644,IF(G623=551,M626-Z644,IF(G623=60,M626-AB644,IF(G623=601,M626-AD644,IF(G623=70,M626-AF644,IF(G623=75,M626-AH644)))))))</f>
        <v>1154</v>
      </c>
      <c r="K644" s="45">
        <v>2</v>
      </c>
      <c r="L644" s="47">
        <f>VLOOKUP($H:$H,型材表!$B$5:$I$45,4,0)</f>
        <v>1.214</v>
      </c>
      <c r="M644" s="46">
        <f t="shared" si="89"/>
        <v>2.8019119999999997</v>
      </c>
      <c r="N644" s="72">
        <f>VLOOKUP($H:$H,型材表!$B$5:$I$45,7,0)</f>
        <v>0</v>
      </c>
      <c r="O644" s="46">
        <f>N644*M644</f>
        <v>0</v>
      </c>
      <c r="P644" s="100">
        <f>VLOOKUP($H:$H,型材表!$B$5:$I$45,5,0)</f>
        <v>0.125</v>
      </c>
      <c r="Q644" s="307"/>
      <c r="R644" s="49"/>
      <c r="S644" s="50"/>
      <c r="U644" s="374" t="s">
        <v>1125</v>
      </c>
      <c r="V644" s="259">
        <f>23*2</f>
        <v>46</v>
      </c>
      <c r="X644" s="264">
        <f>23*2</f>
        <v>46</v>
      </c>
      <c r="Z644" s="264">
        <f>23*2</f>
        <v>46</v>
      </c>
      <c r="AA644" s="259"/>
      <c r="AB644" s="264">
        <f>23*2</f>
        <v>46</v>
      </c>
      <c r="AC644" s="259"/>
      <c r="AD644" s="264">
        <f>23*2</f>
        <v>46</v>
      </c>
      <c r="AE644" s="259"/>
      <c r="AF644" s="264">
        <f>23*2</f>
        <v>46</v>
      </c>
      <c r="AG644" s="259"/>
      <c r="AH644" s="264">
        <f>23*2</f>
        <v>46</v>
      </c>
      <c r="AI644" s="259"/>
    </row>
    <row r="645" spans="1:35" x14ac:dyDescent="0.15">
      <c r="A645" s="350">
        <v>8</v>
      </c>
      <c r="B645" s="542" t="s">
        <v>448</v>
      </c>
      <c r="C645" s="543"/>
      <c r="D645" s="543"/>
      <c r="E645" s="544"/>
      <c r="F645" s="47" t="str">
        <f>VLOOKUP($H:$H,型材表!$B$5:$I$45,2,0)</f>
        <v>拼管</v>
      </c>
      <c r="G645" s="45"/>
      <c r="H645" s="116" t="str">
        <f>IF(G623=65,"SN65AP001",IF(G623=55,"SN55P001",IF(G623=551,"SN55BP001",IF(G623=60,"SN60P001",IF(G623=601,"SN60AP001",IF(G623=70,"SN70P001",IF(G623=75,"SN75P001")))))))</f>
        <v>SN65AP001</v>
      </c>
      <c r="I645" s="45" t="s">
        <v>899</v>
      </c>
      <c r="J645" s="46">
        <f>M626</f>
        <v>1200</v>
      </c>
      <c r="K645" s="45">
        <v>1</v>
      </c>
      <c r="L645" s="47">
        <f>VLOOKUP($H:$H,型材表!$B$5:$I$45,4,0)</f>
        <v>0.93</v>
      </c>
      <c r="M645" s="46">
        <f t="shared" ref="M645" si="91">J645*K645*L645/1000</f>
        <v>1.1160000000000001</v>
      </c>
      <c r="N645" s="72">
        <f>VLOOKUP($H:$H,型材表!$B$5:$I$45,7,0)</f>
        <v>0</v>
      </c>
      <c r="O645" s="46">
        <f>N645*M645</f>
        <v>0</v>
      </c>
      <c r="P645" s="100">
        <f>VLOOKUP($H:$H,型材表!$B$5:$I$45,5,0)</f>
        <v>0.125</v>
      </c>
      <c r="Q645" s="307"/>
      <c r="R645" s="49"/>
      <c r="S645" s="50"/>
      <c r="X645" s="264"/>
      <c r="Z645" s="264"/>
      <c r="AA645" s="259"/>
      <c r="AB645" s="264"/>
      <c r="AC645" s="259"/>
      <c r="AD645" s="264"/>
      <c r="AE645" s="259"/>
      <c r="AF645" s="264"/>
      <c r="AG645" s="259"/>
      <c r="AH645" s="264"/>
      <c r="AI645" s="259"/>
    </row>
    <row r="646" spans="1:35" x14ac:dyDescent="0.15">
      <c r="A646" s="395">
        <v>9</v>
      </c>
      <c r="B646" s="531" t="s">
        <v>42</v>
      </c>
      <c r="C646" s="532"/>
      <c r="D646" s="532"/>
      <c r="E646" s="533"/>
      <c r="F646" s="47" t="str">
        <f>VLOOKUP($H:$H,型材表!$B$5:$I$45,2,0)</f>
        <v>压线</v>
      </c>
      <c r="G646" s="45" t="s">
        <v>247</v>
      </c>
      <c r="H646" s="45" t="str">
        <f>IF(G623=65,"SN65AY001",IF(G623=55,"SN55Y001",IF(G623=551,"SN55BY001",IF(G623=60,"SN60Y001",IF(G623=601,"SN60Y001",IF(G623=70,"SN70Y001",IF(G623=75,"SN75Y001")))))))</f>
        <v>SN65AY001</v>
      </c>
      <c r="I646" s="45" t="s">
        <v>1080</v>
      </c>
      <c r="J646" s="46">
        <f>IF(G623=65,M627-V646,IF(G623=55,M627-X646,IF(G623=551,M627-Z646,IF(G623=60,M627-AB646,IF(G623=601,M627-AD646,IF(G623=70,M627-AF646,IF(G623=75,M627-AH646)))))))</f>
        <v>487.2</v>
      </c>
      <c r="K646" s="45">
        <v>4</v>
      </c>
      <c r="L646" s="47">
        <f>VLOOKUP($H:$H,型材表!$B$5:$I$45,4,0)</f>
        <v>0.19700000000000001</v>
      </c>
      <c r="M646" s="46">
        <f t="shared" si="89"/>
        <v>0.38391360000000002</v>
      </c>
      <c r="N646" s="72">
        <f>VLOOKUP($H:$H,型材表!$B$5:$I$45,7,0)</f>
        <v>0</v>
      </c>
      <c r="O646" s="46">
        <f t="shared" ref="O646:O655" si="92">N646*M646</f>
        <v>0</v>
      </c>
      <c r="P646" s="100">
        <f>VLOOKUP($H:$H,型材表!$B$5:$I$45,5,0)</f>
        <v>0.125</v>
      </c>
      <c r="Q646" s="307"/>
      <c r="R646" s="49"/>
      <c r="S646" s="50"/>
      <c r="U646" s="374" t="s">
        <v>1138</v>
      </c>
      <c r="V646" s="269">
        <f>68+44.8</f>
        <v>112.8</v>
      </c>
      <c r="W646" s="269"/>
      <c r="X646" s="279">
        <f>68+44.8</f>
        <v>112.8</v>
      </c>
      <c r="Z646" s="279">
        <f>68+44.8</f>
        <v>112.8</v>
      </c>
      <c r="AA646" s="259"/>
      <c r="AB646" s="279">
        <f>68+44.8</f>
        <v>112.8</v>
      </c>
      <c r="AC646" s="259"/>
      <c r="AD646" s="279">
        <f>68+44.8</f>
        <v>112.8</v>
      </c>
      <c r="AE646" s="259"/>
      <c r="AF646" s="279">
        <f>68+44.8</f>
        <v>112.8</v>
      </c>
      <c r="AG646" s="259"/>
      <c r="AH646" s="279">
        <f>68+44.8</f>
        <v>112.8</v>
      </c>
      <c r="AI646" s="259"/>
    </row>
    <row r="647" spans="1:35" x14ac:dyDescent="0.15">
      <c r="A647" s="395">
        <v>10</v>
      </c>
      <c r="B647" s="534"/>
      <c r="C647" s="535"/>
      <c r="D647" s="535"/>
      <c r="E647" s="536"/>
      <c r="F647" s="47" t="str">
        <f>VLOOKUP($H:$H,型材表!$B$5:$I$45,2,0)</f>
        <v>压线</v>
      </c>
      <c r="G647" s="45" t="s">
        <v>39</v>
      </c>
      <c r="H647" s="207" t="str">
        <f>H646</f>
        <v>SN65AY001</v>
      </c>
      <c r="I647" s="207" t="s">
        <v>1043</v>
      </c>
      <c r="J647" s="208">
        <f>IF(G623=65,M628-V647,IF(G623=55,M628-X647,IF(G623=551,M628-Z647,IF(G623=60,M628-AB647,IF(G623=601,M628-AD647,IF(G623=70,M628-AF647,IF(G623=75,M628-AH647)))))))</f>
        <v>469</v>
      </c>
      <c r="K647" s="207">
        <v>2</v>
      </c>
      <c r="L647" s="47">
        <f>VLOOKUP($H:$H,型材表!$B$5:$I$45,4,0)</f>
        <v>0.19700000000000001</v>
      </c>
      <c r="M647" s="46">
        <f t="shared" ref="M647:M649" si="93">J647*K647*L647/1000</f>
        <v>0.18478600000000001</v>
      </c>
      <c r="N647" s="72">
        <f>VLOOKUP($H:$H,型材表!$B$5:$I$45,7,0)</f>
        <v>0</v>
      </c>
      <c r="O647" s="46">
        <f t="shared" ref="O647:O649" si="94">N647*M647</f>
        <v>0</v>
      </c>
      <c r="P647" s="100">
        <f>VLOOKUP($H:$H,型材表!$B$5:$I$45,5,0)</f>
        <v>0.125</v>
      </c>
      <c r="Q647" s="307"/>
      <c r="R647" s="210"/>
      <c r="S647" s="50"/>
      <c r="U647" s="374" t="s">
        <v>1127</v>
      </c>
      <c r="V647" s="269">
        <f>8+23</f>
        <v>31</v>
      </c>
      <c r="W647" s="269"/>
      <c r="X647" s="279">
        <f>8+23</f>
        <v>31</v>
      </c>
      <c r="Z647" s="279">
        <f>8+23</f>
        <v>31</v>
      </c>
      <c r="AA647" s="259"/>
      <c r="AB647" s="279">
        <f>8+23</f>
        <v>31</v>
      </c>
      <c r="AC647" s="259"/>
      <c r="AD647" s="279">
        <f>8+23</f>
        <v>31</v>
      </c>
      <c r="AE647" s="259"/>
      <c r="AF647" s="279">
        <f>8+23</f>
        <v>31</v>
      </c>
      <c r="AG647" s="259"/>
      <c r="AH647" s="279">
        <f>8+23</f>
        <v>31</v>
      </c>
      <c r="AI647" s="259"/>
    </row>
    <row r="648" spans="1:35" x14ac:dyDescent="0.15">
      <c r="A648" s="395">
        <v>11</v>
      </c>
      <c r="B648" s="534"/>
      <c r="C648" s="535"/>
      <c r="D648" s="535"/>
      <c r="E648" s="536"/>
      <c r="F648" s="47" t="str">
        <f>VLOOKUP($H:$H,型材表!$B$5:$I$45,2,0)</f>
        <v>压线</v>
      </c>
      <c r="G648" s="45" t="s">
        <v>40</v>
      </c>
      <c r="H648" s="207" t="str">
        <f t="shared" ref="H648:H649" si="95">H647</f>
        <v>SN65AY001</v>
      </c>
      <c r="I648" s="207" t="s">
        <v>1016</v>
      </c>
      <c r="J648" s="208">
        <f>IF(G623=65,M630-V648,IF(G623=55,M630-X648,IF(G623=551,M630-Z648,IF(G623=60,M630-AB648,IF(G623=601,M630-AD648,IF(G623=70,M630-AF648,IF(G623=75,M630-AH648)))))))</f>
        <v>495.4</v>
      </c>
      <c r="K648" s="207">
        <v>4</v>
      </c>
      <c r="L648" s="47">
        <f>VLOOKUP($H:$H,型材表!$B$5:$I$45,4,0)</f>
        <v>0.19700000000000001</v>
      </c>
      <c r="M648" s="46">
        <f t="shared" si="93"/>
        <v>0.39037520000000003</v>
      </c>
      <c r="N648" s="72">
        <f>VLOOKUP($H:$H,型材表!$B$5:$I$45,7,0)</f>
        <v>0</v>
      </c>
      <c r="O648" s="46">
        <f t="shared" si="94"/>
        <v>0</v>
      </c>
      <c r="P648" s="100">
        <f>VLOOKUP($H:$H,型材表!$B$5:$I$45,5,0)</f>
        <v>0.125</v>
      </c>
      <c r="Q648" s="307"/>
      <c r="R648" s="210"/>
      <c r="S648" s="50"/>
      <c r="U648" s="374" t="s">
        <v>1030</v>
      </c>
      <c r="V648" s="269">
        <f>59.8+89.6/2</f>
        <v>104.6</v>
      </c>
      <c r="W648" s="269"/>
      <c r="X648" s="279">
        <f>59.8+89.6/2</f>
        <v>104.6</v>
      </c>
      <c r="Z648" s="279">
        <f>59.8+89.6/2</f>
        <v>104.6</v>
      </c>
      <c r="AA648" s="259"/>
      <c r="AB648" s="279">
        <f>59.8+89.6/2</f>
        <v>104.6</v>
      </c>
      <c r="AC648" s="259"/>
      <c r="AD648" s="279">
        <f>59.8+89.6/2</f>
        <v>104.6</v>
      </c>
      <c r="AE648" s="259"/>
      <c r="AF648" s="279">
        <f>59.8+89.6/2</f>
        <v>104.6</v>
      </c>
      <c r="AG648" s="259"/>
      <c r="AH648" s="279">
        <f>59.8+89.6/2</f>
        <v>104.6</v>
      </c>
      <c r="AI648" s="259"/>
    </row>
    <row r="649" spans="1:35" x14ac:dyDescent="0.15">
      <c r="A649" s="395">
        <v>12</v>
      </c>
      <c r="B649" s="534"/>
      <c r="C649" s="535"/>
      <c r="D649" s="535"/>
      <c r="E649" s="536"/>
      <c r="F649" s="47" t="str">
        <f>VLOOKUP($H:$H,型材表!$B$5:$I$45,2,0)</f>
        <v>压线</v>
      </c>
      <c r="G649" s="45" t="s">
        <v>40</v>
      </c>
      <c r="H649" s="207" t="str">
        <f t="shared" si="95"/>
        <v>SN65AY001</v>
      </c>
      <c r="I649" s="207" t="s">
        <v>1081</v>
      </c>
      <c r="J649" s="208">
        <f>IF(G623=65,M626-V649,IF(G623=55,M626-X649,IF(G623=551,M626-Z649,IF(G623=60,M626-AB649,IF(G623=601,M626-AD649,IF(G623=70,M626-AF649,IF(G623=75,M626-AH649)))))))</f>
        <v>1154</v>
      </c>
      <c r="K649" s="207">
        <v>3</v>
      </c>
      <c r="L649" s="47">
        <f>VLOOKUP($H:$H,型材表!$B$5:$I$45,4,0)</f>
        <v>0.19700000000000001</v>
      </c>
      <c r="M649" s="46">
        <f t="shared" si="93"/>
        <v>0.68201400000000001</v>
      </c>
      <c r="N649" s="72">
        <f>VLOOKUP($H:$H,型材表!$B$5:$I$45,7,0)</f>
        <v>0</v>
      </c>
      <c r="O649" s="46">
        <f t="shared" si="94"/>
        <v>0</v>
      </c>
      <c r="P649" s="100">
        <f>VLOOKUP($H:$H,型材表!$B$5:$I$45,5,0)</f>
        <v>0.125</v>
      </c>
      <c r="Q649" s="307"/>
      <c r="R649" s="210"/>
      <c r="S649" s="50"/>
      <c r="U649" s="374" t="s">
        <v>1128</v>
      </c>
      <c r="V649" s="269">
        <f>23*2</f>
        <v>46</v>
      </c>
      <c r="W649" s="269"/>
      <c r="X649" s="279">
        <f>23*2</f>
        <v>46</v>
      </c>
      <c r="Z649" s="279">
        <f>23*2</f>
        <v>46</v>
      </c>
      <c r="AA649" s="259"/>
      <c r="AB649" s="279">
        <f>23*2</f>
        <v>46</v>
      </c>
      <c r="AC649" s="259"/>
      <c r="AD649" s="279">
        <f>23*2</f>
        <v>46</v>
      </c>
      <c r="AE649" s="259"/>
      <c r="AF649" s="279">
        <f>23*2</f>
        <v>46</v>
      </c>
      <c r="AG649" s="259"/>
      <c r="AH649" s="279">
        <f>23*2</f>
        <v>46</v>
      </c>
      <c r="AI649" s="259"/>
    </row>
    <row r="650" spans="1:35" x14ac:dyDescent="0.15">
      <c r="A650" s="395">
        <v>13</v>
      </c>
      <c r="B650" s="537"/>
      <c r="C650" s="538"/>
      <c r="D650" s="538"/>
      <c r="E650" s="539"/>
      <c r="F650" s="47" t="str">
        <f>VLOOKUP($H:$H,型材表!$B$5:$I$45,2,0)</f>
        <v>压线</v>
      </c>
      <c r="G650" s="45" t="s">
        <v>1079</v>
      </c>
      <c r="H650" s="45" t="str">
        <f>H646</f>
        <v>SN65AY001</v>
      </c>
      <c r="I650" s="45" t="s">
        <v>1082</v>
      </c>
      <c r="J650" s="46">
        <f>IF(G623=65,3.14*(M629-V650),IF(G623=55,3.14*(M629-X650),IF(G623=551,3.14*(M629-Z650),IF(G623=60,3.14*(M629-AB650),IF(G623=601,3.14*(M629-AD650),IF(G623=70,3.14*(M629-AF650),IF(G623=75,3.14*(M629-AH650))))))))</f>
        <v>1811.78</v>
      </c>
      <c r="K650" s="45">
        <v>1</v>
      </c>
      <c r="L650" s="47">
        <f>VLOOKUP($H:$H,型材表!$B$5:$I$45,4,0)</f>
        <v>0.19700000000000001</v>
      </c>
      <c r="M650" s="46">
        <f t="shared" si="89"/>
        <v>0.35692066</v>
      </c>
      <c r="N650" s="72">
        <f>VLOOKUP($H:$H,型材表!$B$5:$I$45,7,0)</f>
        <v>0</v>
      </c>
      <c r="O650" s="46">
        <f t="shared" si="92"/>
        <v>0</v>
      </c>
      <c r="P650" s="100">
        <f>VLOOKUP($H:$H,型材表!$B$5:$I$45,5,0)</f>
        <v>0.125</v>
      </c>
      <c r="Q650" s="307"/>
      <c r="R650" s="49"/>
      <c r="S650" s="50"/>
      <c r="U650" s="374" t="s">
        <v>1139</v>
      </c>
      <c r="V650" s="269">
        <v>23</v>
      </c>
      <c r="W650" s="269"/>
      <c r="X650" s="279">
        <v>23</v>
      </c>
      <c r="Z650" s="279">
        <v>23</v>
      </c>
      <c r="AA650" s="259"/>
      <c r="AB650" s="279">
        <v>23</v>
      </c>
      <c r="AC650" s="259"/>
      <c r="AD650" s="279">
        <v>23</v>
      </c>
      <c r="AE650" s="259"/>
      <c r="AF650" s="279">
        <v>23</v>
      </c>
      <c r="AG650" s="259"/>
      <c r="AH650" s="279">
        <v>23</v>
      </c>
      <c r="AI650" s="259"/>
    </row>
    <row r="651" spans="1:35" x14ac:dyDescent="0.15">
      <c r="A651" s="395">
        <v>14</v>
      </c>
      <c r="B651" s="531" t="s">
        <v>44</v>
      </c>
      <c r="C651" s="532"/>
      <c r="D651" s="532"/>
      <c r="E651" s="533"/>
      <c r="F651" s="47" t="str">
        <f>VLOOKUP($H:$H,型材表!$B$5:$I$45,2,0)</f>
        <v>角码</v>
      </c>
      <c r="G651" s="51" t="s">
        <v>446</v>
      </c>
      <c r="H651" s="45" t="str">
        <f>IF(G624=65,"SW55F001","SN55F003")</f>
        <v>SN55F003</v>
      </c>
      <c r="I651" s="45" t="s">
        <v>1006</v>
      </c>
      <c r="J651" s="52">
        <f>IF(G623=65,V651,IF(G623=55,X651,IF(G623=551,Z651,IF(G623=60,AB651,IF(G623=601,AD651,IF(G623=70,AF651,IF(G623=75,AH651)))))))</f>
        <v>32.200000000000003</v>
      </c>
      <c r="K651" s="45">
        <f>K638*2</f>
        <v>4</v>
      </c>
      <c r="L651" s="47">
        <f>VLOOKUP($H:$H,型材表!$B$5:$I$45,4,0)</f>
        <v>1.7490000000000001</v>
      </c>
      <c r="M651" s="46">
        <f t="shared" si="89"/>
        <v>0.22527120000000003</v>
      </c>
      <c r="N651" s="72">
        <f>VLOOKUP($H:$H,型材表!$B$5:$I$45,7,0)</f>
        <v>0</v>
      </c>
      <c r="O651" s="46">
        <f t="shared" si="92"/>
        <v>0</v>
      </c>
      <c r="P651" s="100">
        <f>VLOOKUP($H:$H,型材表!$B$5:$I$45,5,0)</f>
        <v>0.125</v>
      </c>
      <c r="Q651" s="307"/>
      <c r="R651" s="49"/>
      <c r="S651" s="50"/>
      <c r="U651" s="374" t="s">
        <v>994</v>
      </c>
      <c r="V651" s="259">
        <f>19.5-1+14.7-1</f>
        <v>32.200000000000003</v>
      </c>
      <c r="X651" s="264">
        <f>19.5-1+14.7-1</f>
        <v>32.200000000000003</v>
      </c>
      <c r="Y651" s="265"/>
      <c r="Z651" s="264">
        <f>19.5-1+10.9-1</f>
        <v>28.4</v>
      </c>
      <c r="AA651" s="277"/>
      <c r="AB651" s="264">
        <f>19.5-1+14.7-1</f>
        <v>32.200000000000003</v>
      </c>
      <c r="AC651" s="277"/>
      <c r="AD651" s="264">
        <f>19.5-1+10.9-1</f>
        <v>28.4</v>
      </c>
      <c r="AE651" s="277"/>
      <c r="AF651" s="264">
        <f>19.5-1+14.7-1</f>
        <v>32.200000000000003</v>
      </c>
      <c r="AG651" s="277"/>
      <c r="AH651" s="264">
        <f>19.5-1+14.7-1</f>
        <v>32.200000000000003</v>
      </c>
      <c r="AI651" s="259"/>
    </row>
    <row r="652" spans="1:35" x14ac:dyDescent="0.15">
      <c r="A652" s="395">
        <v>15</v>
      </c>
      <c r="B652" s="534"/>
      <c r="C652" s="535"/>
      <c r="D652" s="535"/>
      <c r="E652" s="536"/>
      <c r="F652" s="47" t="str">
        <f>VLOOKUP($H:$H,型材表!$B$5:$I$45,2,0)</f>
        <v>角码</v>
      </c>
      <c r="G652" s="51" t="s">
        <v>447</v>
      </c>
      <c r="H652" s="45" t="str">
        <f>IF(G624=65,"SN55F003","SN55F003")</f>
        <v>SN55F003</v>
      </c>
      <c r="I652" s="45" t="s">
        <v>995</v>
      </c>
      <c r="J652" s="52">
        <f t="shared" ref="J652:J655" si="96">V652</f>
        <v>27.1</v>
      </c>
      <c r="K652" s="45">
        <v>8</v>
      </c>
      <c r="L652" s="47">
        <f>VLOOKUP($H:$H,型材表!$B$5:$I$45,4,0)</f>
        <v>1.7490000000000001</v>
      </c>
      <c r="M652" s="46">
        <f t="shared" si="89"/>
        <v>0.37918320000000005</v>
      </c>
      <c r="N652" s="72">
        <f>VLOOKUP($H:$H,型材表!$B$5:$I$45,7,0)</f>
        <v>0</v>
      </c>
      <c r="O652" s="46">
        <f t="shared" si="92"/>
        <v>0</v>
      </c>
      <c r="P652" s="100">
        <f>VLOOKUP($H:$H,型材表!$B$5:$I$45,5,0)</f>
        <v>0.125</v>
      </c>
      <c r="Q652" s="307"/>
      <c r="R652" s="49"/>
      <c r="S652" s="50"/>
      <c r="U652" s="374" t="s">
        <v>995</v>
      </c>
      <c r="V652" s="259">
        <f>28.1-1</f>
        <v>27.1</v>
      </c>
      <c r="X652" s="264"/>
      <c r="Z652" s="264"/>
      <c r="AA652" s="259"/>
      <c r="AB652" s="264"/>
      <c r="AC652" s="259"/>
      <c r="AD652" s="264"/>
      <c r="AE652" s="259"/>
      <c r="AF652" s="264"/>
      <c r="AG652" s="259"/>
      <c r="AH652" s="264"/>
      <c r="AI652" s="259"/>
    </row>
    <row r="653" spans="1:35" x14ac:dyDescent="0.15">
      <c r="A653" s="395">
        <v>16</v>
      </c>
      <c r="B653" s="534"/>
      <c r="C653" s="535"/>
      <c r="D653" s="535"/>
      <c r="E653" s="536"/>
      <c r="F653" s="47" t="str">
        <f>VLOOKUP($H:$H,型材表!$B$5:$I$45,2,0)</f>
        <v>角码</v>
      </c>
      <c r="G653" s="51" t="s">
        <v>447</v>
      </c>
      <c r="H653" s="45" t="str">
        <f>IF(G624=70,"SW50F002",IF(G624=75,"SW50F002","SN55F003"))</f>
        <v>SN55F003</v>
      </c>
      <c r="I653" s="45" t="s">
        <v>996</v>
      </c>
      <c r="J653" s="52">
        <f>IF(G623=65,V653,IF(G623=55,X653,IF(G623=551,Z653,IF(G623=60,AB653,IF(G623=601,AD653,IF(G623=70,AF653,IF(G623=75,AH653)))))))</f>
        <v>8</v>
      </c>
      <c r="K653" s="45">
        <f>K652</f>
        <v>8</v>
      </c>
      <c r="L653" s="47">
        <f>VLOOKUP($H:$H,型材表!$B$5:$I$45,4,0)</f>
        <v>1.7490000000000001</v>
      </c>
      <c r="M653" s="46">
        <f t="shared" ref="M653" si="97">J653*K653*L653/1000</f>
        <v>0.11193600000000001</v>
      </c>
      <c r="N653" s="72">
        <f>VLOOKUP($H:$H,型材表!$B$5:$I$45,7,0)</f>
        <v>0</v>
      </c>
      <c r="O653" s="46">
        <f t="shared" ref="O653" si="98">N653*M653</f>
        <v>0</v>
      </c>
      <c r="P653" s="100">
        <f>VLOOKUP($H:$H,型材表!$B$5:$I$45,5,0)</f>
        <v>0.125</v>
      </c>
      <c r="Q653" s="307"/>
      <c r="R653" s="49"/>
      <c r="S653" s="50"/>
      <c r="U653" s="374" t="s">
        <v>996</v>
      </c>
      <c r="V653" s="259">
        <f>9-1</f>
        <v>8</v>
      </c>
      <c r="X653" s="264">
        <f>9-1</f>
        <v>8</v>
      </c>
      <c r="Y653" s="265"/>
      <c r="Z653" s="264">
        <f>5.2-1</f>
        <v>4.2</v>
      </c>
      <c r="AA653" s="277"/>
      <c r="AB653" s="264">
        <f>9-1</f>
        <v>8</v>
      </c>
      <c r="AC653" s="277"/>
      <c r="AD653" s="264">
        <f>5.2-1</f>
        <v>4.2</v>
      </c>
      <c r="AE653" s="277"/>
      <c r="AF653" s="264">
        <f>9-1</f>
        <v>8</v>
      </c>
      <c r="AG653" s="277"/>
      <c r="AH653" s="264">
        <f>9-1</f>
        <v>8</v>
      </c>
      <c r="AI653" s="259"/>
    </row>
    <row r="654" spans="1:35" x14ac:dyDescent="0.15">
      <c r="A654" s="395">
        <v>17</v>
      </c>
      <c r="B654" s="534"/>
      <c r="C654" s="535"/>
      <c r="D654" s="535"/>
      <c r="E654" s="536"/>
      <c r="F654" s="47" t="str">
        <f>VLOOKUP($H:$H,型材表!$B$5:$I$45,2,0)</f>
        <v>中梃角码</v>
      </c>
      <c r="G654" s="51"/>
      <c r="H654" s="45" t="str">
        <f>IF(G624=65,"SN55F001","SN55F001")</f>
        <v>SN55F001</v>
      </c>
      <c r="I654" s="45" t="s">
        <v>997</v>
      </c>
      <c r="J654" s="52">
        <f t="shared" si="96"/>
        <v>18.5</v>
      </c>
      <c r="K654" s="45">
        <v>4</v>
      </c>
      <c r="L654" s="47">
        <f>VLOOKUP($H:$H,型材表!$B$5:$I$45,4,0)</f>
        <v>1.4730000000000001</v>
      </c>
      <c r="M654" s="46">
        <f t="shared" si="89"/>
        <v>0.10900200000000002</v>
      </c>
      <c r="N654" s="72">
        <f>VLOOKUP($H:$H,型材表!$B$5:$I$45,7,0)</f>
        <v>0</v>
      </c>
      <c r="O654" s="46">
        <f t="shared" si="92"/>
        <v>0</v>
      </c>
      <c r="P654" s="100">
        <f>VLOOKUP($H:$H,型材表!$B$5:$I$45,5,0)</f>
        <v>0.125</v>
      </c>
      <c r="Q654" s="307"/>
      <c r="R654" s="49"/>
      <c r="S654" s="50"/>
      <c r="U654" s="374" t="s">
        <v>997</v>
      </c>
      <c r="V654" s="259">
        <f>19.5-1</f>
        <v>18.5</v>
      </c>
      <c r="X654" s="264"/>
      <c r="Z654" s="264"/>
      <c r="AA654" s="259"/>
      <c r="AB654" s="264"/>
      <c r="AC654" s="259"/>
      <c r="AD654" s="264"/>
      <c r="AE654" s="259"/>
      <c r="AF654" s="264"/>
      <c r="AG654" s="259"/>
      <c r="AH654" s="264"/>
      <c r="AI654" s="259"/>
    </row>
    <row r="655" spans="1:35" x14ac:dyDescent="0.15">
      <c r="A655" s="395">
        <v>18</v>
      </c>
      <c r="B655" s="537"/>
      <c r="C655" s="538"/>
      <c r="D655" s="538"/>
      <c r="E655" s="539"/>
      <c r="F655" s="47" t="str">
        <f>VLOOKUP($H:$H,型材表!$B$5:$I$45,2,0)</f>
        <v>中梃角码</v>
      </c>
      <c r="G655" s="53"/>
      <c r="H655" s="45" t="str">
        <f>IF(G624=70,"SN70F001",IF(G624=75,"SN70F001",IF(G624=551,"SN55BF001",IF(G624=601,"SN55BF001","SN55F002"))))</f>
        <v>SN55F002</v>
      </c>
      <c r="I655" s="45" t="s">
        <v>939</v>
      </c>
      <c r="J655" s="52">
        <f t="shared" si="96"/>
        <v>13.5</v>
      </c>
      <c r="K655" s="55">
        <v>4</v>
      </c>
      <c r="L655" s="47">
        <f>VLOOKUP($H:$H,型材表!$B$5:$I$45,4,0)</f>
        <v>0.90400000000000003</v>
      </c>
      <c r="M655" s="46">
        <f t="shared" si="89"/>
        <v>4.8816000000000005E-2</v>
      </c>
      <c r="N655" s="72">
        <f>VLOOKUP($H:$H,型材表!$B$5:$I$45,7,0)</f>
        <v>0</v>
      </c>
      <c r="O655" s="46">
        <f t="shared" si="92"/>
        <v>0</v>
      </c>
      <c r="P655" s="100">
        <f>VLOOKUP($H:$H,型材表!$B$5:$I$45,5,0)</f>
        <v>0.125</v>
      </c>
      <c r="Q655" s="307"/>
      <c r="R655" s="49"/>
      <c r="S655" s="50"/>
      <c r="U655" s="374" t="s">
        <v>939</v>
      </c>
      <c r="V655" s="259">
        <f>14.5-1</f>
        <v>13.5</v>
      </c>
      <c r="X655" s="264"/>
      <c r="Z655" s="264"/>
      <c r="AA655" s="259"/>
      <c r="AB655" s="264"/>
      <c r="AC655" s="259"/>
      <c r="AD655" s="264"/>
      <c r="AE655" s="259"/>
      <c r="AF655" s="264"/>
      <c r="AG655" s="259"/>
      <c r="AH655" s="264"/>
      <c r="AI655" s="259"/>
    </row>
    <row r="656" spans="1:35" x14ac:dyDescent="0.15">
      <c r="A656" s="395">
        <v>19</v>
      </c>
      <c r="B656" s="387"/>
      <c r="C656" s="388"/>
      <c r="D656" s="388"/>
      <c r="E656" s="389"/>
      <c r="F656" s="306"/>
      <c r="G656" s="53"/>
      <c r="H656" s="207"/>
      <c r="I656" s="207"/>
      <c r="J656" s="214"/>
      <c r="K656" s="55"/>
      <c r="L656" s="306"/>
      <c r="M656" s="208"/>
      <c r="N656" s="432"/>
      <c r="O656" s="208"/>
      <c r="P656" s="433"/>
      <c r="Q656" s="360"/>
      <c r="R656" s="60"/>
      <c r="S656" s="50"/>
      <c r="X656" s="264"/>
      <c r="Z656" s="264"/>
      <c r="AA656" s="259"/>
      <c r="AB656" s="264"/>
      <c r="AC656" s="259"/>
      <c r="AD656" s="264"/>
      <c r="AE656" s="259"/>
      <c r="AF656" s="264"/>
      <c r="AG656" s="259"/>
      <c r="AH656" s="264"/>
      <c r="AI656" s="259"/>
    </row>
    <row r="657" spans="1:35" x14ac:dyDescent="0.15">
      <c r="A657" s="395">
        <v>20</v>
      </c>
      <c r="B657" s="387"/>
      <c r="C657" s="388"/>
      <c r="D657" s="388"/>
      <c r="E657" s="389"/>
      <c r="F657" s="306"/>
      <c r="G657" s="53"/>
      <c r="H657" s="207"/>
      <c r="I657" s="207"/>
      <c r="J657" s="214"/>
      <c r="K657" s="55"/>
      <c r="L657" s="306"/>
      <c r="M657" s="208"/>
      <c r="N657" s="432"/>
      <c r="O657" s="208"/>
      <c r="P657" s="433"/>
      <c r="Q657" s="360"/>
      <c r="R657" s="60"/>
      <c r="S657" s="50"/>
      <c r="X657" s="264"/>
      <c r="Z657" s="264"/>
      <c r="AA657" s="259"/>
      <c r="AB657" s="264"/>
      <c r="AC657" s="259"/>
      <c r="AD657" s="264"/>
      <c r="AE657" s="259"/>
      <c r="AF657" s="264"/>
      <c r="AG657" s="259"/>
      <c r="AH657" s="264"/>
      <c r="AI657" s="259"/>
    </row>
    <row r="658" spans="1:35" x14ac:dyDescent="0.15">
      <c r="A658" s="395">
        <v>21</v>
      </c>
      <c r="B658" s="387"/>
      <c r="C658" s="388"/>
      <c r="D658" s="388"/>
      <c r="E658" s="389"/>
      <c r="F658" s="306"/>
      <c r="G658" s="53"/>
      <c r="H658" s="207"/>
      <c r="I658" s="207"/>
      <c r="J658" s="214"/>
      <c r="K658" s="55"/>
      <c r="L658" s="306"/>
      <c r="M658" s="208"/>
      <c r="N658" s="432"/>
      <c r="O658" s="208"/>
      <c r="P658" s="433"/>
      <c r="Q658" s="360"/>
      <c r="R658" s="60"/>
      <c r="S658" s="50"/>
      <c r="X658" s="264"/>
      <c r="Z658" s="264"/>
      <c r="AA658" s="259"/>
      <c r="AB658" s="264"/>
      <c r="AC658" s="259"/>
      <c r="AD658" s="264"/>
      <c r="AE658" s="259"/>
      <c r="AF658" s="264"/>
      <c r="AG658" s="259"/>
      <c r="AH658" s="264"/>
      <c r="AI658" s="259"/>
    </row>
    <row r="659" spans="1:35" x14ac:dyDescent="0.15">
      <c r="A659" s="563" t="s">
        <v>45</v>
      </c>
      <c r="B659" s="563"/>
      <c r="C659" s="563"/>
      <c r="D659" s="564"/>
      <c r="E659" s="564"/>
      <c r="F659" s="563"/>
      <c r="G659" s="563"/>
      <c r="H659" s="563"/>
      <c r="I659" s="563"/>
      <c r="J659" s="563"/>
      <c r="K659" s="563"/>
      <c r="L659" s="563"/>
      <c r="M659" s="46">
        <f>SUM(M638:M644)</f>
        <v>17.164838</v>
      </c>
      <c r="N659" s="58"/>
      <c r="O659" s="46"/>
      <c r="P659" s="59"/>
      <c r="Q659" s="336"/>
      <c r="R659" s="60"/>
      <c r="S659" s="50"/>
      <c r="X659" s="264"/>
      <c r="Z659" s="264"/>
      <c r="AA659" s="259"/>
      <c r="AB659" s="264"/>
      <c r="AC659" s="259"/>
      <c r="AD659" s="264"/>
      <c r="AE659" s="259"/>
      <c r="AF659" s="264"/>
      <c r="AG659" s="259"/>
      <c r="AH659" s="264"/>
      <c r="AI659" s="259"/>
    </row>
    <row r="660" spans="1:35" x14ac:dyDescent="0.15">
      <c r="A660" s="563" t="s">
        <v>46</v>
      </c>
      <c r="B660" s="563"/>
      <c r="C660" s="563"/>
      <c r="D660" s="564"/>
      <c r="E660" s="564"/>
      <c r="F660" s="563"/>
      <c r="G660" s="563"/>
      <c r="H660" s="563"/>
      <c r="I660" s="563"/>
      <c r="J660" s="563"/>
      <c r="K660" s="563"/>
      <c r="L660" s="563"/>
      <c r="M660" s="46">
        <f>SUM(M646:M650)</f>
        <v>1.99800946</v>
      </c>
      <c r="N660" s="58"/>
      <c r="O660" s="46"/>
      <c r="P660" s="59"/>
      <c r="Q660" s="336"/>
      <c r="R660" s="60"/>
      <c r="S660" s="50"/>
      <c r="X660" s="264"/>
      <c r="Z660" s="264"/>
      <c r="AA660" s="259"/>
      <c r="AB660" s="264"/>
      <c r="AC660" s="259"/>
      <c r="AD660" s="264"/>
      <c r="AE660" s="259"/>
      <c r="AF660" s="264"/>
      <c r="AG660" s="259"/>
      <c r="AH660" s="264"/>
      <c r="AI660" s="259"/>
    </row>
    <row r="661" spans="1:35" x14ac:dyDescent="0.15">
      <c r="A661" s="563" t="s">
        <v>47</v>
      </c>
      <c r="B661" s="563"/>
      <c r="C661" s="563"/>
      <c r="D661" s="564"/>
      <c r="E661" s="564"/>
      <c r="F661" s="563"/>
      <c r="G661" s="563"/>
      <c r="H661" s="563"/>
      <c r="I661" s="563"/>
      <c r="J661" s="563"/>
      <c r="K661" s="563"/>
      <c r="L661" s="563"/>
      <c r="M661" s="46">
        <f>SUM(M651:M655)</f>
        <v>0.87420840000000011</v>
      </c>
      <c r="N661" s="58"/>
      <c r="O661" s="46"/>
      <c r="P661" s="59"/>
      <c r="Q661" s="336"/>
      <c r="R661" s="60"/>
      <c r="S661" s="50"/>
      <c r="X661" s="264"/>
      <c r="Z661" s="264"/>
      <c r="AA661" s="259"/>
      <c r="AB661" s="264"/>
      <c r="AC661" s="259"/>
      <c r="AD661" s="264"/>
      <c r="AE661" s="259"/>
      <c r="AF661" s="264"/>
      <c r="AG661" s="259"/>
      <c r="AH661" s="264"/>
      <c r="AI661" s="259"/>
    </row>
    <row r="662" spans="1:35" x14ac:dyDescent="0.15">
      <c r="A662" s="61"/>
      <c r="B662" s="552"/>
      <c r="C662" s="557"/>
      <c r="D662" s="557"/>
      <c r="E662" s="553"/>
      <c r="F662" s="552" t="s">
        <v>48</v>
      </c>
      <c r="G662" s="557"/>
      <c r="H662" s="557"/>
      <c r="I662" s="557"/>
      <c r="J662" s="557"/>
      <c r="K662" s="557"/>
      <c r="L662" s="553"/>
      <c r="M662" s="62">
        <f>SUM(M659:M661)</f>
        <v>20.037055859999999</v>
      </c>
      <c r="N662" s="63"/>
      <c r="O662" s="62">
        <f>SUM(O638:O655)</f>
        <v>0</v>
      </c>
      <c r="P662" s="63"/>
      <c r="Q662" s="337"/>
      <c r="R662" s="64"/>
      <c r="S662" s="64"/>
      <c r="X662" s="264"/>
      <c r="Z662" s="264"/>
      <c r="AA662" s="259"/>
      <c r="AB662" s="264"/>
      <c r="AC662" s="259"/>
      <c r="AD662" s="264"/>
      <c r="AE662" s="259"/>
      <c r="AF662" s="264"/>
      <c r="AG662" s="259"/>
      <c r="AH662" s="264"/>
      <c r="AI662" s="259"/>
    </row>
    <row r="663" spans="1:35" ht="24" x14ac:dyDescent="0.15">
      <c r="A663" s="65"/>
      <c r="B663" s="560" t="s">
        <v>49</v>
      </c>
      <c r="C663" s="561"/>
      <c r="D663" s="561"/>
      <c r="E663" s="562"/>
      <c r="F663" s="565" t="s">
        <v>26</v>
      </c>
      <c r="G663" s="566"/>
      <c r="H663" s="66" t="s">
        <v>1007</v>
      </c>
      <c r="I663" s="66" t="s">
        <v>1008</v>
      </c>
      <c r="J663" s="66" t="s">
        <v>50</v>
      </c>
      <c r="K663" s="66" t="s">
        <v>51</v>
      </c>
      <c r="L663" s="67" t="s">
        <v>30</v>
      </c>
      <c r="M663" s="66" t="s">
        <v>52</v>
      </c>
      <c r="N663" s="68" t="s">
        <v>53</v>
      </c>
      <c r="O663" s="68" t="s">
        <v>34</v>
      </c>
      <c r="P663" s="69" t="s">
        <v>35</v>
      </c>
      <c r="Q663" s="42"/>
      <c r="R663" s="67"/>
      <c r="S663" s="67"/>
      <c r="V663" s="270" t="s">
        <v>352</v>
      </c>
      <c r="W663" s="270" t="s">
        <v>353</v>
      </c>
      <c r="X663" s="271" t="s">
        <v>352</v>
      </c>
      <c r="Y663" s="272" t="s">
        <v>353</v>
      </c>
      <c r="Z663" s="271" t="s">
        <v>352</v>
      </c>
      <c r="AA663" s="272" t="s">
        <v>353</v>
      </c>
      <c r="AB663" s="271" t="s">
        <v>352</v>
      </c>
      <c r="AC663" s="272" t="s">
        <v>353</v>
      </c>
      <c r="AD663" s="271" t="s">
        <v>352</v>
      </c>
      <c r="AE663" s="272" t="s">
        <v>353</v>
      </c>
      <c r="AF663" s="271" t="s">
        <v>352</v>
      </c>
      <c r="AG663" s="272" t="s">
        <v>353</v>
      </c>
      <c r="AH663" s="271" t="s">
        <v>352</v>
      </c>
      <c r="AI663" s="272" t="s">
        <v>353</v>
      </c>
    </row>
    <row r="664" spans="1:35" ht="24" customHeight="1" x14ac:dyDescent="0.15">
      <c r="A664" s="111">
        <v>1</v>
      </c>
      <c r="B664" s="545" t="s">
        <v>133</v>
      </c>
      <c r="C664" s="546"/>
      <c r="D664" s="546"/>
      <c r="E664" s="547"/>
      <c r="F664" s="545" t="s">
        <v>55</v>
      </c>
      <c r="G664" s="547"/>
      <c r="H664" s="45" t="s">
        <v>1083</v>
      </c>
      <c r="I664" s="45" t="s">
        <v>1084</v>
      </c>
      <c r="J664" s="46">
        <f>IF(G623=65,M630-V664,IF(G623=55,M630-X664,IF(G623=551,M630-Z664,IF(G623=60,M630-AB664,IF(G623=601,M630-AD664,IF(G623=70,M630-AF664,IF(G623=75,M630-AH664)))))))</f>
        <v>480</v>
      </c>
      <c r="K664" s="70">
        <f>IF(G623=65,M627-W664,IF(G623=55,M627-Y664,IF(G623=551,M627-AA664,IF(G623=60,M627-AC664,IF(G623=601,M627-AE664,IF(G623=70,M627-AG664,IF(G623=75,M627-AI664)))))))</f>
        <v>467</v>
      </c>
      <c r="L664" s="70">
        <v>2</v>
      </c>
      <c r="M664" s="46">
        <f>J664*K664*L664/1000000</f>
        <v>0.44832</v>
      </c>
      <c r="N664" s="46"/>
      <c r="O664" s="46">
        <f>N664*M664</f>
        <v>0</v>
      </c>
      <c r="P664" s="71"/>
      <c r="Q664" s="240"/>
      <c r="R664" s="72"/>
      <c r="S664" s="72"/>
      <c r="T664" s="456" t="s">
        <v>1605</v>
      </c>
      <c r="U664" s="374" t="s">
        <v>1606</v>
      </c>
      <c r="V664" s="259">
        <f>70+50</f>
        <v>120</v>
      </c>
      <c r="W664" s="259">
        <f>78+55</f>
        <v>133</v>
      </c>
      <c r="X664" s="264">
        <f>72+114/2</f>
        <v>129</v>
      </c>
      <c r="Y664" s="259">
        <f>80+57</f>
        <v>137</v>
      </c>
      <c r="Z664" s="264">
        <f>72+114/2</f>
        <v>129</v>
      </c>
      <c r="AA664" s="259">
        <f>80+57</f>
        <v>137</v>
      </c>
      <c r="AB664" s="264">
        <f>72+114/2</f>
        <v>129</v>
      </c>
      <c r="AC664" s="259">
        <f>80+57</f>
        <v>137</v>
      </c>
      <c r="AD664" s="264">
        <f>72+114/2</f>
        <v>129</v>
      </c>
      <c r="AE664" s="259">
        <f>80+57</f>
        <v>137</v>
      </c>
      <c r="AF664" s="264">
        <f>72+114/2</f>
        <v>129</v>
      </c>
      <c r="AG664" s="259">
        <f>80+57</f>
        <v>137</v>
      </c>
      <c r="AH664" s="264">
        <f>72+114/2</f>
        <v>129</v>
      </c>
      <c r="AI664" s="259">
        <f>80+57</f>
        <v>137</v>
      </c>
    </row>
    <row r="665" spans="1:35" x14ac:dyDescent="0.15">
      <c r="A665" s="111">
        <v>2</v>
      </c>
      <c r="B665" s="545" t="s">
        <v>889</v>
      </c>
      <c r="C665" s="546"/>
      <c r="D665" s="546"/>
      <c r="E665" s="547"/>
      <c r="F665" s="545" t="s">
        <v>135</v>
      </c>
      <c r="G665" s="547"/>
      <c r="H665" s="577" t="s">
        <v>1085</v>
      </c>
      <c r="I665" s="578"/>
      <c r="J665" s="46"/>
      <c r="K665" s="70"/>
      <c r="L665" s="70">
        <v>1</v>
      </c>
      <c r="M665" s="147">
        <f>IF(G623=65,3.14*(M629-W665)*(M629-W665)/2/1000000,IF(G623=55,3.14*(M629-Y665)*(M629-Y665)/8/1000000,IF(G623=551,3.14*(M629-AA665)*(M629-AA665)/8/1000000,IF(G623=60,3.14*(M629-AC665)*(M629-AC665)/8/1000000,IF(G623=601,3.14*(M629-AE665)*(M629-AE665)/8/1000000,IF(G623=70,3.14*(M629-AG665)*(M629-AG665)/8/1000000,IF(G623=75,3.14*(M629-AI665)*(M629-AI665)/8/1000000)))))))</f>
        <v>0.50473773</v>
      </c>
      <c r="N665" s="46"/>
      <c r="O665" s="46">
        <f>N665*M665</f>
        <v>0</v>
      </c>
      <c r="P665" s="71"/>
      <c r="Q665" s="240"/>
      <c r="R665" s="72"/>
      <c r="S665" s="72"/>
      <c r="U665" s="374" t="s">
        <v>1607</v>
      </c>
      <c r="W665" s="275">
        <v>33</v>
      </c>
      <c r="X665" s="264"/>
      <c r="Y665" s="275">
        <v>35</v>
      </c>
      <c r="Z665" s="264"/>
      <c r="AA665" s="275">
        <v>35</v>
      </c>
      <c r="AB665" s="264"/>
      <c r="AC665" s="275">
        <v>35</v>
      </c>
      <c r="AD665" s="264"/>
      <c r="AE665" s="275">
        <v>35</v>
      </c>
      <c r="AF665" s="264"/>
      <c r="AG665" s="275">
        <v>35</v>
      </c>
      <c r="AH665" s="264"/>
      <c r="AI665" s="275">
        <v>35</v>
      </c>
    </row>
    <row r="666" spans="1:35" x14ac:dyDescent="0.15">
      <c r="A666" s="111">
        <v>3</v>
      </c>
      <c r="B666" s="545" t="s">
        <v>889</v>
      </c>
      <c r="C666" s="546"/>
      <c r="D666" s="546"/>
      <c r="E666" s="547"/>
      <c r="F666" s="545" t="s">
        <v>145</v>
      </c>
      <c r="G666" s="547"/>
      <c r="H666" s="45" t="s">
        <v>1051</v>
      </c>
      <c r="I666" s="45" t="s">
        <v>1047</v>
      </c>
      <c r="J666" s="46">
        <f>IF(G623=65,M626-V666,IF(G623=55,M626-X666,IF(G623=551,M626-Z666,IF(G623=60,M626-AB666,IF(G623=601,M626-AD666,IF(G623=70,M626-AF666,IF(G623=75,M626-AH666)))))))</f>
        <v>1134</v>
      </c>
      <c r="K666" s="70">
        <f>IF(G623=65,M628-W666,IF(G623=55,M628-Y666,IF(G623=551,M628-AA666,IF(G623=60,M628-AC666,IF(G623=601,M628-AE666,IF(G623=70,M628-AG666,IF(G623=75,M628-AI666)))))))</f>
        <v>449</v>
      </c>
      <c r="L666" s="70">
        <v>1</v>
      </c>
      <c r="M666" s="46">
        <f>J666*K666*L666/1000000</f>
        <v>0.50916600000000001</v>
      </c>
      <c r="N666" s="46"/>
      <c r="O666" s="46">
        <f>N666*M666</f>
        <v>0</v>
      </c>
      <c r="P666" s="48"/>
      <c r="Q666" s="211"/>
      <c r="R666" s="73"/>
      <c r="S666" s="73"/>
      <c r="T666" s="456" t="s">
        <v>1599</v>
      </c>
      <c r="U666" s="374" t="s">
        <v>1601</v>
      </c>
      <c r="V666" s="259">
        <f>33*2</f>
        <v>66</v>
      </c>
      <c r="W666" s="259">
        <f>33+18</f>
        <v>51</v>
      </c>
      <c r="X666" s="264">
        <f>35*2</f>
        <v>70</v>
      </c>
      <c r="Y666" s="259">
        <f>35+20</f>
        <v>55</v>
      </c>
      <c r="Z666" s="264">
        <f>35*2</f>
        <v>70</v>
      </c>
      <c r="AA666" s="259">
        <f>35+20</f>
        <v>55</v>
      </c>
      <c r="AB666" s="264">
        <f>35*2</f>
        <v>70</v>
      </c>
      <c r="AC666" s="259">
        <f>35+20</f>
        <v>55</v>
      </c>
      <c r="AD666" s="264">
        <f>35*2</f>
        <v>70</v>
      </c>
      <c r="AE666" s="259">
        <f>35+20</f>
        <v>55</v>
      </c>
      <c r="AF666" s="264">
        <f>35*2</f>
        <v>70</v>
      </c>
      <c r="AG666" s="259">
        <f>35+20</f>
        <v>55</v>
      </c>
      <c r="AH666" s="264">
        <f>35*2</f>
        <v>70</v>
      </c>
      <c r="AI666" s="259">
        <f>35+20</f>
        <v>55</v>
      </c>
    </row>
    <row r="667" spans="1:35" x14ac:dyDescent="0.15">
      <c r="A667" s="396"/>
      <c r="B667" s="434"/>
      <c r="C667" s="435"/>
      <c r="D667" s="435"/>
      <c r="E667" s="436"/>
      <c r="F667" s="434"/>
      <c r="G667" s="436"/>
      <c r="H667" s="207"/>
      <c r="I667" s="207"/>
      <c r="J667" s="208"/>
      <c r="K667" s="239"/>
      <c r="L667" s="239"/>
      <c r="M667" s="208"/>
      <c r="N667" s="208"/>
      <c r="O667" s="208"/>
      <c r="P667" s="437"/>
      <c r="Q667" s="336"/>
      <c r="R667" s="117"/>
      <c r="S667" s="117"/>
      <c r="X667" s="265"/>
      <c r="Z667" s="265"/>
      <c r="AA667" s="259"/>
      <c r="AB667" s="265"/>
      <c r="AC667" s="259"/>
      <c r="AD667" s="265"/>
      <c r="AE667" s="259"/>
      <c r="AF667" s="265"/>
      <c r="AG667" s="259"/>
      <c r="AH667" s="265"/>
      <c r="AI667" s="259"/>
    </row>
    <row r="668" spans="1:35" x14ac:dyDescent="0.15">
      <c r="A668" s="396"/>
      <c r="B668" s="434"/>
      <c r="C668" s="435"/>
      <c r="D668" s="435"/>
      <c r="E668" s="436"/>
      <c r="F668" s="434"/>
      <c r="G668" s="436"/>
      <c r="H668" s="207"/>
      <c r="I668" s="207"/>
      <c r="J668" s="208"/>
      <c r="K668" s="239"/>
      <c r="L668" s="239"/>
      <c r="M668" s="208"/>
      <c r="N668" s="208"/>
      <c r="O668" s="208"/>
      <c r="P668" s="437"/>
      <c r="Q668" s="336"/>
      <c r="R668" s="117"/>
      <c r="S668" s="117"/>
      <c r="X668" s="265"/>
      <c r="Z668" s="265"/>
      <c r="AA668" s="259"/>
      <c r="AB668" s="265"/>
      <c r="AC668" s="259"/>
      <c r="AD668" s="265"/>
      <c r="AE668" s="259"/>
      <c r="AF668" s="265"/>
      <c r="AG668" s="259"/>
      <c r="AH668" s="265"/>
      <c r="AI668" s="259"/>
    </row>
    <row r="669" spans="1:35" x14ac:dyDescent="0.15">
      <c r="A669" s="396"/>
      <c r="B669" s="434"/>
      <c r="C669" s="435"/>
      <c r="D669" s="435"/>
      <c r="E669" s="436"/>
      <c r="F669" s="434"/>
      <c r="G669" s="436"/>
      <c r="H669" s="207"/>
      <c r="I669" s="207"/>
      <c r="J669" s="208"/>
      <c r="K669" s="239"/>
      <c r="L669" s="239"/>
      <c r="M669" s="208"/>
      <c r="N669" s="208"/>
      <c r="O669" s="208"/>
      <c r="P669" s="437"/>
      <c r="Q669" s="336"/>
      <c r="R669" s="117"/>
      <c r="S669" s="117"/>
      <c r="X669" s="265"/>
      <c r="Z669" s="265"/>
      <c r="AA669" s="259"/>
      <c r="AB669" s="265"/>
      <c r="AC669" s="259"/>
      <c r="AD669" s="265"/>
      <c r="AE669" s="259"/>
      <c r="AF669" s="265"/>
      <c r="AG669" s="259"/>
      <c r="AH669" s="265"/>
      <c r="AI669" s="259"/>
    </row>
    <row r="670" spans="1:35" x14ac:dyDescent="0.15">
      <c r="A670" s="74"/>
      <c r="B670" s="552"/>
      <c r="C670" s="557"/>
      <c r="D670" s="557"/>
      <c r="E670" s="553"/>
      <c r="F670" s="554" t="s">
        <v>56</v>
      </c>
      <c r="G670" s="554"/>
      <c r="H670" s="554"/>
      <c r="I670" s="554"/>
      <c r="J670" s="570"/>
      <c r="K670" s="570"/>
      <c r="L670" s="554"/>
      <c r="M670" s="62">
        <f>SUM(M664:M669)</f>
        <v>1.4622237300000001</v>
      </c>
      <c r="N670" s="109"/>
      <c r="O670" s="62">
        <f>SUM(O664:O669)</f>
        <v>0</v>
      </c>
      <c r="P670" s="63" t="s">
        <v>57</v>
      </c>
      <c r="Q670" s="337"/>
      <c r="R670" s="64"/>
      <c r="S670" s="64"/>
    </row>
    <row r="671" spans="1:35" ht="24" x14ac:dyDescent="0.15">
      <c r="A671" s="65"/>
      <c r="B671" s="560" t="s">
        <v>58</v>
      </c>
      <c r="C671" s="561"/>
      <c r="D671" s="561"/>
      <c r="E671" s="562"/>
      <c r="F671" s="565" t="s">
        <v>26</v>
      </c>
      <c r="G671" s="566"/>
      <c r="H671" s="66" t="s">
        <v>59</v>
      </c>
      <c r="I671" s="66"/>
      <c r="J671" s="66" t="s">
        <v>60</v>
      </c>
      <c r="K671" s="66" t="s">
        <v>6</v>
      </c>
      <c r="L671" s="67" t="s">
        <v>61</v>
      </c>
      <c r="M671" s="66" t="s">
        <v>30</v>
      </c>
      <c r="N671" s="68" t="s">
        <v>62</v>
      </c>
      <c r="O671" s="68" t="s">
        <v>34</v>
      </c>
      <c r="P671" s="69" t="s">
        <v>57</v>
      </c>
      <c r="Q671" s="42"/>
      <c r="R671" s="67"/>
      <c r="S671" s="67"/>
    </row>
    <row r="672" spans="1:35" ht="25.5" customHeight="1" x14ac:dyDescent="0.15">
      <c r="A672" s="111">
        <v>1</v>
      </c>
      <c r="B672" s="545"/>
      <c r="C672" s="546"/>
      <c r="D672" s="546"/>
      <c r="E672" s="547"/>
      <c r="F672" s="545" t="s">
        <v>63</v>
      </c>
      <c r="G672" s="547"/>
      <c r="H672" s="45"/>
      <c r="I672" s="45"/>
      <c r="J672" s="45"/>
      <c r="K672" s="46" t="str">
        <f>VLOOKUP($F:$F,材料单价表!$B$3:$G$42,4,0)</f>
        <v>套</v>
      </c>
      <c r="L672" s="72"/>
      <c r="M672" s="46">
        <v>2</v>
      </c>
      <c r="N672" s="46">
        <f>VLOOKUP($F:$F,材料单价表!$B$3:$G$42,5,0)</f>
        <v>0</v>
      </c>
      <c r="O672" s="46">
        <f t="shared" ref="O672" si="99">N672*M672</f>
        <v>0</v>
      </c>
      <c r="P672" s="48"/>
      <c r="Q672" s="211"/>
      <c r="R672" s="73"/>
      <c r="S672" s="73"/>
    </row>
    <row r="673" spans="1:23" x14ac:dyDescent="0.15">
      <c r="A673" s="74"/>
      <c r="B673" s="552"/>
      <c r="C673" s="557"/>
      <c r="D673" s="557"/>
      <c r="E673" s="553"/>
      <c r="F673" s="554" t="s">
        <v>64</v>
      </c>
      <c r="G673" s="554"/>
      <c r="H673" s="554"/>
      <c r="I673" s="554"/>
      <c r="J673" s="570"/>
      <c r="K673" s="570"/>
      <c r="L673" s="554"/>
      <c r="M673" s="62">
        <f>M672</f>
        <v>2</v>
      </c>
      <c r="N673" s="109"/>
      <c r="O673" s="62">
        <f>SUM(O672:O672)</f>
        <v>0</v>
      </c>
      <c r="P673" s="63" t="s">
        <v>57</v>
      </c>
      <c r="Q673" s="337"/>
      <c r="R673" s="64"/>
      <c r="S673" s="64"/>
    </row>
    <row r="674" spans="1:23" ht="24" x14ac:dyDescent="0.15">
      <c r="A674" s="65"/>
      <c r="B674" s="560" t="s">
        <v>65</v>
      </c>
      <c r="C674" s="561"/>
      <c r="D674" s="561"/>
      <c r="E674" s="562"/>
      <c r="F674" s="565" t="s">
        <v>26</v>
      </c>
      <c r="G674" s="566"/>
      <c r="H674" s="66" t="s">
        <v>59</v>
      </c>
      <c r="I674" s="66"/>
      <c r="J674" s="66" t="s">
        <v>60</v>
      </c>
      <c r="K674" s="66" t="s">
        <v>6</v>
      </c>
      <c r="L674" s="67" t="s">
        <v>61</v>
      </c>
      <c r="M674" s="66" t="s">
        <v>30</v>
      </c>
      <c r="N674" s="68" t="s">
        <v>62</v>
      </c>
      <c r="O674" s="68" t="s">
        <v>34</v>
      </c>
      <c r="P674" s="69" t="s">
        <v>57</v>
      </c>
      <c r="Q674" s="42"/>
      <c r="R674" s="67"/>
      <c r="S674" s="67"/>
    </row>
    <row r="675" spans="1:23" ht="13.5" customHeight="1" x14ac:dyDescent="0.15">
      <c r="A675" s="76">
        <v>1</v>
      </c>
      <c r="B675" s="545"/>
      <c r="C675" s="546"/>
      <c r="D675" s="546"/>
      <c r="E675" s="547"/>
      <c r="F675" s="558" t="s">
        <v>66</v>
      </c>
      <c r="G675" s="559"/>
      <c r="H675" s="78"/>
      <c r="I675" s="78"/>
      <c r="J675" s="77"/>
      <c r="K675" s="46" t="str">
        <f>VLOOKUP($F:$F,材料单价表!$B$3:$G$42,4,0)</f>
        <v>m</v>
      </c>
      <c r="L675" s="46"/>
      <c r="M675" s="80">
        <f>M636</f>
        <v>5.5410000000000004</v>
      </c>
      <c r="N675" s="46">
        <f>VLOOKUP($F:$F,材料单价表!$B$3:$G$42,5,0)</f>
        <v>0</v>
      </c>
      <c r="O675" s="46">
        <f>N675*M675</f>
        <v>0</v>
      </c>
      <c r="P675" s="48"/>
      <c r="Q675" s="59"/>
      <c r="R675" s="81"/>
      <c r="S675" s="79"/>
    </row>
    <row r="676" spans="1:23" ht="15.75" customHeight="1" x14ac:dyDescent="0.15">
      <c r="A676" s="76">
        <v>2</v>
      </c>
      <c r="B676" s="545"/>
      <c r="C676" s="546"/>
      <c r="D676" s="546"/>
      <c r="E676" s="547"/>
      <c r="F676" s="558" t="s">
        <v>68</v>
      </c>
      <c r="G676" s="559"/>
      <c r="H676" s="78" t="s">
        <v>67</v>
      </c>
      <c r="I676" s="78"/>
      <c r="J676" s="77"/>
      <c r="K676" s="46" t="str">
        <f>VLOOKUP($F:$F,材料单价表!$B$3:$G$42,4,0)</f>
        <v>m</v>
      </c>
      <c r="L676" s="46"/>
      <c r="M676" s="80">
        <f>(J646*K646+J650*K650+J647*K647+J648*K648+J649*K649)/1000*2</f>
        <v>20.28436</v>
      </c>
      <c r="N676" s="46">
        <f>VLOOKUP($F:$F,材料单价表!$B$3:$G$42,5,0)</f>
        <v>0</v>
      </c>
      <c r="O676" s="46">
        <f t="shared" ref="O676:O682" si="100">N676*M676</f>
        <v>0</v>
      </c>
      <c r="P676" s="48"/>
      <c r="Q676" s="59"/>
      <c r="R676" s="81"/>
      <c r="S676" s="79"/>
      <c r="V676" s="104"/>
      <c r="W676" s="104"/>
    </row>
    <row r="677" spans="1:23" ht="13.5" customHeight="1" x14ac:dyDescent="0.15">
      <c r="A677" s="76">
        <v>3</v>
      </c>
      <c r="B677" s="545"/>
      <c r="C677" s="546"/>
      <c r="D677" s="546"/>
      <c r="E677" s="547"/>
      <c r="F677" s="558" t="s">
        <v>68</v>
      </c>
      <c r="G677" s="559"/>
      <c r="H677" s="78" t="s">
        <v>69</v>
      </c>
      <c r="I677" s="78"/>
      <c r="J677" s="77"/>
      <c r="K677" s="46" t="str">
        <f>VLOOKUP($F:$F,材料单价表!$B$3:$G$42,4,0)</f>
        <v>m</v>
      </c>
      <c r="L677" s="46"/>
      <c r="M677" s="80">
        <f>M636</f>
        <v>5.5410000000000004</v>
      </c>
      <c r="N677" s="46">
        <f>VLOOKUP($F:$F,材料单价表!$B$3:$G$42,5,0)</f>
        <v>0</v>
      </c>
      <c r="O677" s="46">
        <f t="shared" si="100"/>
        <v>0</v>
      </c>
      <c r="P677" s="48"/>
      <c r="Q677" s="59"/>
      <c r="R677" s="81"/>
      <c r="S677" s="79"/>
      <c r="V677" s="104"/>
      <c r="W677" s="104"/>
    </row>
    <row r="678" spans="1:23" ht="13.5" customHeight="1" x14ac:dyDescent="0.15">
      <c r="A678" s="76">
        <v>4</v>
      </c>
      <c r="B678" s="545"/>
      <c r="C678" s="546"/>
      <c r="D678" s="546"/>
      <c r="E678" s="547"/>
      <c r="F678" s="558" t="s">
        <v>68</v>
      </c>
      <c r="G678" s="559"/>
      <c r="H678" s="78" t="s">
        <v>70</v>
      </c>
      <c r="I678" s="78"/>
      <c r="J678" s="77"/>
      <c r="K678" s="46" t="str">
        <f>VLOOKUP($F:$F,材料单价表!$B$3:$G$42,4,0)</f>
        <v>m</v>
      </c>
      <c r="L678" s="46"/>
      <c r="M678" s="80">
        <f>M636</f>
        <v>5.5410000000000004</v>
      </c>
      <c r="N678" s="46">
        <f>VLOOKUP($F:$F,材料单价表!$B$3:$G$42,5,0)</f>
        <v>0</v>
      </c>
      <c r="O678" s="46">
        <f t="shared" si="100"/>
        <v>0</v>
      </c>
      <c r="P678" s="48"/>
      <c r="Q678" s="59"/>
      <c r="R678" s="81"/>
      <c r="S678" s="79"/>
      <c r="V678" s="104"/>
      <c r="W678" s="104"/>
    </row>
    <row r="679" spans="1:23" ht="13.5" customHeight="1" x14ac:dyDescent="0.15">
      <c r="A679" s="76">
        <v>5</v>
      </c>
      <c r="B679" s="545"/>
      <c r="C679" s="546"/>
      <c r="D679" s="546"/>
      <c r="E679" s="547"/>
      <c r="F679" s="558" t="s">
        <v>71</v>
      </c>
      <c r="G679" s="559"/>
      <c r="H679" s="78"/>
      <c r="I679" s="78"/>
      <c r="J679" s="77"/>
      <c r="K679" s="46" t="str">
        <f>VLOOKUP($F:$F,材料单价表!$B$3:$G$42,4,0)</f>
        <v>个</v>
      </c>
      <c r="L679" s="79"/>
      <c r="M679" s="80">
        <f>K651+K652+K654</f>
        <v>16</v>
      </c>
      <c r="N679" s="46">
        <f>VLOOKUP($F:$F,材料单价表!$B$3:$G$42,5,0)</f>
        <v>0</v>
      </c>
      <c r="O679" s="46">
        <f t="shared" si="100"/>
        <v>0</v>
      </c>
      <c r="P679" s="48"/>
      <c r="Q679" s="59"/>
      <c r="R679" s="81"/>
      <c r="S679" s="79"/>
    </row>
    <row r="680" spans="1:23" ht="13.5" customHeight="1" x14ac:dyDescent="0.15">
      <c r="A680" s="76">
        <v>6</v>
      </c>
      <c r="B680" s="545"/>
      <c r="C680" s="546"/>
      <c r="D680" s="546"/>
      <c r="E680" s="547"/>
      <c r="F680" s="558" t="s">
        <v>121</v>
      </c>
      <c r="G680" s="559"/>
      <c r="H680" s="78"/>
      <c r="I680" s="78"/>
      <c r="J680" s="77"/>
      <c r="K680" s="46" t="str">
        <f>VLOOKUP($F:$F,材料单价表!$B$3:$G$42,4,0)</f>
        <v>m</v>
      </c>
      <c r="L680" s="79"/>
      <c r="M680" s="80">
        <f>(J641*K641+J642*K642)/1000*2</f>
        <v>9.0719999999999992</v>
      </c>
      <c r="N680" s="46">
        <f>VLOOKUP($F:$F,材料单价表!$B$3:$G$42,5,0)</f>
        <v>0</v>
      </c>
      <c r="O680" s="46">
        <f t="shared" si="100"/>
        <v>0</v>
      </c>
      <c r="P680" s="48"/>
      <c r="Q680" s="59"/>
      <c r="R680" s="81"/>
      <c r="S680" s="46"/>
    </row>
    <row r="681" spans="1:23" ht="13.5" customHeight="1" x14ac:dyDescent="0.15">
      <c r="A681" s="76">
        <v>7</v>
      </c>
      <c r="B681" s="545"/>
      <c r="C681" s="546"/>
      <c r="D681" s="546"/>
      <c r="E681" s="547"/>
      <c r="F681" s="558" t="s">
        <v>121</v>
      </c>
      <c r="G681" s="559"/>
      <c r="H681" s="78"/>
      <c r="I681" s="78"/>
      <c r="J681" s="77"/>
      <c r="K681" s="46" t="str">
        <f>VLOOKUP($F:$F,材料单价表!$B$3:$G$42,4,0)</f>
        <v>m</v>
      </c>
      <c r="L681" s="79"/>
      <c r="M681" s="80">
        <f>(J642*K642+J641*K641)/1000*1</f>
        <v>4.5359999999999996</v>
      </c>
      <c r="N681" s="46">
        <f>VLOOKUP($F:$F,材料单价表!$B$3:$G$42,5,0)</f>
        <v>0</v>
      </c>
      <c r="O681" s="46">
        <f t="shared" si="100"/>
        <v>0</v>
      </c>
      <c r="P681" s="48"/>
      <c r="Q681" s="59"/>
      <c r="R681" s="81"/>
      <c r="S681" s="46"/>
    </row>
    <row r="682" spans="1:23" x14ac:dyDescent="0.15">
      <c r="A682" s="76">
        <v>8</v>
      </c>
      <c r="B682" s="545"/>
      <c r="C682" s="546"/>
      <c r="D682" s="546"/>
      <c r="E682" s="547"/>
      <c r="F682" s="558" t="s">
        <v>72</v>
      </c>
      <c r="G682" s="559"/>
      <c r="H682" s="45"/>
      <c r="I682" s="45"/>
      <c r="J682" s="45"/>
      <c r="K682" s="46" t="str">
        <f>VLOOKUP($F:$F,材料单价表!$B$3:$G$42,4,0)</f>
        <v>m2</v>
      </c>
      <c r="L682" s="72"/>
      <c r="M682" s="46">
        <f>M687</f>
        <v>2.0933250000000001</v>
      </c>
      <c r="N682" s="46">
        <f>VLOOKUP($F:$F,材料单价表!$B$3:$G$42,5,0)</f>
        <v>0</v>
      </c>
      <c r="O682" s="46">
        <f t="shared" si="100"/>
        <v>0</v>
      </c>
      <c r="P682" s="48"/>
      <c r="Q682" s="211"/>
      <c r="R682" s="73"/>
      <c r="S682" s="73"/>
    </row>
    <row r="683" spans="1:23" x14ac:dyDescent="0.15">
      <c r="A683" s="76">
        <v>9</v>
      </c>
      <c r="B683" s="545"/>
      <c r="C683" s="546"/>
      <c r="D683" s="546"/>
      <c r="E683" s="547"/>
      <c r="F683" s="558"/>
      <c r="G683" s="559"/>
      <c r="H683" s="45"/>
      <c r="I683" s="45"/>
      <c r="J683" s="45"/>
      <c r="K683" s="45"/>
      <c r="L683" s="72"/>
      <c r="M683" s="46"/>
      <c r="N683" s="46"/>
      <c r="O683" s="82"/>
      <c r="P683" s="48"/>
      <c r="Q683" s="211"/>
      <c r="R683" s="73"/>
      <c r="S683" s="73"/>
    </row>
    <row r="684" spans="1:23" x14ac:dyDescent="0.15">
      <c r="A684" s="74"/>
      <c r="B684" s="552"/>
      <c r="C684" s="557"/>
      <c r="D684" s="557"/>
      <c r="E684" s="553"/>
      <c r="F684" s="552" t="s">
        <v>73</v>
      </c>
      <c r="G684" s="557"/>
      <c r="H684" s="557"/>
      <c r="I684" s="557"/>
      <c r="J684" s="557"/>
      <c r="K684" s="557"/>
      <c r="L684" s="557"/>
      <c r="M684" s="61"/>
      <c r="N684" s="61"/>
      <c r="O684" s="62">
        <f>SUM(O675:O683)</f>
        <v>0</v>
      </c>
      <c r="P684" s="63" t="s">
        <v>57</v>
      </c>
      <c r="Q684" s="337"/>
      <c r="R684" s="64"/>
      <c r="S684" s="64"/>
    </row>
    <row r="685" spans="1:23" x14ac:dyDescent="0.15">
      <c r="A685" s="74"/>
      <c r="B685" s="552"/>
      <c r="C685" s="557"/>
      <c r="D685" s="557"/>
      <c r="E685" s="553"/>
      <c r="F685" s="552" t="s">
        <v>74</v>
      </c>
      <c r="G685" s="557"/>
      <c r="H685" s="557"/>
      <c r="I685" s="557"/>
      <c r="J685" s="557"/>
      <c r="K685" s="557"/>
      <c r="L685" s="557"/>
      <c r="M685" s="557"/>
      <c r="N685" s="553"/>
      <c r="O685" s="62">
        <f>O684+O673+O670+O662</f>
        <v>0</v>
      </c>
      <c r="P685" s="63" t="s">
        <v>57</v>
      </c>
      <c r="Q685" s="337"/>
      <c r="R685" s="64"/>
      <c r="S685" s="64"/>
    </row>
    <row r="686" spans="1:23" ht="24" x14ac:dyDescent="0.15">
      <c r="A686" s="65"/>
      <c r="B686" s="560" t="s">
        <v>75</v>
      </c>
      <c r="C686" s="561"/>
      <c r="D686" s="561"/>
      <c r="E686" s="562"/>
      <c r="F686" s="565" t="s">
        <v>26</v>
      </c>
      <c r="G686" s="566"/>
      <c r="H686" s="66"/>
      <c r="I686" s="66"/>
      <c r="J686" s="66"/>
      <c r="K686" s="66" t="s">
        <v>6</v>
      </c>
      <c r="L686" s="83" t="s">
        <v>61</v>
      </c>
      <c r="M686" s="66" t="s">
        <v>76</v>
      </c>
      <c r="N686" s="68" t="s">
        <v>62</v>
      </c>
      <c r="O686" s="68" t="s">
        <v>34</v>
      </c>
      <c r="P686" s="84" t="s">
        <v>57</v>
      </c>
      <c r="Q686" s="84"/>
      <c r="R686" s="67"/>
      <c r="S686" s="67"/>
    </row>
    <row r="687" spans="1:23" x14ac:dyDescent="0.15">
      <c r="A687" s="111">
        <v>1</v>
      </c>
      <c r="B687" s="545"/>
      <c r="C687" s="546"/>
      <c r="D687" s="546"/>
      <c r="E687" s="547"/>
      <c r="F687" s="545" t="s">
        <v>77</v>
      </c>
      <c r="G687" s="547"/>
      <c r="H687" s="45"/>
      <c r="I687" s="45"/>
      <c r="J687" s="46"/>
      <c r="K687" s="45" t="s">
        <v>78</v>
      </c>
      <c r="L687" s="72"/>
      <c r="M687" s="85">
        <f>O623</f>
        <v>2.0933250000000001</v>
      </c>
      <c r="N687" s="46">
        <f>VLOOKUP($F:$F,材料单价表!$B$3:$G$42,5,0)</f>
        <v>0</v>
      </c>
      <c r="O687" s="46">
        <f>N687*M687</f>
        <v>0</v>
      </c>
      <c r="P687" s="48"/>
      <c r="Q687" s="211"/>
      <c r="R687" s="72"/>
      <c r="S687" s="72"/>
    </row>
    <row r="688" spans="1:23" x14ac:dyDescent="0.15">
      <c r="A688" s="111">
        <v>2</v>
      </c>
      <c r="B688" s="545"/>
      <c r="C688" s="546"/>
      <c r="D688" s="546"/>
      <c r="E688" s="547"/>
      <c r="F688" s="545" t="s">
        <v>79</v>
      </c>
      <c r="G688" s="547"/>
      <c r="H688" s="45"/>
      <c r="I688" s="45"/>
      <c r="J688" s="46"/>
      <c r="K688" s="45" t="s">
        <v>78</v>
      </c>
      <c r="L688" s="72"/>
      <c r="M688" s="85">
        <f>M687</f>
        <v>2.0933250000000001</v>
      </c>
      <c r="N688" s="46">
        <f>VLOOKUP($F:$F,材料单价表!$B$3:$G$42,5,0)</f>
        <v>0</v>
      </c>
      <c r="O688" s="46">
        <f>N688*M688</f>
        <v>0</v>
      </c>
      <c r="P688" s="48"/>
      <c r="Q688" s="211"/>
      <c r="R688" s="72"/>
      <c r="S688" s="72"/>
    </row>
    <row r="689" spans="1:19" ht="24.75" customHeight="1" x14ac:dyDescent="0.15">
      <c r="A689" s="74"/>
      <c r="B689" s="552"/>
      <c r="C689" s="557"/>
      <c r="D689" s="557"/>
      <c r="E689" s="553"/>
      <c r="F689" s="552" t="s">
        <v>80</v>
      </c>
      <c r="G689" s="553"/>
      <c r="H689" s="108"/>
      <c r="I689" s="325"/>
      <c r="J689" s="554" t="s">
        <v>81</v>
      </c>
      <c r="K689" s="554"/>
      <c r="L689" s="554"/>
      <c r="M689" s="554"/>
      <c r="N689" s="87"/>
      <c r="O689" s="62">
        <f>O685+O687+O688</f>
        <v>0</v>
      </c>
      <c r="P689" s="63" t="s">
        <v>57</v>
      </c>
      <c r="Q689" s="337"/>
      <c r="R689" s="64"/>
      <c r="S689" s="64"/>
    </row>
    <row r="690" spans="1:19" ht="24" customHeight="1" x14ac:dyDescent="0.15">
      <c r="A690" s="74"/>
      <c r="B690" s="552"/>
      <c r="C690" s="557"/>
      <c r="D690" s="557"/>
      <c r="E690" s="553"/>
      <c r="F690" s="555" t="s">
        <v>82</v>
      </c>
      <c r="G690" s="556"/>
      <c r="H690" s="110"/>
      <c r="I690" s="324"/>
      <c r="J690" s="552" t="s">
        <v>81</v>
      </c>
      <c r="K690" s="557"/>
      <c r="L690" s="557"/>
      <c r="M690" s="557"/>
      <c r="N690" s="62"/>
      <c r="O690" s="62">
        <f>O689/O623</f>
        <v>0</v>
      </c>
      <c r="P690" s="89" t="s">
        <v>57</v>
      </c>
      <c r="Q690" s="89"/>
      <c r="R690" s="90"/>
      <c r="S690" s="90"/>
    </row>
    <row r="691" spans="1:19" ht="18.75" customHeight="1" x14ac:dyDescent="0.15">
      <c r="A691" s="549" t="s">
        <v>0</v>
      </c>
      <c r="B691" s="549"/>
      <c r="C691" s="549"/>
      <c r="D691" s="549"/>
      <c r="E691" s="549"/>
      <c r="F691" s="549"/>
      <c r="G691" s="549"/>
      <c r="H691" s="549"/>
      <c r="I691" s="549"/>
      <c r="J691" s="549"/>
      <c r="K691" s="549"/>
      <c r="L691" s="550"/>
      <c r="M691" s="549"/>
      <c r="N691" s="549"/>
      <c r="O691" s="549"/>
      <c r="P691" s="549"/>
      <c r="Q691" s="549"/>
      <c r="R691" s="551"/>
      <c r="S691" s="551"/>
    </row>
    <row r="692" spans="1:19" x14ac:dyDescent="0.15">
      <c r="A692" s="2" t="s">
        <v>1</v>
      </c>
      <c r="B692" s="339" t="s">
        <v>1448</v>
      </c>
      <c r="C692" s="3">
        <v>1</v>
      </c>
      <c r="D692" s="3"/>
      <c r="E692" s="3"/>
      <c r="F692" s="4" t="s">
        <v>2</v>
      </c>
      <c r="G692" s="5">
        <v>65</v>
      </c>
      <c r="H692" s="106" t="s">
        <v>126</v>
      </c>
      <c r="I692" s="106"/>
      <c r="J692" s="4" t="s">
        <v>3</v>
      </c>
      <c r="K692" s="6">
        <f>L695</f>
        <v>2500</v>
      </c>
      <c r="L692" s="7" t="s">
        <v>83</v>
      </c>
      <c r="M692" s="6">
        <f>L694</f>
        <v>1800</v>
      </c>
      <c r="N692" s="8" t="s">
        <v>4</v>
      </c>
      <c r="O692" s="9">
        <f>M704</f>
        <v>4.5</v>
      </c>
      <c r="P692" s="10"/>
      <c r="Q692" s="10"/>
      <c r="R692" s="10" t="s">
        <v>5</v>
      </c>
      <c r="S692" s="11"/>
    </row>
    <row r="693" spans="1:19" ht="14.25" x14ac:dyDescent="0.2">
      <c r="A693" s="12"/>
      <c r="B693" s="13"/>
      <c r="C693" s="13"/>
      <c r="D693" s="13"/>
      <c r="E693" s="13"/>
      <c r="F693" s="14"/>
      <c r="G693" s="14"/>
      <c r="H693" s="15"/>
      <c r="I693" s="15"/>
      <c r="J693" s="16"/>
      <c r="K693" s="16" t="s">
        <v>6</v>
      </c>
      <c r="L693" s="17" t="s">
        <v>7</v>
      </c>
      <c r="M693" s="16" t="s">
        <v>8</v>
      </c>
      <c r="N693" s="18"/>
      <c r="O693" s="548" t="s">
        <v>940</v>
      </c>
      <c r="P693" s="548"/>
      <c r="Q693" s="16" t="s">
        <v>1018</v>
      </c>
      <c r="R693" s="529" t="s">
        <v>1066</v>
      </c>
      <c r="S693" s="530" t="s">
        <v>1592</v>
      </c>
    </row>
    <row r="694" spans="1:19" ht="14.25" x14ac:dyDescent="0.2">
      <c r="A694" s="398" t="s">
        <v>884</v>
      </c>
      <c r="B694" s="404" t="s">
        <v>894</v>
      </c>
      <c r="C694" s="22"/>
      <c r="D694" s="22"/>
      <c r="E694" s="22"/>
      <c r="F694" s="23"/>
      <c r="G694" s="23"/>
      <c r="H694" s="107"/>
      <c r="I694" s="107"/>
      <c r="J694" s="24" t="s">
        <v>9</v>
      </c>
      <c r="K694" s="16" t="s">
        <v>10</v>
      </c>
      <c r="L694" s="25">
        <v>1800</v>
      </c>
      <c r="M694" s="113">
        <f>L694-M703*2</f>
        <v>1700</v>
      </c>
      <c r="N694" s="18"/>
      <c r="O694" s="356" t="s">
        <v>941</v>
      </c>
      <c r="P694" s="357"/>
      <c r="Q694" s="16" t="s">
        <v>1019</v>
      </c>
      <c r="R694" s="529"/>
      <c r="S694" s="530"/>
    </row>
    <row r="695" spans="1:19" ht="14.25" x14ac:dyDescent="0.2">
      <c r="A695" s="21"/>
      <c r="B695" s="22"/>
      <c r="C695" s="22"/>
      <c r="D695" s="22"/>
      <c r="E695" s="22"/>
      <c r="F695" s="23"/>
      <c r="G695" s="23"/>
      <c r="H695" s="18"/>
      <c r="I695" s="18"/>
      <c r="J695" s="24" t="s">
        <v>11</v>
      </c>
      <c r="K695" s="16" t="s">
        <v>10</v>
      </c>
      <c r="L695" s="113">
        <v>2500</v>
      </c>
      <c r="M695" s="113">
        <f>L695-M703*2</f>
        <v>2400</v>
      </c>
      <c r="N695" s="18"/>
      <c r="O695" s="356" t="s">
        <v>924</v>
      </c>
      <c r="P695" s="357"/>
      <c r="Q695" s="16" t="s">
        <v>1020</v>
      </c>
      <c r="R695" s="529" t="s">
        <v>1067</v>
      </c>
      <c r="S695" s="530" t="s">
        <v>1086</v>
      </c>
    </row>
    <row r="696" spans="1:19" ht="14.25" x14ac:dyDescent="0.2">
      <c r="A696" s="21"/>
      <c r="B696" s="22"/>
      <c r="C696" s="22"/>
      <c r="D696" s="22"/>
      <c r="E696" s="22"/>
      <c r="F696" s="23"/>
      <c r="G696" s="23"/>
      <c r="H696" s="18"/>
      <c r="I696" s="18"/>
      <c r="J696" s="24" t="s">
        <v>12</v>
      </c>
      <c r="K696" s="16" t="s">
        <v>10</v>
      </c>
      <c r="L696" s="26"/>
      <c r="M696" s="113">
        <f>M694-M697</f>
        <v>1200</v>
      </c>
      <c r="N696" s="18"/>
      <c r="O696" s="356" t="s">
        <v>925</v>
      </c>
      <c r="P696" s="357"/>
      <c r="Q696" s="16" t="s">
        <v>1021</v>
      </c>
      <c r="R696" s="529"/>
      <c r="S696" s="530"/>
    </row>
    <row r="697" spans="1:19" ht="14.25" x14ac:dyDescent="0.2">
      <c r="A697" s="21"/>
      <c r="B697" s="22"/>
      <c r="C697" s="22"/>
      <c r="D697" s="22"/>
      <c r="E697" s="22"/>
      <c r="F697" s="23"/>
      <c r="G697" s="23"/>
      <c r="H697" s="18"/>
      <c r="I697" s="18"/>
      <c r="J697" s="24" t="s">
        <v>13</v>
      </c>
      <c r="K697" s="16" t="s">
        <v>10</v>
      </c>
      <c r="L697" s="26"/>
      <c r="M697" s="113">
        <v>500</v>
      </c>
      <c r="N697" s="112"/>
      <c r="O697" s="356" t="s">
        <v>926</v>
      </c>
      <c r="P697" s="357"/>
      <c r="Q697" s="16" t="s">
        <v>1022</v>
      </c>
      <c r="R697" s="369"/>
      <c r="S697" s="367"/>
    </row>
    <row r="698" spans="1:19" ht="14.25" x14ac:dyDescent="0.2">
      <c r="A698" s="21"/>
      <c r="B698" s="22"/>
      <c r="C698" s="22"/>
      <c r="D698" s="22"/>
      <c r="E698" s="22"/>
      <c r="F698" s="23"/>
      <c r="G698" s="23"/>
      <c r="H698" s="18"/>
      <c r="I698" s="18"/>
      <c r="J698" s="24" t="s">
        <v>14</v>
      </c>
      <c r="K698" s="16" t="s">
        <v>10</v>
      </c>
      <c r="L698" s="26"/>
      <c r="M698" s="113"/>
      <c r="N698" s="18"/>
      <c r="O698" s="356" t="s">
        <v>927</v>
      </c>
      <c r="P698" s="357"/>
      <c r="Q698" s="16" t="s">
        <v>1023</v>
      </c>
      <c r="R698" s="369"/>
      <c r="S698" s="367"/>
    </row>
    <row r="699" spans="1:19" ht="14.25" x14ac:dyDescent="0.2">
      <c r="A699" s="21"/>
      <c r="B699" s="22"/>
      <c r="C699" s="22"/>
      <c r="D699" s="22"/>
      <c r="E699" s="22"/>
      <c r="F699" s="23"/>
      <c r="G699" s="23"/>
      <c r="H699" s="18"/>
      <c r="I699" s="18"/>
      <c r="J699" s="24" t="s">
        <v>15</v>
      </c>
      <c r="K699" s="16" t="s">
        <v>10</v>
      </c>
      <c r="L699" s="26"/>
      <c r="M699" s="113">
        <v>750</v>
      </c>
      <c r="N699" s="112"/>
      <c r="O699" s="356" t="s">
        <v>928</v>
      </c>
      <c r="P699" s="357"/>
      <c r="Q699" s="16" t="s">
        <v>1005</v>
      </c>
      <c r="R699" s="369"/>
      <c r="S699" s="367"/>
    </row>
    <row r="700" spans="1:19" ht="14.25" x14ac:dyDescent="0.2">
      <c r="A700" s="21"/>
      <c r="B700" s="22"/>
      <c r="C700" s="22"/>
      <c r="D700" s="22"/>
      <c r="E700" s="22"/>
      <c r="F700" s="23"/>
      <c r="G700" s="23"/>
      <c r="H700" s="18"/>
      <c r="I700" s="18"/>
      <c r="J700" s="24" t="s">
        <v>16</v>
      </c>
      <c r="K700" s="16" t="s">
        <v>10</v>
      </c>
      <c r="L700" s="26"/>
      <c r="M700" s="113">
        <f>M695-M699-M701</f>
        <v>1150</v>
      </c>
      <c r="N700" s="18"/>
      <c r="O700" s="356" t="s">
        <v>929</v>
      </c>
      <c r="P700" s="357"/>
      <c r="Q700" s="16" t="s">
        <v>1024</v>
      </c>
      <c r="R700" s="369"/>
      <c r="S700" s="367"/>
    </row>
    <row r="701" spans="1:19" ht="14.25" x14ac:dyDescent="0.2">
      <c r="A701" s="21"/>
      <c r="B701" s="22"/>
      <c r="C701" s="22"/>
      <c r="D701" s="22"/>
      <c r="E701" s="22"/>
      <c r="F701" s="23"/>
      <c r="G701" s="23"/>
      <c r="H701" s="18"/>
      <c r="I701" s="18"/>
      <c r="J701" s="24" t="s">
        <v>17</v>
      </c>
      <c r="K701" s="16" t="s">
        <v>10</v>
      </c>
      <c r="L701" s="26"/>
      <c r="M701" s="113">
        <v>500</v>
      </c>
      <c r="N701" s="18"/>
      <c r="O701" s="356" t="s">
        <v>930</v>
      </c>
      <c r="P701" s="357"/>
      <c r="Q701" s="16" t="s">
        <v>931</v>
      </c>
      <c r="R701" s="369"/>
      <c r="S701" s="367"/>
    </row>
    <row r="702" spans="1:19" ht="14.25" x14ac:dyDescent="0.2">
      <c r="A702" s="21"/>
      <c r="B702" s="22"/>
      <c r="C702" s="22"/>
      <c r="D702" s="22"/>
      <c r="E702" s="22"/>
      <c r="F702" s="23"/>
      <c r="G702" s="23"/>
      <c r="H702" s="18"/>
      <c r="I702" s="18"/>
      <c r="J702" s="24" t="s">
        <v>18</v>
      </c>
      <c r="K702" s="16" t="s">
        <v>10</v>
      </c>
      <c r="L702" s="26"/>
      <c r="M702" s="113"/>
      <c r="N702" s="18"/>
      <c r="O702" s="356" t="s">
        <v>932</v>
      </c>
      <c r="P702" s="357"/>
      <c r="Q702" s="16" t="s">
        <v>933</v>
      </c>
      <c r="R702" s="369"/>
      <c r="S702" s="367"/>
    </row>
    <row r="703" spans="1:19" ht="14.25" x14ac:dyDescent="0.2">
      <c r="A703" s="21"/>
      <c r="B703" s="22"/>
      <c r="C703" s="22"/>
      <c r="D703" s="22"/>
      <c r="E703" s="22"/>
      <c r="F703" s="23"/>
      <c r="G703" s="23"/>
      <c r="H703" s="18"/>
      <c r="I703" s="18"/>
      <c r="J703" s="24" t="s">
        <v>19</v>
      </c>
      <c r="K703" s="16" t="s">
        <v>10</v>
      </c>
      <c r="L703" s="26"/>
      <c r="M703" s="25">
        <v>50</v>
      </c>
      <c r="N703" s="18"/>
      <c r="O703" s="356" t="s">
        <v>934</v>
      </c>
      <c r="P703" s="357"/>
      <c r="Q703" s="16" t="s">
        <v>935</v>
      </c>
      <c r="R703" s="369"/>
      <c r="S703" s="367"/>
    </row>
    <row r="704" spans="1:19" ht="14.25" x14ac:dyDescent="0.2">
      <c r="A704" s="21"/>
      <c r="B704" s="22"/>
      <c r="C704" s="22"/>
      <c r="D704" s="22"/>
      <c r="E704" s="22"/>
      <c r="F704" s="23"/>
      <c r="G704" s="23"/>
      <c r="H704" s="18"/>
      <c r="I704" s="18"/>
      <c r="J704" s="29" t="s">
        <v>20</v>
      </c>
      <c r="K704" s="16" t="s">
        <v>21</v>
      </c>
      <c r="L704" s="30"/>
      <c r="M704" s="31">
        <f>L694*L695/1000000</f>
        <v>4.5</v>
      </c>
      <c r="N704" s="18"/>
      <c r="O704" s="356" t="s">
        <v>936</v>
      </c>
      <c r="P704" s="357"/>
      <c r="Q704" s="16" t="s">
        <v>937</v>
      </c>
      <c r="R704" s="369"/>
      <c r="S704" s="367"/>
    </row>
    <row r="705" spans="1:35" ht="14.25" x14ac:dyDescent="0.2">
      <c r="A705" s="32"/>
      <c r="B705" s="33"/>
      <c r="C705" s="33"/>
      <c r="D705" s="33"/>
      <c r="E705" s="33"/>
      <c r="F705" s="34"/>
      <c r="G705" s="34"/>
      <c r="H705" s="35"/>
      <c r="I705" s="35"/>
      <c r="J705" s="29" t="s">
        <v>22</v>
      </c>
      <c r="K705" s="16" t="s">
        <v>23</v>
      </c>
      <c r="L705" s="30"/>
      <c r="M705" s="36">
        <f>(L694+L695)*2/1000</f>
        <v>8.6</v>
      </c>
      <c r="N705" s="35"/>
      <c r="O705" s="356" t="s">
        <v>938</v>
      </c>
      <c r="P705" s="357"/>
      <c r="Q705" s="16" t="s">
        <v>939</v>
      </c>
      <c r="R705" s="370"/>
      <c r="S705" s="368"/>
      <c r="Z705" s="259"/>
      <c r="AA705" s="259"/>
      <c r="AB705" s="259"/>
      <c r="AC705" s="259"/>
      <c r="AD705" s="259"/>
      <c r="AE705" s="259"/>
    </row>
    <row r="706" spans="1:35" ht="36" x14ac:dyDescent="0.15">
      <c r="A706" s="39" t="s">
        <v>24</v>
      </c>
      <c r="B706" s="560" t="s">
        <v>25</v>
      </c>
      <c r="C706" s="561"/>
      <c r="D706" s="561"/>
      <c r="E706" s="562"/>
      <c r="F706" s="40" t="s">
        <v>26</v>
      </c>
      <c r="G706" s="40" t="s">
        <v>27</v>
      </c>
      <c r="H706" s="40" t="s">
        <v>28</v>
      </c>
      <c r="I706" s="40" t="s">
        <v>898</v>
      </c>
      <c r="J706" s="40" t="s">
        <v>29</v>
      </c>
      <c r="K706" s="40" t="s">
        <v>30</v>
      </c>
      <c r="L706" s="41" t="s">
        <v>31</v>
      </c>
      <c r="M706" s="40" t="s">
        <v>32</v>
      </c>
      <c r="N706" s="40" t="s">
        <v>33</v>
      </c>
      <c r="O706" s="40" t="s">
        <v>34</v>
      </c>
      <c r="P706" s="42" t="s">
        <v>35</v>
      </c>
      <c r="Q706" s="338" t="s">
        <v>875</v>
      </c>
      <c r="R706" s="43" t="s">
        <v>36</v>
      </c>
      <c r="S706" s="43" t="s">
        <v>37</v>
      </c>
      <c r="V706" s="261" t="s">
        <v>127</v>
      </c>
      <c r="W706" s="261"/>
      <c r="X706" s="262" t="s">
        <v>128</v>
      </c>
      <c r="Y706" s="274"/>
      <c r="Z706" s="262" t="s">
        <v>354</v>
      </c>
      <c r="AA706" s="274"/>
      <c r="AB706" s="262" t="s">
        <v>355</v>
      </c>
      <c r="AC706" s="274"/>
      <c r="AD706" s="262" t="s">
        <v>356</v>
      </c>
      <c r="AE706" s="274"/>
      <c r="AF706" s="262" t="s">
        <v>357</v>
      </c>
      <c r="AG706" s="274"/>
      <c r="AH706" s="262" t="s">
        <v>358</v>
      </c>
      <c r="AI706" s="274"/>
    </row>
    <row r="707" spans="1:35" x14ac:dyDescent="0.15">
      <c r="A707" s="57">
        <v>1</v>
      </c>
      <c r="B707" s="531" t="s">
        <v>38</v>
      </c>
      <c r="C707" s="532"/>
      <c r="D707" s="532"/>
      <c r="E707" s="533"/>
      <c r="F707" s="47" t="str">
        <f>VLOOKUP($H:$H,型材表!$B$5:$I$245,2,0)</f>
        <v>窗框</v>
      </c>
      <c r="G707" s="45" t="s">
        <v>39</v>
      </c>
      <c r="H707" s="45" t="str">
        <f>IF(G692=65,"SN65AK001",IF(G692=55,"SN55K001",IF(G692=551,"SN55BK001",IF(G692=60,"SN60K001",IF(G692=601,"SN60AK001",IF(G692=70,"SN70K001",IF(G692=75,"SN75K001")))))))</f>
        <v>SN65AK001</v>
      </c>
      <c r="I707" s="45" t="s">
        <v>901</v>
      </c>
      <c r="J707" s="46">
        <f>M694</f>
        <v>1700</v>
      </c>
      <c r="K707" s="45">
        <v>4</v>
      </c>
      <c r="L707" s="47">
        <f>VLOOKUP($H:$H,型材表!$B$5:$I$245,4,0)</f>
        <v>1.02</v>
      </c>
      <c r="M707" s="46">
        <f>J707*K707*L707/1000</f>
        <v>6.9359999999999999</v>
      </c>
      <c r="N707" s="72">
        <f>VLOOKUP($H:$H,型材表!$B$5:$I$245,7,0)</f>
        <v>0</v>
      </c>
      <c r="O707" s="46">
        <f>N707*M707</f>
        <v>0</v>
      </c>
      <c r="P707" s="100">
        <f>VLOOKUP($H:$H,型材表!$B$5:$I$245,5,0)</f>
        <v>0.125</v>
      </c>
      <c r="Q707" s="100" t="str">
        <f>VLOOKUP($H:$H,型材表!$B$5:$I$245,6,0)</f>
        <v>断桥隔热铝型材</v>
      </c>
      <c r="R707" s="49"/>
      <c r="S707" s="50"/>
      <c r="X707" s="264"/>
      <c r="Y707" s="265"/>
      <c r="Z707" s="264"/>
      <c r="AA707" s="265"/>
      <c r="AB707" s="264"/>
      <c r="AC707" s="265"/>
      <c r="AD707" s="264"/>
      <c r="AE707" s="265"/>
      <c r="AF707" s="264"/>
      <c r="AG707" s="265"/>
      <c r="AH707" s="264"/>
      <c r="AI707" s="265"/>
    </row>
    <row r="708" spans="1:35" x14ac:dyDescent="0.15">
      <c r="A708" s="57">
        <v>2</v>
      </c>
      <c r="B708" s="537"/>
      <c r="C708" s="538"/>
      <c r="D708" s="538"/>
      <c r="E708" s="539"/>
      <c r="F708" s="47" t="str">
        <f>VLOOKUP($H:$H,型材表!$B$5:$I$245,2,0)</f>
        <v>窗框</v>
      </c>
      <c r="G708" s="45" t="s">
        <v>40</v>
      </c>
      <c r="H708" s="45" t="str">
        <f>H707</f>
        <v>SN65AK001</v>
      </c>
      <c r="I708" s="45" t="s">
        <v>1068</v>
      </c>
      <c r="J708" s="46">
        <f>IF(G692=65,M695-V708,IF(G692=55,M695-X708,IF(G692=551,M695-Z708,IF(G692=60,M695-AB708,IF(G692=601,M695-AD708,IF(G692=70,M695-AF708,IF(G692=75,M695-AH708)))))))</f>
        <v>2271.6</v>
      </c>
      <c r="K708" s="45">
        <v>2</v>
      </c>
      <c r="L708" s="47">
        <f>VLOOKUP($H:$H,型材表!$B$5:$I$245,4,0)</f>
        <v>1.02</v>
      </c>
      <c r="M708" s="46">
        <f t="shared" ref="M708:M725" si="101">J708*K708*L708/1000</f>
        <v>4.6340640000000004</v>
      </c>
      <c r="N708" s="72">
        <f>VLOOKUP($H:$H,型材表!$B$5:$I$245,7,0)</f>
        <v>0</v>
      </c>
      <c r="O708" s="46">
        <f t="shared" ref="O708:O709" si="102">N708*M708</f>
        <v>0</v>
      </c>
      <c r="P708" s="100">
        <f>VLOOKUP($H:$H,型材表!$B$5:$I$245,5,0)</f>
        <v>0.125</v>
      </c>
      <c r="Q708" s="100" t="str">
        <f>VLOOKUP($H:$H,型材表!$B$5:$I$245,6,0)</f>
        <v>断桥隔热铝型材</v>
      </c>
      <c r="R708" s="49"/>
      <c r="S708" s="50"/>
      <c r="U708" s="374" t="s">
        <v>1132</v>
      </c>
      <c r="V708" s="259">
        <f>64.2*2</f>
        <v>128.4</v>
      </c>
      <c r="X708" s="264">
        <f>55*2</f>
        <v>110</v>
      </c>
      <c r="Y708" s="265"/>
      <c r="Z708" s="264">
        <f>55*2</f>
        <v>110</v>
      </c>
      <c r="AA708" s="265"/>
      <c r="AB708" s="264">
        <f>60.2*2</f>
        <v>120.4</v>
      </c>
      <c r="AC708" s="265"/>
      <c r="AD708" s="264">
        <f>60.4*2</f>
        <v>120.8</v>
      </c>
      <c r="AE708" s="265"/>
      <c r="AF708" s="264">
        <f>70.2*2</f>
        <v>140.4</v>
      </c>
      <c r="AG708" s="265"/>
      <c r="AH708" s="264">
        <f>74.2*2</f>
        <v>148.4</v>
      </c>
      <c r="AI708" s="265"/>
    </row>
    <row r="709" spans="1:35" x14ac:dyDescent="0.15">
      <c r="A709" s="395">
        <v>3</v>
      </c>
      <c r="B709" s="531" t="s">
        <v>41</v>
      </c>
      <c r="C709" s="532"/>
      <c r="D709" s="532"/>
      <c r="E709" s="533"/>
      <c r="F709" s="47" t="str">
        <f>VLOOKUP($H:$H,型材表!$B$5:$I$245,2,0)</f>
        <v>窗扇</v>
      </c>
      <c r="G709" s="45" t="s">
        <v>39</v>
      </c>
      <c r="H709" s="45" t="str">
        <f>IF(G692=65,"SN65AS001",IF(G692=55,"SN55S001",IF(G692=551,"SN55BS001",IF(G692=60,"SN60S001",IF(G692=601,"SN60AS001",IF(G692=70,"SN70S001",IF(G692=75,"SN75S001")))))))</f>
        <v>SN65AS001</v>
      </c>
      <c r="I709" s="45" t="s">
        <v>1040</v>
      </c>
      <c r="J709" s="46">
        <f>IF(G692=65,M696-V709,IF(G692=55,M696-X709,IF(G692=551,M696-Z709,IF(G692=60,M696-AB709,IF(G692=601,M696-AD709,IF(G692=70,M696-AF709,IF(G692=75,M696-AH709)))))))</f>
        <v>1171</v>
      </c>
      <c r="K709" s="45">
        <v>2</v>
      </c>
      <c r="L709" s="47">
        <f>VLOOKUP($H:$H,型材表!$B$5:$I$245,4,0)</f>
        <v>1.292</v>
      </c>
      <c r="M709" s="46">
        <f t="shared" si="101"/>
        <v>3.0258639999999999</v>
      </c>
      <c r="N709" s="72">
        <f>VLOOKUP($H:$H,型材表!$B$5:$I$245,7,0)</f>
        <v>0</v>
      </c>
      <c r="O709" s="46">
        <f t="shared" si="102"/>
        <v>0</v>
      </c>
      <c r="P709" s="100">
        <f>VLOOKUP($H:$H,型材表!$B$5:$I$245,5,0)</f>
        <v>0.125</v>
      </c>
      <c r="Q709" s="100" t="str">
        <f>VLOOKUP($H:$H,型材表!$B$5:$I$245,6,0)</f>
        <v>断桥隔热铝型材</v>
      </c>
      <c r="R709" s="49"/>
      <c r="S709" s="50"/>
      <c r="U709" s="374" t="s">
        <v>1123</v>
      </c>
      <c r="V709" s="259">
        <f>22+7</f>
        <v>29</v>
      </c>
      <c r="X709" s="264">
        <f>22+7</f>
        <v>29</v>
      </c>
      <c r="Y709" s="265"/>
      <c r="Z709" s="264">
        <f>22+7</f>
        <v>29</v>
      </c>
      <c r="AA709" s="265"/>
      <c r="AB709" s="264">
        <f>22+7</f>
        <v>29</v>
      </c>
      <c r="AC709" s="265"/>
      <c r="AD709" s="264">
        <f>22+7</f>
        <v>29</v>
      </c>
      <c r="AE709" s="265"/>
      <c r="AF709" s="264">
        <f>22+7</f>
        <v>29</v>
      </c>
      <c r="AG709" s="265"/>
      <c r="AH709" s="264">
        <f>22+7</f>
        <v>29</v>
      </c>
      <c r="AI709" s="265"/>
    </row>
    <row r="710" spans="1:35" x14ac:dyDescent="0.15">
      <c r="A710" s="395">
        <v>4</v>
      </c>
      <c r="B710" s="534"/>
      <c r="C710" s="535"/>
      <c r="D710" s="535"/>
      <c r="E710" s="536"/>
      <c r="F710" s="47" t="str">
        <f>VLOOKUP($H:$H,型材表!$B$5:$I$245,2,0)</f>
        <v>窗扇</v>
      </c>
      <c r="G710" s="45" t="s">
        <v>40</v>
      </c>
      <c r="H710" s="45" t="str">
        <f>H709</f>
        <v>SN65AS001</v>
      </c>
      <c r="I710" s="45" t="s">
        <v>1011</v>
      </c>
      <c r="J710" s="46">
        <f>IF(G692=65,M699-V710,IF(G692=55,M699-X710,IF(G692=551,M699-Z710,IF(G692=60,M699-AB710,IF(G692=601,M699-AD710,IF(G692=70,M699-AF710,IF(G692=75,M699-AH710)))))))</f>
        <v>721</v>
      </c>
      <c r="K710" s="45">
        <v>2</v>
      </c>
      <c r="L710" s="47">
        <f>VLOOKUP($H:$H,型材表!$B$5:$I$245,4,0)</f>
        <v>1.292</v>
      </c>
      <c r="M710" s="46">
        <f t="shared" si="101"/>
        <v>1.8630640000000001</v>
      </c>
      <c r="N710" s="72">
        <f>VLOOKUP($H:$H,型材表!$B$5:$I$245,7,0)</f>
        <v>0</v>
      </c>
      <c r="O710" s="46">
        <f>N710*M710</f>
        <v>0</v>
      </c>
      <c r="P710" s="100">
        <f>VLOOKUP($H:$H,型材表!$B$5:$I$245,5,0)</f>
        <v>0.125</v>
      </c>
      <c r="Q710" s="100" t="str">
        <f>VLOOKUP($H:$H,型材表!$B$5:$I$245,6,0)</f>
        <v>断桥隔热铝型材</v>
      </c>
      <c r="R710" s="49"/>
      <c r="S710" s="50"/>
      <c r="U710" s="374" t="s">
        <v>1129</v>
      </c>
      <c r="V710" s="259">
        <f>22+7</f>
        <v>29</v>
      </c>
      <c r="X710" s="264">
        <f>22+7</f>
        <v>29</v>
      </c>
      <c r="Y710" s="265"/>
      <c r="Z710" s="264">
        <f>22+7</f>
        <v>29</v>
      </c>
      <c r="AA710" s="265"/>
      <c r="AB710" s="264">
        <f>22+7</f>
        <v>29</v>
      </c>
      <c r="AC710" s="265"/>
      <c r="AD710" s="264">
        <f>22+7</f>
        <v>29</v>
      </c>
      <c r="AE710" s="265"/>
      <c r="AF710" s="264">
        <f>22+7</f>
        <v>29</v>
      </c>
      <c r="AG710" s="265"/>
      <c r="AH710" s="264">
        <f>22+7</f>
        <v>29</v>
      </c>
      <c r="AI710" s="265"/>
    </row>
    <row r="711" spans="1:35" x14ac:dyDescent="0.15">
      <c r="A711" s="395">
        <v>5</v>
      </c>
      <c r="B711" s="534"/>
      <c r="C711" s="535"/>
      <c r="D711" s="535"/>
      <c r="E711" s="536"/>
      <c r="F711" s="47" t="str">
        <f>VLOOKUP($H:$H,型材表!$B$5:$I$245,2,0)</f>
        <v>中梃</v>
      </c>
      <c r="G711" s="45" t="s">
        <v>143</v>
      </c>
      <c r="H711" s="116" t="str">
        <f>IF(G692=65,"SN65AT001",IF(G692=55,"SN55T001",IF(G692=551,"SN55BT001",IF(G692=60,"SN60T001",IF(G692=601,"SN60AT001",IF(G692=70,"SN70T001",IF(G692=75,"SN75T001")))))))</f>
        <v>SN65AT001</v>
      </c>
      <c r="I711" s="45" t="s">
        <v>1052</v>
      </c>
      <c r="J711" s="46">
        <f>IF(G692=65,M694-V711,IF(G692=55,M694-X711,IF(G692=551,M694-Z711,IF(G692=60,M694-AB711,IF(G692=601,M694-AD711,IF(G692=70,M694-AF711,IF(G692=75,M694-AH711)))))))</f>
        <v>1654</v>
      </c>
      <c r="K711" s="45">
        <v>1</v>
      </c>
      <c r="L711" s="47">
        <f>VLOOKUP($H:$H,型材表!$B$5:$I$245,4,0)</f>
        <v>1.214</v>
      </c>
      <c r="M711" s="46">
        <f t="shared" si="101"/>
        <v>2.0079560000000001</v>
      </c>
      <c r="N711" s="72">
        <f>VLOOKUP($H:$H,型材表!$B$5:$I$245,7,0)</f>
        <v>0</v>
      </c>
      <c r="O711" s="46">
        <f>N711*M711</f>
        <v>0</v>
      </c>
      <c r="P711" s="100">
        <f>VLOOKUP($H:$H,型材表!$B$5:$I$245,5,0)</f>
        <v>0.125</v>
      </c>
      <c r="Q711" s="100" t="str">
        <f>VLOOKUP($H:$H,型材表!$B$5:$I$245,6,0)</f>
        <v>断桥隔热铝型材</v>
      </c>
      <c r="R711" s="49"/>
      <c r="S711" s="50"/>
      <c r="U711" s="374" t="s">
        <v>1033</v>
      </c>
      <c r="V711" s="259">
        <f>23*2</f>
        <v>46</v>
      </c>
      <c r="X711" s="264">
        <f>23*2</f>
        <v>46</v>
      </c>
      <c r="Y711" s="265"/>
      <c r="Z711" s="264">
        <f>23*2</f>
        <v>46</v>
      </c>
      <c r="AA711" s="265"/>
      <c r="AB711" s="264">
        <f>23*2</f>
        <v>46</v>
      </c>
      <c r="AC711" s="265"/>
      <c r="AD711" s="264">
        <f>23*2</f>
        <v>46</v>
      </c>
      <c r="AE711" s="265"/>
      <c r="AF711" s="264">
        <f>23*2</f>
        <v>46</v>
      </c>
      <c r="AG711" s="265"/>
      <c r="AH711" s="264">
        <f>23*2</f>
        <v>46</v>
      </c>
      <c r="AI711" s="265"/>
    </row>
    <row r="712" spans="1:35" x14ac:dyDescent="0.15">
      <c r="A712" s="395">
        <v>6</v>
      </c>
      <c r="B712" s="537"/>
      <c r="C712" s="538"/>
      <c r="D712" s="538"/>
      <c r="E712" s="539"/>
      <c r="F712" s="47" t="str">
        <f>VLOOKUP($H:$H,型材表!$B$5:$I$245,2,0)</f>
        <v>中梃</v>
      </c>
      <c r="G712" s="45" t="s">
        <v>144</v>
      </c>
      <c r="H712" s="116" t="str">
        <f>IF(G692=65,"SN65AT001",IF(G692=55,"SN55T001",IF(G692=551,"SN55BT001",IF(G692=60,"SN60T001",IF(G692=601,"SN60AT001",IF(G692=70,"SN70T001",IF(G692=75,"SN75T001")))))))</f>
        <v>SN65AT001</v>
      </c>
      <c r="I712" s="45" t="s">
        <v>1053</v>
      </c>
      <c r="J712" s="46">
        <f>IF(G692=65,M699-V712,IF(G692=55,M699-X712,IF(G692=551,M699-Z712,IF(G692=60,M699-AB712,IF(G692=601,M699-AD712,IF(G692=70,M699-AF712,IF(G692=75,M699-AH712)))))))</f>
        <v>719</v>
      </c>
      <c r="K712" s="45">
        <v>1</v>
      </c>
      <c r="L712" s="47">
        <f>VLOOKUP($H:$H,型材表!$B$5:$I$245,4,0)</f>
        <v>1.214</v>
      </c>
      <c r="M712" s="46">
        <f t="shared" si="101"/>
        <v>0.87286600000000003</v>
      </c>
      <c r="N712" s="72">
        <f>VLOOKUP($H:$H,型材表!$B$5:$I$245,7,0)</f>
        <v>0</v>
      </c>
      <c r="O712" s="46">
        <f>N712*M712</f>
        <v>0</v>
      </c>
      <c r="P712" s="100">
        <f>VLOOKUP($H:$H,型材表!$B$5:$I$245,5,0)</f>
        <v>0.125</v>
      </c>
      <c r="Q712" s="100" t="str">
        <f>VLOOKUP($H:$H,型材表!$B$5:$I$245,6,0)</f>
        <v>断桥隔热铝型材</v>
      </c>
      <c r="R712" s="49"/>
      <c r="S712" s="50"/>
      <c r="U712" s="374" t="s">
        <v>1131</v>
      </c>
      <c r="V712" s="259">
        <f>23+8</f>
        <v>31</v>
      </c>
      <c r="X712" s="264">
        <f>23+8</f>
        <v>31</v>
      </c>
      <c r="Y712" s="265"/>
      <c r="Z712" s="264">
        <f>23+8</f>
        <v>31</v>
      </c>
      <c r="AA712" s="265"/>
      <c r="AB712" s="264">
        <f>23+8</f>
        <v>31</v>
      </c>
      <c r="AC712" s="265"/>
      <c r="AD712" s="264">
        <f>23+8</f>
        <v>31</v>
      </c>
      <c r="AE712" s="265"/>
      <c r="AF712" s="264">
        <f>23+8</f>
        <v>31</v>
      </c>
      <c r="AG712" s="265"/>
      <c r="AH712" s="264">
        <f>23+8</f>
        <v>31</v>
      </c>
      <c r="AI712" s="265"/>
    </row>
    <row r="713" spans="1:35" x14ac:dyDescent="0.15">
      <c r="A713" s="395">
        <v>7</v>
      </c>
      <c r="B713" s="542" t="s">
        <v>150</v>
      </c>
      <c r="C713" s="543"/>
      <c r="D713" s="543"/>
      <c r="E713" s="544"/>
      <c r="F713" s="47" t="str">
        <f>VLOOKUP($H:$H,型材表!$B$5:$I$245,2,0)</f>
        <v>转角型材</v>
      </c>
      <c r="G713" s="45"/>
      <c r="H713" s="45" t="str">
        <f>IF(G692=65,"SN65AJ001",IF(G692=55,"SN55J001",IF(G692=551,"SN55BJ001",IF(G692=60,"SN60J001",IF(G692=601,"SN60AJ001",IF(G692=70,"SN70J001",IF(G692=75,"SN75J001")))))))</f>
        <v>SN65AJ001</v>
      </c>
      <c r="I713" s="45" t="s">
        <v>901</v>
      </c>
      <c r="J713" s="46">
        <f>M694</f>
        <v>1700</v>
      </c>
      <c r="K713" s="45">
        <v>1</v>
      </c>
      <c r="L713" s="47">
        <f>VLOOKUP($H:$H,型材表!$B$5:$I$245,4,0)</f>
        <v>1.4159999999999999</v>
      </c>
      <c r="M713" s="46">
        <f t="shared" si="101"/>
        <v>2.4072</v>
      </c>
      <c r="N713" s="72">
        <f>VLOOKUP($H:$H,型材表!$B$5:$I$245,7,0)</f>
        <v>0</v>
      </c>
      <c r="O713" s="46">
        <f>N713*M713</f>
        <v>0</v>
      </c>
      <c r="P713" s="100">
        <f>VLOOKUP($H:$H,型材表!$B$5:$I$245,5,0)</f>
        <v>0.125</v>
      </c>
      <c r="Q713" s="100" t="str">
        <f>VLOOKUP($H:$H,型材表!$B$5:$I$245,6,0)</f>
        <v>断桥隔热铝型材</v>
      </c>
      <c r="R713" s="49"/>
      <c r="S713" s="50"/>
      <c r="X713" s="264"/>
      <c r="Y713" s="265"/>
      <c r="Z713" s="264"/>
      <c r="AA713" s="265"/>
      <c r="AB713" s="264"/>
      <c r="AC713" s="265"/>
      <c r="AD713" s="264"/>
      <c r="AE713" s="265"/>
      <c r="AF713" s="264"/>
      <c r="AG713" s="265"/>
      <c r="AH713" s="264"/>
      <c r="AI713" s="265"/>
    </row>
    <row r="714" spans="1:35" x14ac:dyDescent="0.15">
      <c r="A714" s="395">
        <v>8</v>
      </c>
      <c r="B714" s="531" t="s">
        <v>42</v>
      </c>
      <c r="C714" s="532"/>
      <c r="D714" s="532"/>
      <c r="E714" s="533"/>
      <c r="F714" s="47" t="str">
        <f>VLOOKUP($H:$H,型材表!$B$5:$I$245,2,0)</f>
        <v>压线</v>
      </c>
      <c r="G714" s="45" t="s">
        <v>39</v>
      </c>
      <c r="H714" s="45" t="str">
        <f>IF(G692=65,"SN65AY002",IF(G692=55,"SN55Y002",IF(G692=551,"SN55BY002",IF(G692=60,"SN60Y002",IF(G692=601,"SN60Y002",IF(G692=70,"SN70Y002",IF(G692=75,"SN75Y002")))))))</f>
        <v>SN65AY002</v>
      </c>
      <c r="I714" s="45" t="s">
        <v>1042</v>
      </c>
      <c r="J714" s="46">
        <f>IF(G692=65,M696-V714,IF(G692=55,M696-X714,IF(G692=551,M696-Z714,IF(G692=60,M696-AB714,IF(G692=601,M696-AD714,IF(G692=70,M696-AF714,IF(G692=75,M696-AH714)))))))</f>
        <v>1095.4000000000001</v>
      </c>
      <c r="K714" s="45">
        <v>2</v>
      </c>
      <c r="L714" s="47">
        <f>VLOOKUP($H:$H,型材表!$B$5:$I$245,4,0)</f>
        <v>0.20399999999999999</v>
      </c>
      <c r="M714" s="46">
        <f t="shared" si="101"/>
        <v>0.44692320000000002</v>
      </c>
      <c r="N714" s="72">
        <f>VLOOKUP($H:$H,型材表!$B$5:$I$245,7,0)</f>
        <v>0</v>
      </c>
      <c r="O714" s="46">
        <f t="shared" ref="O714:O725" si="103">N714*M714</f>
        <v>0</v>
      </c>
      <c r="P714" s="100">
        <f>VLOOKUP($H:$H,型材表!$B$5:$I$245,5,0)</f>
        <v>0.125</v>
      </c>
      <c r="Q714" s="100" t="str">
        <f>VLOOKUP($H:$H,型材表!$B$5:$I$245,6,0)</f>
        <v>非断桥隔热铝型材</v>
      </c>
      <c r="R714" s="49"/>
      <c r="S714" s="50"/>
      <c r="U714" s="374" t="s">
        <v>1126</v>
      </c>
      <c r="V714" s="269">
        <f>59.8+44.8</f>
        <v>104.6</v>
      </c>
      <c r="W714" s="269"/>
      <c r="X714" s="279">
        <f>59.8+44.8</f>
        <v>104.6</v>
      </c>
      <c r="Y714" s="265"/>
      <c r="Z714" s="279">
        <f>59.8+44.8</f>
        <v>104.6</v>
      </c>
      <c r="AA714" s="265"/>
      <c r="AB714" s="279">
        <f>59.8+44.8</f>
        <v>104.6</v>
      </c>
      <c r="AC714" s="265"/>
      <c r="AD714" s="279">
        <f>59.8+44.8</f>
        <v>104.6</v>
      </c>
      <c r="AE714" s="265"/>
      <c r="AF714" s="279">
        <f>59.8+44.8</f>
        <v>104.6</v>
      </c>
      <c r="AG714" s="265"/>
      <c r="AH714" s="279">
        <f>59.8+44.8</f>
        <v>104.6</v>
      </c>
      <c r="AI714" s="265"/>
    </row>
    <row r="715" spans="1:35" x14ac:dyDescent="0.15">
      <c r="A715" s="395">
        <v>9</v>
      </c>
      <c r="B715" s="534"/>
      <c r="C715" s="535"/>
      <c r="D715" s="535"/>
      <c r="E715" s="536"/>
      <c r="F715" s="47" t="str">
        <f>VLOOKUP($H:$H,型材表!$B$5:$I$245,2,0)</f>
        <v>压线</v>
      </c>
      <c r="G715" s="45" t="s">
        <v>39</v>
      </c>
      <c r="H715" s="207" t="str">
        <f>H714</f>
        <v>SN65AY002</v>
      </c>
      <c r="I715" s="207" t="s">
        <v>1043</v>
      </c>
      <c r="J715" s="208">
        <f>IF(G692=65,M697-V715,IF(G692=55,M697-X715,IF(G692=551,M697-Z715,IF(G692=60,M697-AB715,IF(G692=601,M697-AD715,IF(G692=70,M697-AF715,IF(G692=75,M697-AH715)))))))</f>
        <v>469</v>
      </c>
      <c r="K715" s="207">
        <v>2</v>
      </c>
      <c r="L715" s="47">
        <f>VLOOKUP($H:$H,型材表!$B$5:$I$245,4,0)</f>
        <v>0.20399999999999999</v>
      </c>
      <c r="M715" s="46">
        <f t="shared" ref="M715:M719" si="104">J715*K715*L715/1000</f>
        <v>0.19135199999999997</v>
      </c>
      <c r="N715" s="72">
        <f>VLOOKUP($H:$H,型材表!$B$5:$I$245,7,0)</f>
        <v>0</v>
      </c>
      <c r="O715" s="46">
        <f t="shared" ref="O715:O719" si="105">N715*M715</f>
        <v>0</v>
      </c>
      <c r="P715" s="100">
        <f>VLOOKUP($H:$H,型材表!$B$5:$I$245,5,0)</f>
        <v>0.125</v>
      </c>
      <c r="Q715" s="100" t="str">
        <f>VLOOKUP($H:$H,型材表!$B$5:$I$245,6,0)</f>
        <v>非断桥隔热铝型材</v>
      </c>
      <c r="R715" s="210"/>
      <c r="S715" s="50"/>
      <c r="U715" s="374" t="s">
        <v>1127</v>
      </c>
      <c r="V715" s="269">
        <f>8+23</f>
        <v>31</v>
      </c>
      <c r="W715" s="269"/>
      <c r="X715" s="279">
        <f>8+23</f>
        <v>31</v>
      </c>
      <c r="Y715" s="265"/>
      <c r="Z715" s="279">
        <f>8+23</f>
        <v>31</v>
      </c>
      <c r="AA715" s="265"/>
      <c r="AB715" s="279">
        <f>8+23</f>
        <v>31</v>
      </c>
      <c r="AC715" s="265"/>
      <c r="AD715" s="279">
        <f>8+23</f>
        <v>31</v>
      </c>
      <c r="AE715" s="265"/>
      <c r="AF715" s="279">
        <f>8+23</f>
        <v>31</v>
      </c>
      <c r="AG715" s="265"/>
      <c r="AH715" s="279">
        <f>8+23</f>
        <v>31</v>
      </c>
      <c r="AI715" s="265"/>
    </row>
    <row r="716" spans="1:35" x14ac:dyDescent="0.15">
      <c r="A716" s="395">
        <v>10</v>
      </c>
      <c r="B716" s="534"/>
      <c r="C716" s="535"/>
      <c r="D716" s="535"/>
      <c r="E716" s="536"/>
      <c r="F716" s="47" t="str">
        <f>VLOOKUP($H:$H,型材表!$B$5:$I$245,2,0)</f>
        <v>压线</v>
      </c>
      <c r="G716" s="45" t="s">
        <v>39</v>
      </c>
      <c r="H716" s="207" t="str">
        <f t="shared" ref="H716:H720" si="106">H715</f>
        <v>SN65AY002</v>
      </c>
      <c r="I716" s="207" t="s">
        <v>1069</v>
      </c>
      <c r="J716" s="208">
        <f>IF(G692=65,M694-V716,IF(G692=55,M694-X716,IF(G692=551,M694-Z716,IF(G692=60,M694-AB716,IF(G692=601,M694-AD716,IF(G692=70,M694-AF716,IF(G692=75,M694-AH716)))))))</f>
        <v>1654</v>
      </c>
      <c r="K716" s="45">
        <v>4</v>
      </c>
      <c r="L716" s="47">
        <f>VLOOKUP($H:$H,型材表!$B$5:$I$245,4,0)</f>
        <v>0.20399999999999999</v>
      </c>
      <c r="M716" s="46">
        <f t="shared" si="104"/>
        <v>1.349664</v>
      </c>
      <c r="N716" s="72">
        <f>VLOOKUP($H:$H,型材表!$B$5:$I$245,7,0)</f>
        <v>0</v>
      </c>
      <c r="O716" s="46">
        <f t="shared" si="105"/>
        <v>0</v>
      </c>
      <c r="P716" s="100">
        <f>VLOOKUP($H:$H,型材表!$B$5:$I$245,5,0)</f>
        <v>0.125</v>
      </c>
      <c r="Q716" s="100" t="str">
        <f>VLOOKUP($H:$H,型材表!$B$5:$I$245,6,0)</f>
        <v>非断桥隔热铝型材</v>
      </c>
      <c r="R716" s="210"/>
      <c r="S716" s="50"/>
      <c r="U716" s="374" t="s">
        <v>1038</v>
      </c>
      <c r="V716" s="269">
        <f>23*2</f>
        <v>46</v>
      </c>
      <c r="W716" s="269"/>
      <c r="X716" s="279">
        <f>23*2</f>
        <v>46</v>
      </c>
      <c r="Y716" s="265"/>
      <c r="Z716" s="279">
        <f>23*2</f>
        <v>46</v>
      </c>
      <c r="AA716" s="265"/>
      <c r="AB716" s="279">
        <f>23*2</f>
        <v>46</v>
      </c>
      <c r="AC716" s="265"/>
      <c r="AD716" s="279">
        <f>23*2</f>
        <v>46</v>
      </c>
      <c r="AE716" s="265"/>
      <c r="AF716" s="279">
        <f>23*2</f>
        <v>46</v>
      </c>
      <c r="AG716" s="265"/>
      <c r="AH716" s="279">
        <f>23*2</f>
        <v>46</v>
      </c>
      <c r="AI716" s="265"/>
    </row>
    <row r="717" spans="1:35" x14ac:dyDescent="0.15">
      <c r="A717" s="395">
        <v>11</v>
      </c>
      <c r="B717" s="534"/>
      <c r="C717" s="535"/>
      <c r="D717" s="535"/>
      <c r="E717" s="536"/>
      <c r="F717" s="47" t="str">
        <f>VLOOKUP($H:$H,型材表!$B$5:$I$245,2,0)</f>
        <v>压线</v>
      </c>
      <c r="G717" s="45" t="s">
        <v>40</v>
      </c>
      <c r="H717" s="207" t="str">
        <f>H716</f>
        <v>SN65AY002</v>
      </c>
      <c r="I717" s="207" t="s">
        <v>1016</v>
      </c>
      <c r="J717" s="208">
        <f>IF(G692=65,M699-V717,IF(G692=55,M699-X717,IF(G692=551,M699-Z717,IF(G692=60,M699-AB717,IF(G692=601,M699-AD717,IF(G692=70,M699-AF717,IF(G692=75,M699-AH717)))))))</f>
        <v>645.4</v>
      </c>
      <c r="K717" s="45">
        <v>2</v>
      </c>
      <c r="L717" s="47">
        <f>VLOOKUP($H:$H,型材表!$B$5:$I$245,4,0)</f>
        <v>0.20399999999999999</v>
      </c>
      <c r="M717" s="46">
        <f t="shared" si="104"/>
        <v>0.26332319999999998</v>
      </c>
      <c r="N717" s="72">
        <f>VLOOKUP($H:$H,型材表!$B$5:$I$245,7,0)</f>
        <v>0</v>
      </c>
      <c r="O717" s="46">
        <f t="shared" si="105"/>
        <v>0</v>
      </c>
      <c r="P717" s="100">
        <f>VLOOKUP($H:$H,型材表!$B$5:$I$245,5,0)</f>
        <v>0.125</v>
      </c>
      <c r="Q717" s="100" t="str">
        <f>VLOOKUP($H:$H,型材表!$B$5:$I$245,6,0)</f>
        <v>非断桥隔热铝型材</v>
      </c>
      <c r="R717" s="210"/>
      <c r="S717" s="50"/>
      <c r="U717" s="374" t="s">
        <v>1030</v>
      </c>
      <c r="V717" s="269">
        <f>59.8+44.8</f>
        <v>104.6</v>
      </c>
      <c r="W717" s="269"/>
      <c r="X717" s="279">
        <f>59.8+44.8</f>
        <v>104.6</v>
      </c>
      <c r="Y717" s="265"/>
      <c r="Z717" s="279">
        <f>59.8+44.8</f>
        <v>104.6</v>
      </c>
      <c r="AA717" s="265"/>
      <c r="AB717" s="279">
        <f>59.8+44.8</f>
        <v>104.6</v>
      </c>
      <c r="AC717" s="265"/>
      <c r="AD717" s="279">
        <f>59.8+44.8</f>
        <v>104.6</v>
      </c>
      <c r="AE717" s="265"/>
      <c r="AF717" s="279">
        <f>59.8+44.8</f>
        <v>104.6</v>
      </c>
      <c r="AG717" s="265"/>
      <c r="AH717" s="279">
        <f>59.8+44.8</f>
        <v>104.6</v>
      </c>
      <c r="AI717" s="265"/>
    </row>
    <row r="718" spans="1:35" x14ac:dyDescent="0.15">
      <c r="A718" s="395">
        <v>12</v>
      </c>
      <c r="B718" s="534"/>
      <c r="C718" s="535"/>
      <c r="D718" s="535"/>
      <c r="E718" s="536"/>
      <c r="F718" s="47" t="str">
        <f>VLOOKUP($H:$H,型材表!$B$5:$I$245,2,0)</f>
        <v>压线</v>
      </c>
      <c r="G718" s="45" t="s">
        <v>40</v>
      </c>
      <c r="H718" s="207" t="str">
        <f t="shared" si="106"/>
        <v>SN65AY002</v>
      </c>
      <c r="I718" s="207" t="s">
        <v>1062</v>
      </c>
      <c r="J718" s="208">
        <f>IF(G692=65,M699-V718,IF(G692=55,M699-X718,IF(G692=551,M699-Z718,IF(G692=60,M699-AB718,IF(G692=601,M699-AD718,IF(G692=70,M699-AF718,IF(G692=75,M699-AH718)))))))</f>
        <v>719</v>
      </c>
      <c r="K718" s="207">
        <v>2</v>
      </c>
      <c r="L718" s="47">
        <f>VLOOKUP($H:$H,型材表!$B$5:$I$245,4,0)</f>
        <v>0.20399999999999999</v>
      </c>
      <c r="M718" s="46">
        <f t="shared" si="104"/>
        <v>0.293352</v>
      </c>
      <c r="N718" s="72">
        <f>VLOOKUP($H:$H,型材表!$B$5:$I$245,7,0)</f>
        <v>0</v>
      </c>
      <c r="O718" s="46">
        <f t="shared" si="105"/>
        <v>0</v>
      </c>
      <c r="P718" s="100">
        <f>VLOOKUP($H:$H,型材表!$B$5:$I$245,5,0)</f>
        <v>0.125</v>
      </c>
      <c r="Q718" s="100" t="str">
        <f>VLOOKUP($H:$H,型材表!$B$5:$I$245,6,0)</f>
        <v>非断桥隔热铝型材</v>
      </c>
      <c r="R718" s="210"/>
      <c r="S718" s="50"/>
      <c r="U718" s="374" t="s">
        <v>1058</v>
      </c>
      <c r="V718" s="269">
        <f>23+8</f>
        <v>31</v>
      </c>
      <c r="W718" s="269"/>
      <c r="X718" s="279">
        <f>23+8</f>
        <v>31</v>
      </c>
      <c r="Y718" s="265"/>
      <c r="Z718" s="279">
        <f>23+8</f>
        <v>31</v>
      </c>
      <c r="AA718" s="265"/>
      <c r="AB718" s="279">
        <f>23+8</f>
        <v>31</v>
      </c>
      <c r="AC718" s="265"/>
      <c r="AD718" s="279">
        <f>23+8</f>
        <v>31</v>
      </c>
      <c r="AE718" s="265"/>
      <c r="AF718" s="279">
        <f>23+8</f>
        <v>31</v>
      </c>
      <c r="AG718" s="265"/>
      <c r="AH718" s="279">
        <f>23+8</f>
        <v>31</v>
      </c>
      <c r="AI718" s="265"/>
    </row>
    <row r="719" spans="1:35" x14ac:dyDescent="0.15">
      <c r="A719" s="395">
        <v>13</v>
      </c>
      <c r="B719" s="534"/>
      <c r="C719" s="535"/>
      <c r="D719" s="535"/>
      <c r="E719" s="536"/>
      <c r="F719" s="47" t="str">
        <f>VLOOKUP($H:$H,型材表!$B$5:$I$245,2,0)</f>
        <v>压线</v>
      </c>
      <c r="G719" s="45" t="s">
        <v>40</v>
      </c>
      <c r="H719" s="207" t="str">
        <f t="shared" si="106"/>
        <v>SN65AY002</v>
      </c>
      <c r="I719" s="207" t="s">
        <v>1070</v>
      </c>
      <c r="J719" s="208">
        <f>IF(G692=65,M700-V719,IF(G692=55,M700-X719,IF(G692=551,M700-Z719,IF(G692=60,M700-AB719,IF(G692=601,M700-AD719,IF(G692=70,M700-AF719,IF(G692=75,M700-AH719)))))))</f>
        <v>1054.8</v>
      </c>
      <c r="K719" s="45">
        <v>2</v>
      </c>
      <c r="L719" s="47">
        <f>VLOOKUP($H:$H,型材表!$B$5:$I$245,4,0)</f>
        <v>0.20399999999999999</v>
      </c>
      <c r="M719" s="46">
        <f t="shared" si="104"/>
        <v>0.43035839999999997</v>
      </c>
      <c r="N719" s="72">
        <f>VLOOKUP($H:$H,型材表!$B$5:$I$245,7,0)</f>
        <v>0</v>
      </c>
      <c r="O719" s="46">
        <f t="shared" si="105"/>
        <v>0</v>
      </c>
      <c r="P719" s="100">
        <f>VLOOKUP($H:$H,型材表!$B$5:$I$245,5,0)</f>
        <v>0.125</v>
      </c>
      <c r="Q719" s="100" t="str">
        <f>VLOOKUP($H:$H,型材表!$B$5:$I$245,6,0)</f>
        <v>非断桥隔热铝型材</v>
      </c>
      <c r="R719" s="210"/>
      <c r="S719" s="50"/>
      <c r="U719" s="374" t="s">
        <v>1133</v>
      </c>
      <c r="V719" s="269">
        <f>8+87.2</f>
        <v>95.2</v>
      </c>
      <c r="W719" s="269"/>
      <c r="X719" s="279">
        <f>8+78</f>
        <v>86</v>
      </c>
      <c r="Y719" s="265"/>
      <c r="Z719" s="279">
        <f>8+78</f>
        <v>86</v>
      </c>
      <c r="AA719" s="265"/>
      <c r="AB719" s="279">
        <f>8+83.2</f>
        <v>91.2</v>
      </c>
      <c r="AC719" s="265"/>
      <c r="AD719" s="279">
        <f>8+83.4</f>
        <v>91.4</v>
      </c>
      <c r="AE719" s="265"/>
      <c r="AF719" s="279">
        <f>8+93.2</f>
        <v>101.2</v>
      </c>
      <c r="AG719" s="265"/>
      <c r="AH719" s="279">
        <f>8+97.2</f>
        <v>105.2</v>
      </c>
      <c r="AI719" s="265"/>
    </row>
    <row r="720" spans="1:35" x14ac:dyDescent="0.15">
      <c r="A720" s="395">
        <v>14</v>
      </c>
      <c r="B720" s="537"/>
      <c r="C720" s="538"/>
      <c r="D720" s="538"/>
      <c r="E720" s="539"/>
      <c r="F720" s="47" t="str">
        <f>VLOOKUP($H:$H,型材表!$B$5:$I$245,2,0)</f>
        <v>压线</v>
      </c>
      <c r="G720" s="45" t="s">
        <v>40</v>
      </c>
      <c r="H720" s="207" t="str">
        <f t="shared" si="106"/>
        <v>SN65AY002</v>
      </c>
      <c r="I720" s="207" t="s">
        <v>1071</v>
      </c>
      <c r="J720" s="46">
        <f>IF(G692=65,M701-V720,IF(G692=55,M701-X720,IF(G692=551,M701-Z720,IF(G692=60,M701-AB720,IF(G692=601,M701-AD720,IF(G692=70,M701-AF720,IF(G692=75,M701-AH720)))))))</f>
        <v>389.8</v>
      </c>
      <c r="K720" s="45">
        <v>2</v>
      </c>
      <c r="L720" s="47">
        <f>VLOOKUP($H:$H,型材表!$B$5:$I$245,4,0)</f>
        <v>0.20399999999999999</v>
      </c>
      <c r="M720" s="46">
        <f t="shared" si="101"/>
        <v>0.1590384</v>
      </c>
      <c r="N720" s="72">
        <f>VLOOKUP($H:$H,型材表!$B$5:$I$245,7,0)</f>
        <v>0</v>
      </c>
      <c r="O720" s="46">
        <f t="shared" si="103"/>
        <v>0</v>
      </c>
      <c r="P720" s="100">
        <f>VLOOKUP($H:$H,型材表!$B$5:$I$245,5,0)</f>
        <v>0.125</v>
      </c>
      <c r="Q720" s="100" t="str">
        <f>VLOOKUP($H:$H,型材表!$B$5:$I$245,6,0)</f>
        <v>非断桥隔热铝型材</v>
      </c>
      <c r="R720" s="49"/>
      <c r="S720" s="50"/>
      <c r="U720" s="374" t="s">
        <v>1134</v>
      </c>
      <c r="V720" s="269">
        <f>87.2+23</f>
        <v>110.2</v>
      </c>
      <c r="W720" s="269"/>
      <c r="X720" s="279">
        <f>78+23</f>
        <v>101</v>
      </c>
      <c r="Y720" s="265"/>
      <c r="Z720" s="279">
        <f>78+23</f>
        <v>101</v>
      </c>
      <c r="AA720" s="265"/>
      <c r="AB720" s="279">
        <f>83.2+23</f>
        <v>106.2</v>
      </c>
      <c r="AC720" s="265"/>
      <c r="AD720" s="279">
        <f>83.4+23</f>
        <v>106.4</v>
      </c>
      <c r="AE720" s="265"/>
      <c r="AF720" s="279">
        <f>93.2+23</f>
        <v>116.2</v>
      </c>
      <c r="AG720" s="265"/>
      <c r="AH720" s="279">
        <f>97.2+23</f>
        <v>120.2</v>
      </c>
      <c r="AI720" s="265"/>
    </row>
    <row r="721" spans="1:35" x14ac:dyDescent="0.15">
      <c r="A721" s="395">
        <v>15</v>
      </c>
      <c r="B721" s="531" t="s">
        <v>44</v>
      </c>
      <c r="C721" s="532"/>
      <c r="D721" s="532"/>
      <c r="E721" s="533"/>
      <c r="F721" s="47" t="str">
        <f>VLOOKUP($H:$H,型材表!$B$5:$I$245,2,0)</f>
        <v>角码</v>
      </c>
      <c r="G721" s="51" t="s">
        <v>446</v>
      </c>
      <c r="H721" s="45" t="str">
        <f>IF(G692=65,"SW55F001","SN55F003")</f>
        <v>SW55F001</v>
      </c>
      <c r="I721" s="45" t="s">
        <v>1006</v>
      </c>
      <c r="J721" s="52">
        <f>IF(G692=65,V721,IF(G692=55,X721,IF(G692=551,Z721,IF(G692=60,AB721,IF(G692=601,AD721,IF(G692=70,AF721,IF(G692=75,AH721)))))))</f>
        <v>32.200000000000003</v>
      </c>
      <c r="K721" s="45">
        <f>K707*2</f>
        <v>8</v>
      </c>
      <c r="L721" s="47">
        <f>VLOOKUP($H:$H,型材表!$B$5:$I$245,4,0)</f>
        <v>2.0950000000000002</v>
      </c>
      <c r="M721" s="46">
        <f t="shared" si="101"/>
        <v>0.53967200000000015</v>
      </c>
      <c r="N721" s="72">
        <f>VLOOKUP($H:$H,型材表!$B$5:$I$245,7,0)</f>
        <v>0</v>
      </c>
      <c r="O721" s="46">
        <f t="shared" si="103"/>
        <v>0</v>
      </c>
      <c r="P721" s="100">
        <f>VLOOKUP($H:$H,型材表!$B$5:$I$245,5,0)</f>
        <v>0.125</v>
      </c>
      <c r="Q721" s="100" t="str">
        <f>VLOOKUP($H:$H,型材表!$B$5:$I$245,6,0)</f>
        <v>阳极氧化铝型材</v>
      </c>
      <c r="R721" s="49"/>
      <c r="S721" s="50"/>
      <c r="U721" s="374" t="s">
        <v>994</v>
      </c>
      <c r="V721" s="259">
        <f>19.5-1+14.7-1</f>
        <v>32.200000000000003</v>
      </c>
      <c r="X721" s="264">
        <f>19.5-1+14.7-1</f>
        <v>32.200000000000003</v>
      </c>
      <c r="Y721" s="265"/>
      <c r="Z721" s="264">
        <f>19.5-1+10.9-1</f>
        <v>28.4</v>
      </c>
      <c r="AA721" s="277"/>
      <c r="AB721" s="264">
        <f>19.5-1+14.7-1</f>
        <v>32.200000000000003</v>
      </c>
      <c r="AC721" s="277"/>
      <c r="AD721" s="264">
        <f>19.5-1+10.9-1</f>
        <v>28.4</v>
      </c>
      <c r="AE721" s="277"/>
      <c r="AF721" s="264">
        <f>19.5-1+14.7-1</f>
        <v>32.200000000000003</v>
      </c>
      <c r="AG721" s="277"/>
      <c r="AH721" s="264">
        <f>19.5-1+14.7-1</f>
        <v>32.200000000000003</v>
      </c>
      <c r="AI721" s="265"/>
    </row>
    <row r="722" spans="1:35" x14ac:dyDescent="0.15">
      <c r="A722" s="395">
        <v>16</v>
      </c>
      <c r="B722" s="534"/>
      <c r="C722" s="535"/>
      <c r="D722" s="535"/>
      <c r="E722" s="536"/>
      <c r="F722" s="47" t="str">
        <f>VLOOKUP($H:$H,型材表!$B$5:$I$245,2,0)</f>
        <v>角码</v>
      </c>
      <c r="G722" s="51" t="s">
        <v>447</v>
      </c>
      <c r="H722" s="45" t="str">
        <f>IF(G692=65,"SN55F003","SN55F003")</f>
        <v>SN55F003</v>
      </c>
      <c r="I722" s="45" t="s">
        <v>995</v>
      </c>
      <c r="J722" s="52">
        <f>V722</f>
        <v>27.1</v>
      </c>
      <c r="K722" s="45">
        <v>4</v>
      </c>
      <c r="L722" s="47">
        <f>VLOOKUP($H:$H,型材表!$B$5:$I$245,4,0)</f>
        <v>1.7490000000000001</v>
      </c>
      <c r="M722" s="46">
        <f t="shared" si="101"/>
        <v>0.18959160000000003</v>
      </c>
      <c r="N722" s="72">
        <f>VLOOKUP($H:$H,型材表!$B$5:$I$245,7,0)</f>
        <v>0</v>
      </c>
      <c r="O722" s="46">
        <f t="shared" si="103"/>
        <v>0</v>
      </c>
      <c r="P722" s="100">
        <f>VLOOKUP($H:$H,型材表!$B$5:$I$245,5,0)</f>
        <v>0.125</v>
      </c>
      <c r="Q722" s="100" t="str">
        <f>VLOOKUP($H:$H,型材表!$B$5:$I$245,6,0)</f>
        <v>阳极氧化铝型材</v>
      </c>
      <c r="R722" s="49"/>
      <c r="S722" s="50"/>
      <c r="U722" s="374" t="s">
        <v>995</v>
      </c>
      <c r="V722" s="259">
        <f>28.1-1</f>
        <v>27.1</v>
      </c>
      <c r="X722" s="264"/>
      <c r="Y722" s="265"/>
      <c r="Z722" s="264"/>
      <c r="AA722" s="265"/>
      <c r="AB722" s="264"/>
      <c r="AC722" s="265"/>
      <c r="AD722" s="264"/>
      <c r="AE722" s="265"/>
      <c r="AF722" s="264"/>
      <c r="AG722" s="265"/>
      <c r="AH722" s="264"/>
      <c r="AI722" s="265"/>
    </row>
    <row r="723" spans="1:35" x14ac:dyDescent="0.15">
      <c r="A723" s="395">
        <v>17</v>
      </c>
      <c r="B723" s="534"/>
      <c r="C723" s="535"/>
      <c r="D723" s="535"/>
      <c r="E723" s="536"/>
      <c r="F723" s="47" t="str">
        <f>VLOOKUP($H:$H,型材表!$B$5:$I$245,2,0)</f>
        <v>角码</v>
      </c>
      <c r="G723" s="51" t="s">
        <v>447</v>
      </c>
      <c r="H723" s="45" t="str">
        <f>IF(G692=70,"SW50F002",IF(G692=75,"SW50F002","SN55F003"))</f>
        <v>SN55F003</v>
      </c>
      <c r="I723" s="45" t="s">
        <v>996</v>
      </c>
      <c r="J723" s="52">
        <f>IF(G692=65,V723,IF(G692=55,X723,IF(G692=551,Z723,IF(G692=60,AB723,IF(G692=601,AD723,IF(G692=70,AF723,IF(G692=75,AH723)))))))</f>
        <v>8</v>
      </c>
      <c r="K723" s="45">
        <v>4</v>
      </c>
      <c r="L723" s="47">
        <f>VLOOKUP($H:$H,型材表!$B$5:$I$245,4,0)</f>
        <v>1.7490000000000001</v>
      </c>
      <c r="M723" s="46">
        <f t="shared" si="101"/>
        <v>5.5968000000000004E-2</v>
      </c>
      <c r="N723" s="72">
        <f>VLOOKUP($H:$H,型材表!$B$5:$I$245,7,0)</f>
        <v>0</v>
      </c>
      <c r="O723" s="46">
        <f t="shared" si="103"/>
        <v>0</v>
      </c>
      <c r="P723" s="100">
        <f>VLOOKUP($H:$H,型材表!$B$5:$I$245,5,0)</f>
        <v>0.125</v>
      </c>
      <c r="Q723" s="100" t="str">
        <f>VLOOKUP($H:$H,型材表!$B$5:$I$245,6,0)</f>
        <v>阳极氧化铝型材</v>
      </c>
      <c r="R723" s="49"/>
      <c r="S723" s="50"/>
      <c r="U723" s="374" t="s">
        <v>996</v>
      </c>
      <c r="V723" s="259">
        <f>9-1</f>
        <v>8</v>
      </c>
      <c r="X723" s="264">
        <f>9-1</f>
        <v>8</v>
      </c>
      <c r="Y723" s="265"/>
      <c r="Z723" s="264">
        <f>5.2-1</f>
        <v>4.2</v>
      </c>
      <c r="AA723" s="277"/>
      <c r="AB723" s="264">
        <f>9-1</f>
        <v>8</v>
      </c>
      <c r="AC723" s="277"/>
      <c r="AD723" s="264">
        <f>5.2-1</f>
        <v>4.2</v>
      </c>
      <c r="AE723" s="277"/>
      <c r="AF723" s="264">
        <f>9-1</f>
        <v>8</v>
      </c>
      <c r="AG723" s="277"/>
      <c r="AH723" s="264">
        <f>9-1</f>
        <v>8</v>
      </c>
      <c r="AI723" s="265"/>
    </row>
    <row r="724" spans="1:35" x14ac:dyDescent="0.15">
      <c r="A724" s="395">
        <v>18</v>
      </c>
      <c r="B724" s="534"/>
      <c r="C724" s="535"/>
      <c r="D724" s="535"/>
      <c r="E724" s="536"/>
      <c r="F724" s="47" t="str">
        <f>VLOOKUP($H:$H,型材表!$B$5:$I$245,2,0)</f>
        <v>中梃角码</v>
      </c>
      <c r="G724" s="51"/>
      <c r="H724" s="45" t="str">
        <f>IF(G692=65,"SN55F001","SN55F001")</f>
        <v>SN55F001</v>
      </c>
      <c r="I724" s="45" t="s">
        <v>997</v>
      </c>
      <c r="J724" s="52">
        <f>V724</f>
        <v>18.5</v>
      </c>
      <c r="K724" s="45">
        <v>4</v>
      </c>
      <c r="L724" s="47">
        <f>VLOOKUP($H:$H,型材表!$B$5:$I$245,4,0)</f>
        <v>1.4730000000000001</v>
      </c>
      <c r="M724" s="46">
        <f t="shared" si="101"/>
        <v>0.10900200000000002</v>
      </c>
      <c r="N724" s="72">
        <f>VLOOKUP($H:$H,型材表!$B$5:$I$245,7,0)</f>
        <v>0</v>
      </c>
      <c r="O724" s="46">
        <f t="shared" si="103"/>
        <v>0</v>
      </c>
      <c r="P724" s="100">
        <f>VLOOKUP($H:$H,型材表!$B$5:$I$245,5,0)</f>
        <v>0.125</v>
      </c>
      <c r="Q724" s="100" t="str">
        <f>VLOOKUP($H:$H,型材表!$B$5:$I$245,6,0)</f>
        <v>阳极氧化铝型材</v>
      </c>
      <c r="R724" s="49"/>
      <c r="S724" s="50"/>
      <c r="U724" s="374" t="s">
        <v>997</v>
      </c>
      <c r="V724" s="259">
        <f>19.5-1</f>
        <v>18.5</v>
      </c>
      <c r="X724" s="264"/>
      <c r="Y724" s="265"/>
      <c r="Z724" s="264"/>
      <c r="AA724" s="265"/>
      <c r="AB724" s="264"/>
      <c r="AC724" s="265"/>
      <c r="AD724" s="264"/>
      <c r="AE724" s="265"/>
      <c r="AF724" s="264"/>
      <c r="AG724" s="265"/>
      <c r="AH724" s="264"/>
      <c r="AI724" s="265"/>
    </row>
    <row r="725" spans="1:35" x14ac:dyDescent="0.15">
      <c r="A725" s="395">
        <v>19</v>
      </c>
      <c r="B725" s="537"/>
      <c r="C725" s="538"/>
      <c r="D725" s="538"/>
      <c r="E725" s="539"/>
      <c r="F725" s="47" t="str">
        <f>VLOOKUP($H:$H,型材表!$B$5:$I$245,2,0)</f>
        <v>中梃角码</v>
      </c>
      <c r="G725" s="53"/>
      <c r="H725" s="45" t="str">
        <f>IF(G692=70,"SN70F001",IF(G692=75,"SN70F001",IF(G692=551,"SN55BF001",IF(G692=601,"SN55BF001","SN55F002"))))</f>
        <v>SN55F002</v>
      </c>
      <c r="I725" s="45" t="s">
        <v>939</v>
      </c>
      <c r="J725" s="52">
        <f>V725</f>
        <v>13.5</v>
      </c>
      <c r="K725" s="55">
        <f>K724</f>
        <v>4</v>
      </c>
      <c r="L725" s="47">
        <f>VLOOKUP($H:$H,型材表!$B$5:$I$245,4,0)</f>
        <v>0.90400000000000003</v>
      </c>
      <c r="M725" s="46">
        <f t="shared" si="101"/>
        <v>4.8816000000000005E-2</v>
      </c>
      <c r="N725" s="72">
        <f>VLOOKUP($H:$H,型材表!$B$5:$I$245,7,0)</f>
        <v>0</v>
      </c>
      <c r="O725" s="46">
        <f t="shared" si="103"/>
        <v>0</v>
      </c>
      <c r="P725" s="100">
        <f>VLOOKUP($H:$H,型材表!$B$5:$I$245,5,0)</f>
        <v>0.125</v>
      </c>
      <c r="Q725" s="100" t="str">
        <f>VLOOKUP($H:$H,型材表!$B$5:$I$245,6,0)</f>
        <v>阳极氧化铝型材</v>
      </c>
      <c r="R725" s="49"/>
      <c r="S725" s="50"/>
      <c r="U725" s="374" t="s">
        <v>939</v>
      </c>
      <c r="V725" s="259">
        <f>14.5-1</f>
        <v>13.5</v>
      </c>
      <c r="X725" s="264"/>
      <c r="Y725" s="265"/>
      <c r="Z725" s="264"/>
      <c r="AA725" s="265"/>
      <c r="AB725" s="264"/>
      <c r="AC725" s="265"/>
      <c r="AD725" s="264"/>
      <c r="AE725" s="265"/>
      <c r="AF725" s="264"/>
      <c r="AG725" s="265"/>
      <c r="AH725" s="264"/>
      <c r="AI725" s="265"/>
    </row>
    <row r="726" spans="1:35" x14ac:dyDescent="0.15">
      <c r="A726" s="396"/>
      <c r="B726" s="387"/>
      <c r="C726" s="388"/>
      <c r="D726" s="388"/>
      <c r="E726" s="389"/>
      <c r="F726" s="306"/>
      <c r="G726" s="53"/>
      <c r="H726" s="207"/>
      <c r="I726" s="207"/>
      <c r="J726" s="214"/>
      <c r="K726" s="55"/>
      <c r="L726" s="306"/>
      <c r="M726" s="208"/>
      <c r="N726" s="432"/>
      <c r="O726" s="208"/>
      <c r="P726" s="433"/>
      <c r="Q726" s="360"/>
      <c r="R726" s="60"/>
      <c r="S726" s="50"/>
      <c r="X726" s="264"/>
      <c r="Y726" s="265"/>
      <c r="Z726" s="264"/>
      <c r="AA726" s="265"/>
      <c r="AB726" s="264"/>
      <c r="AC726" s="265"/>
      <c r="AD726" s="264"/>
      <c r="AE726" s="265"/>
      <c r="AF726" s="264"/>
      <c r="AG726" s="265"/>
      <c r="AH726" s="264"/>
      <c r="AI726" s="265"/>
    </row>
    <row r="727" spans="1:35" x14ac:dyDescent="0.15">
      <c r="A727" s="396"/>
      <c r="B727" s="387"/>
      <c r="C727" s="388"/>
      <c r="D727" s="388"/>
      <c r="E727" s="389"/>
      <c r="F727" s="306"/>
      <c r="G727" s="53"/>
      <c r="H727" s="207"/>
      <c r="I727" s="207"/>
      <c r="J727" s="214"/>
      <c r="K727" s="55"/>
      <c r="L727" s="306"/>
      <c r="M727" s="208"/>
      <c r="N727" s="432"/>
      <c r="O727" s="208"/>
      <c r="P727" s="433"/>
      <c r="Q727" s="360"/>
      <c r="R727" s="60"/>
      <c r="S727" s="50"/>
      <c r="X727" s="264"/>
      <c r="Y727" s="265"/>
      <c r="Z727" s="264"/>
      <c r="AA727" s="265"/>
      <c r="AB727" s="264"/>
      <c r="AC727" s="265"/>
      <c r="AD727" s="264"/>
      <c r="AE727" s="265"/>
      <c r="AF727" s="264"/>
      <c r="AG727" s="265"/>
      <c r="AH727" s="264"/>
      <c r="AI727" s="265"/>
    </row>
    <row r="728" spans="1:35" x14ac:dyDescent="0.15">
      <c r="A728" s="563" t="s">
        <v>877</v>
      </c>
      <c r="B728" s="563"/>
      <c r="C728" s="563"/>
      <c r="D728" s="564"/>
      <c r="E728" s="564"/>
      <c r="F728" s="563"/>
      <c r="G728" s="563"/>
      <c r="H728" s="563"/>
      <c r="I728" s="563"/>
      <c r="J728" s="563"/>
      <c r="K728" s="563"/>
      <c r="L728" s="563"/>
      <c r="M728" s="46">
        <f>SUMIF($Q$707:$Q$727,A728,$M$707:$M$727)</f>
        <v>21.747014</v>
      </c>
      <c r="N728" s="58"/>
      <c r="O728" s="46"/>
      <c r="P728" s="59"/>
      <c r="Q728" s="336"/>
      <c r="R728" s="60"/>
      <c r="S728" s="50"/>
      <c r="X728" s="264"/>
      <c r="Y728" s="265"/>
      <c r="Z728" s="264"/>
      <c r="AA728" s="265"/>
      <c r="AB728" s="264"/>
      <c r="AC728" s="265"/>
      <c r="AD728" s="264"/>
      <c r="AE728" s="265"/>
      <c r="AF728" s="264"/>
      <c r="AG728" s="265"/>
      <c r="AH728" s="264"/>
      <c r="AI728" s="265"/>
    </row>
    <row r="729" spans="1:35" x14ac:dyDescent="0.15">
      <c r="A729" s="563" t="s">
        <v>879</v>
      </c>
      <c r="B729" s="563"/>
      <c r="C729" s="563"/>
      <c r="D729" s="564"/>
      <c r="E729" s="564"/>
      <c r="F729" s="563"/>
      <c r="G729" s="563"/>
      <c r="H729" s="563"/>
      <c r="I729" s="563"/>
      <c r="J729" s="563"/>
      <c r="K729" s="563"/>
      <c r="L729" s="563"/>
      <c r="M729" s="46">
        <f t="shared" ref="M729:M730" si="107">SUMIF($Q$707:$Q$727,A729,$M$707:$M$727)</f>
        <v>3.1340111999999998</v>
      </c>
      <c r="N729" s="58"/>
      <c r="O729" s="46"/>
      <c r="P729" s="59"/>
      <c r="Q729" s="336"/>
      <c r="R729" s="60"/>
      <c r="S729" s="50"/>
      <c r="X729" s="264"/>
      <c r="Y729" s="265"/>
      <c r="Z729" s="264"/>
      <c r="AA729" s="265"/>
      <c r="AB729" s="264"/>
      <c r="AC729" s="265"/>
      <c r="AD729" s="264"/>
      <c r="AE729" s="265"/>
      <c r="AF729" s="264"/>
      <c r="AG729" s="265"/>
      <c r="AH729" s="264"/>
      <c r="AI729" s="265"/>
    </row>
    <row r="730" spans="1:35" x14ac:dyDescent="0.15">
      <c r="A730" s="563" t="s">
        <v>880</v>
      </c>
      <c r="B730" s="563"/>
      <c r="C730" s="563"/>
      <c r="D730" s="564"/>
      <c r="E730" s="564"/>
      <c r="F730" s="563"/>
      <c r="G730" s="563"/>
      <c r="H730" s="563"/>
      <c r="I730" s="563"/>
      <c r="J730" s="563"/>
      <c r="K730" s="563"/>
      <c r="L730" s="563"/>
      <c r="M730" s="46">
        <f t="shared" si="107"/>
        <v>0.94304960000000015</v>
      </c>
      <c r="N730" s="58"/>
      <c r="O730" s="46"/>
      <c r="P730" s="59"/>
      <c r="Q730" s="336"/>
      <c r="R730" s="60"/>
      <c r="S730" s="50"/>
      <c r="X730" s="264"/>
      <c r="Y730" s="265"/>
      <c r="Z730" s="264"/>
      <c r="AA730" s="265"/>
      <c r="AB730" s="264"/>
      <c r="AC730" s="265"/>
      <c r="AD730" s="264"/>
      <c r="AE730" s="265"/>
      <c r="AF730" s="264"/>
      <c r="AG730" s="265"/>
      <c r="AH730" s="264"/>
      <c r="AI730" s="265"/>
    </row>
    <row r="731" spans="1:35" x14ac:dyDescent="0.15">
      <c r="A731" s="61"/>
      <c r="B731" s="552"/>
      <c r="C731" s="557"/>
      <c r="D731" s="557"/>
      <c r="E731" s="553"/>
      <c r="F731" s="552" t="s">
        <v>48</v>
      </c>
      <c r="G731" s="557"/>
      <c r="H731" s="557"/>
      <c r="I731" s="557"/>
      <c r="J731" s="557"/>
      <c r="K731" s="557"/>
      <c r="L731" s="553"/>
      <c r="M731" s="62">
        <f>SUM(M728:M730)</f>
        <v>25.824074799999998</v>
      </c>
      <c r="N731" s="63"/>
      <c r="O731" s="62">
        <f>SUM(O707:O725)</f>
        <v>0</v>
      </c>
      <c r="P731" s="63"/>
      <c r="Q731" s="337"/>
      <c r="R731" s="64"/>
      <c r="S731" s="64"/>
      <c r="X731" s="264"/>
      <c r="Y731" s="265"/>
      <c r="Z731" s="264"/>
      <c r="AA731" s="265"/>
      <c r="AB731" s="264"/>
      <c r="AC731" s="265"/>
      <c r="AD731" s="264"/>
      <c r="AE731" s="265"/>
      <c r="AF731" s="264"/>
      <c r="AG731" s="265"/>
      <c r="AH731" s="264"/>
      <c r="AI731" s="265"/>
    </row>
    <row r="732" spans="1:35" ht="24" x14ac:dyDescent="0.15">
      <c r="A732" s="65"/>
      <c r="B732" s="560" t="s">
        <v>49</v>
      </c>
      <c r="C732" s="561"/>
      <c r="D732" s="561"/>
      <c r="E732" s="562"/>
      <c r="F732" s="565" t="s">
        <v>26</v>
      </c>
      <c r="G732" s="566"/>
      <c r="H732" s="66" t="s">
        <v>1007</v>
      </c>
      <c r="I732" s="66" t="s">
        <v>1008</v>
      </c>
      <c r="J732" s="66" t="s">
        <v>50</v>
      </c>
      <c r="K732" s="66" t="s">
        <v>51</v>
      </c>
      <c r="L732" s="67" t="s">
        <v>30</v>
      </c>
      <c r="M732" s="66" t="s">
        <v>52</v>
      </c>
      <c r="N732" s="68" t="s">
        <v>53</v>
      </c>
      <c r="O732" s="68" t="s">
        <v>34</v>
      </c>
      <c r="P732" s="69" t="s">
        <v>35</v>
      </c>
      <c r="Q732" s="42"/>
      <c r="R732" s="67"/>
      <c r="S732" s="67"/>
      <c r="V732" s="270" t="s">
        <v>352</v>
      </c>
      <c r="W732" s="270" t="s">
        <v>353</v>
      </c>
      <c r="X732" s="271" t="s">
        <v>352</v>
      </c>
      <c r="Y732" s="272" t="s">
        <v>353</v>
      </c>
      <c r="Z732" s="271" t="s">
        <v>352</v>
      </c>
      <c r="AA732" s="272" t="s">
        <v>353</v>
      </c>
      <c r="AB732" s="271" t="s">
        <v>352</v>
      </c>
      <c r="AC732" s="272" t="s">
        <v>353</v>
      </c>
      <c r="AD732" s="271" t="s">
        <v>352</v>
      </c>
      <c r="AE732" s="272" t="s">
        <v>353</v>
      </c>
      <c r="AF732" s="271" t="s">
        <v>352</v>
      </c>
      <c r="AG732" s="272" t="s">
        <v>353</v>
      </c>
      <c r="AH732" s="271" t="s">
        <v>352</v>
      </c>
      <c r="AI732" s="272" t="s">
        <v>353</v>
      </c>
    </row>
    <row r="733" spans="1:35" ht="16.5" customHeight="1" x14ac:dyDescent="0.15">
      <c r="A733" s="57">
        <v>1</v>
      </c>
      <c r="B733" s="545" t="s">
        <v>133</v>
      </c>
      <c r="C733" s="546"/>
      <c r="D733" s="546"/>
      <c r="E733" s="547"/>
      <c r="F733" s="545" t="s">
        <v>55</v>
      </c>
      <c r="G733" s="547"/>
      <c r="H733" s="45" t="s">
        <v>1027</v>
      </c>
      <c r="I733" s="45" t="s">
        <v>1046</v>
      </c>
      <c r="J733" s="46">
        <f>IF(G692=65,M699-V733,IF(G692=55,M699-X733,IF(G692=551,M699-Z733,IF(G692=60,M699-AB733,IF(G692=601,M699-AD733,IF(G692=70,M699-AF733,IF(G692=75,M699-AH733)))))))</f>
        <v>625</v>
      </c>
      <c r="K733" s="70">
        <f>IF(G692=65,M696-W733,IF(G692=55,M696-Y733,IF(G692=551,M699-AA733,IF(G692=60,M699-AC733,IF(G692=601,M699-AE733,IF(G692=70,M699-AG733,IF(G692=75,M699-AI733)))))))</f>
        <v>1075</v>
      </c>
      <c r="L733" s="70">
        <v>1</v>
      </c>
      <c r="M733" s="46">
        <f>J733*K733*L733/1000000</f>
        <v>0.671875</v>
      </c>
      <c r="N733" s="46"/>
      <c r="O733" s="46">
        <f>N733*M733</f>
        <v>0</v>
      </c>
      <c r="P733" s="71"/>
      <c r="Q733" s="240"/>
      <c r="R733" s="72"/>
      <c r="S733" s="72"/>
      <c r="T733" s="456" t="s">
        <v>1595</v>
      </c>
      <c r="U733" s="374" t="s">
        <v>1600</v>
      </c>
      <c r="V733" s="259">
        <f>70+55</f>
        <v>125</v>
      </c>
      <c r="W733" s="259">
        <f>70+55</f>
        <v>125</v>
      </c>
      <c r="X733" s="264">
        <f t="shared" ref="X733:AI733" si="108">72+57</f>
        <v>129</v>
      </c>
      <c r="Y733" s="265">
        <f t="shared" si="108"/>
        <v>129</v>
      </c>
      <c r="Z733" s="264">
        <f t="shared" si="108"/>
        <v>129</v>
      </c>
      <c r="AA733" s="265">
        <f t="shared" si="108"/>
        <v>129</v>
      </c>
      <c r="AB733" s="264">
        <f t="shared" si="108"/>
        <v>129</v>
      </c>
      <c r="AC733" s="265">
        <f t="shared" si="108"/>
        <v>129</v>
      </c>
      <c r="AD733" s="264">
        <f t="shared" si="108"/>
        <v>129</v>
      </c>
      <c r="AE733" s="265">
        <f t="shared" si="108"/>
        <v>129</v>
      </c>
      <c r="AF733" s="264">
        <f t="shared" si="108"/>
        <v>129</v>
      </c>
      <c r="AG733" s="265">
        <f t="shared" si="108"/>
        <v>129</v>
      </c>
      <c r="AH733" s="264">
        <f t="shared" si="108"/>
        <v>129</v>
      </c>
      <c r="AI733" s="265">
        <f t="shared" si="108"/>
        <v>129</v>
      </c>
    </row>
    <row r="734" spans="1:35" x14ac:dyDescent="0.15">
      <c r="A734" s="57">
        <v>2</v>
      </c>
      <c r="B734" s="545" t="s">
        <v>889</v>
      </c>
      <c r="C734" s="546"/>
      <c r="D734" s="546"/>
      <c r="E734" s="547"/>
      <c r="F734" s="545" t="s">
        <v>135</v>
      </c>
      <c r="G734" s="547"/>
      <c r="H734" s="45" t="s">
        <v>1060</v>
      </c>
      <c r="I734" s="45" t="s">
        <v>1047</v>
      </c>
      <c r="J734" s="46">
        <f>IF(G692=65,M699-V734,IF(G692=55,M699-X734,IF(G692=551,M699-Z734,IF(G692=60,M699-AB734,IF(G692=601,M699-AD734,IF(G692=70,M699-AF734,IF(G692=75,M699-AH734)))))))</f>
        <v>699</v>
      </c>
      <c r="K734" s="70">
        <f>IF(G692=65,M697-W734,IF(G692=55,M697-Y734,IF(G692=551,M697-AA734,IF(G692=60,M697-AC734,IF(G692=601,M697-AE734,IF(G692=70,M697-AG734,IF(G692=75,M697-AI734)))))))</f>
        <v>449</v>
      </c>
      <c r="L734" s="70">
        <v>1</v>
      </c>
      <c r="M734" s="46">
        <f>J734*K734*L734/1000000</f>
        <v>0.31385099999999999</v>
      </c>
      <c r="N734" s="46"/>
      <c r="O734" s="46">
        <f>N734*M734</f>
        <v>0</v>
      </c>
      <c r="P734" s="71"/>
      <c r="Q734" s="240"/>
      <c r="R734" s="72"/>
      <c r="S734" s="72"/>
      <c r="T734" s="456" t="s">
        <v>1602</v>
      </c>
      <c r="U734" s="374" t="s">
        <v>1601</v>
      </c>
      <c r="V734" s="259">
        <f>33+18</f>
        <v>51</v>
      </c>
      <c r="W734" s="259">
        <f>33+18</f>
        <v>51</v>
      </c>
      <c r="X734" s="264">
        <f t="shared" ref="X734:AI734" si="109">35+20</f>
        <v>55</v>
      </c>
      <c r="Y734" s="265">
        <f t="shared" si="109"/>
        <v>55</v>
      </c>
      <c r="Z734" s="264">
        <f t="shared" si="109"/>
        <v>55</v>
      </c>
      <c r="AA734" s="265">
        <f t="shared" si="109"/>
        <v>55</v>
      </c>
      <c r="AB734" s="264">
        <f t="shared" si="109"/>
        <v>55</v>
      </c>
      <c r="AC734" s="265">
        <f t="shared" si="109"/>
        <v>55</v>
      </c>
      <c r="AD734" s="264">
        <f t="shared" si="109"/>
        <v>55</v>
      </c>
      <c r="AE734" s="265">
        <f t="shared" si="109"/>
        <v>55</v>
      </c>
      <c r="AF734" s="264">
        <f t="shared" si="109"/>
        <v>55</v>
      </c>
      <c r="AG734" s="265">
        <f t="shared" si="109"/>
        <v>55</v>
      </c>
      <c r="AH734" s="264">
        <f t="shared" si="109"/>
        <v>55</v>
      </c>
      <c r="AI734" s="265">
        <f t="shared" si="109"/>
        <v>55</v>
      </c>
    </row>
    <row r="735" spans="1:35" x14ac:dyDescent="0.15">
      <c r="A735" s="57">
        <v>3</v>
      </c>
      <c r="B735" s="545" t="s">
        <v>889</v>
      </c>
      <c r="C735" s="546"/>
      <c r="D735" s="546"/>
      <c r="E735" s="547"/>
      <c r="F735" s="545" t="s">
        <v>145</v>
      </c>
      <c r="G735" s="547"/>
      <c r="H735" s="45" t="s">
        <v>1072</v>
      </c>
      <c r="I735" s="45" t="s">
        <v>1065</v>
      </c>
      <c r="J735" s="46">
        <f>IF(G692=65,M700-V735,IF(G692=55,M700-X735,IF(G692=551,M700-Z735,IF(G692=60,M700-AB735,IF(G692=601,M700-AD735,IF(G692=70,M700-AF735,IF(G692=75,M700-AH735)))))))</f>
        <v>1034.8</v>
      </c>
      <c r="K735" s="70">
        <f>IF(G692=65,M694-W735,IF(G692=55,M694-Y735,IF(G692=551,M694-AA735,IF(G692=60,M694-AC735,IF(G692=601,M694-AE735,IF(G692=70,M694-AG735,IF(G692=75,M694-AI735)))))))</f>
        <v>1634</v>
      </c>
      <c r="L735" s="70">
        <v>1</v>
      </c>
      <c r="M735" s="46">
        <f>J735*K735*L735/1000000</f>
        <v>1.6908631999999999</v>
      </c>
      <c r="N735" s="46"/>
      <c r="O735" s="46">
        <f>N735*M735</f>
        <v>0</v>
      </c>
      <c r="P735" s="48"/>
      <c r="Q735" s="211"/>
      <c r="R735" s="73"/>
      <c r="S735" s="73"/>
      <c r="T735" s="456" t="s">
        <v>1608</v>
      </c>
      <c r="U735" s="374" t="s">
        <v>1604</v>
      </c>
      <c r="V735" s="259">
        <f>18+97.2</f>
        <v>115.2</v>
      </c>
      <c r="W735" s="259">
        <f>33*2</f>
        <v>66</v>
      </c>
      <c r="X735" s="264">
        <f>20+90</f>
        <v>110</v>
      </c>
      <c r="Y735" s="265">
        <f>35*2</f>
        <v>70</v>
      </c>
      <c r="Z735" s="264">
        <f>20+90</f>
        <v>110</v>
      </c>
      <c r="AA735" s="265">
        <f>35*2</f>
        <v>70</v>
      </c>
      <c r="AB735" s="264">
        <f>20+95.2</f>
        <v>115.2</v>
      </c>
      <c r="AC735" s="265">
        <f>35*2</f>
        <v>70</v>
      </c>
      <c r="AD735" s="264">
        <f>20+95.4</f>
        <v>115.4</v>
      </c>
      <c r="AE735" s="265">
        <f>35*2</f>
        <v>70</v>
      </c>
      <c r="AF735" s="264">
        <f>20+105.2</f>
        <v>125.2</v>
      </c>
      <c r="AG735" s="265">
        <f>35*2</f>
        <v>70</v>
      </c>
      <c r="AH735" s="264">
        <f>20+109.2</f>
        <v>129.19999999999999</v>
      </c>
      <c r="AI735" s="265">
        <f>35*2</f>
        <v>70</v>
      </c>
    </row>
    <row r="736" spans="1:35" x14ac:dyDescent="0.15">
      <c r="A736" s="57">
        <v>4</v>
      </c>
      <c r="B736" s="545" t="s">
        <v>889</v>
      </c>
      <c r="C736" s="546"/>
      <c r="D736" s="546"/>
      <c r="E736" s="547"/>
      <c r="F736" s="545" t="s">
        <v>147</v>
      </c>
      <c r="G736" s="547"/>
      <c r="H736" s="45" t="s">
        <v>1073</v>
      </c>
      <c r="I736" s="45" t="s">
        <v>1065</v>
      </c>
      <c r="J736" s="46">
        <f>IF(G692=65,M701-V736,IF(G692=55,M701-X736,IF(G692=551,M701-Z736,IF(G692=60,M701-AB736,IF(G692=601,M701-AD736,IF(G692=70,M701-AF736,IF(G692=75,M701-AH736)))))))</f>
        <v>369.8</v>
      </c>
      <c r="K736" s="70">
        <f>IF(G692=65,M694-W736,IF(G692=55,M694-Y736,IF(G692=551,M694-AA736,IF(G692=60,M694-AC736,IF(G692=601,M694-AE736,IF(G692=70,M694-AG736,IF(G692=75,M694-AI736)))))))</f>
        <v>1634</v>
      </c>
      <c r="L736" s="70">
        <v>1</v>
      </c>
      <c r="M736" s="46">
        <f>J736*K736*L736/1000000</f>
        <v>0.60425320000000005</v>
      </c>
      <c r="N736" s="46"/>
      <c r="O736" s="46">
        <f>N736*M736</f>
        <v>0</v>
      </c>
      <c r="P736" s="59"/>
      <c r="Q736" s="336"/>
      <c r="R736" s="117"/>
      <c r="S736" s="117"/>
      <c r="T736" s="456" t="s">
        <v>1609</v>
      </c>
      <c r="U736" s="374" t="s">
        <v>1604</v>
      </c>
      <c r="V736" s="259">
        <f>33+97.2</f>
        <v>130.19999999999999</v>
      </c>
      <c r="W736" s="259">
        <f>33*2</f>
        <v>66</v>
      </c>
      <c r="X736" s="264">
        <f>90+35</f>
        <v>125</v>
      </c>
      <c r="Y736" s="265">
        <f>35*2</f>
        <v>70</v>
      </c>
      <c r="Z736" s="264">
        <f>90+35</f>
        <v>125</v>
      </c>
      <c r="AA736" s="265">
        <f>35*2</f>
        <v>70</v>
      </c>
      <c r="AB736" s="264">
        <f>95.2+35</f>
        <v>130.19999999999999</v>
      </c>
      <c r="AC736" s="265">
        <f>35*2</f>
        <v>70</v>
      </c>
      <c r="AD736" s="264">
        <f>95.4+35</f>
        <v>130.4</v>
      </c>
      <c r="AE736" s="265">
        <f>35*2</f>
        <v>70</v>
      </c>
      <c r="AF736" s="264">
        <f>105.2+35</f>
        <v>140.19999999999999</v>
      </c>
      <c r="AG736" s="265">
        <f>35*2</f>
        <v>70</v>
      </c>
      <c r="AH736" s="264">
        <f>109.2+35</f>
        <v>144.19999999999999</v>
      </c>
      <c r="AI736" s="265">
        <f>35*2</f>
        <v>70</v>
      </c>
    </row>
    <row r="737" spans="1:35" x14ac:dyDescent="0.15">
      <c r="A737" s="396"/>
      <c r="B737" s="434"/>
      <c r="C737" s="435"/>
      <c r="D737" s="435"/>
      <c r="E737" s="436"/>
      <c r="F737" s="434"/>
      <c r="G737" s="436"/>
      <c r="H737" s="207"/>
      <c r="I737" s="207"/>
      <c r="J737" s="208"/>
      <c r="K737" s="239"/>
      <c r="L737" s="239"/>
      <c r="M737" s="208"/>
      <c r="N737" s="208"/>
      <c r="O737" s="208"/>
      <c r="P737" s="437"/>
      <c r="Q737" s="336"/>
      <c r="R737" s="117"/>
      <c r="S737" s="117"/>
      <c r="X737" s="265"/>
      <c r="Y737" s="265"/>
      <c r="Z737" s="265"/>
      <c r="AA737" s="265"/>
      <c r="AB737" s="265"/>
      <c r="AC737" s="265"/>
      <c r="AD737" s="265"/>
      <c r="AE737" s="265"/>
      <c r="AF737" s="265"/>
      <c r="AG737" s="265"/>
      <c r="AH737" s="265"/>
      <c r="AI737" s="265"/>
    </row>
    <row r="738" spans="1:35" x14ac:dyDescent="0.15">
      <c r="A738" s="396"/>
      <c r="B738" s="434"/>
      <c r="C738" s="435"/>
      <c r="D738" s="435"/>
      <c r="E738" s="436"/>
      <c r="F738" s="434"/>
      <c r="G738" s="436"/>
      <c r="H738" s="207"/>
      <c r="I738" s="207"/>
      <c r="J738" s="208"/>
      <c r="K738" s="239"/>
      <c r="L738" s="239"/>
      <c r="M738" s="208"/>
      <c r="N738" s="208"/>
      <c r="O738" s="208"/>
      <c r="P738" s="437"/>
      <c r="Q738" s="336"/>
      <c r="R738" s="117"/>
      <c r="S738" s="117"/>
      <c r="X738" s="265"/>
      <c r="Y738" s="265"/>
      <c r="Z738" s="265"/>
      <c r="AA738" s="265"/>
      <c r="AB738" s="265"/>
      <c r="AC738" s="265"/>
      <c r="AD738" s="265"/>
      <c r="AE738" s="265"/>
      <c r="AF738" s="265"/>
      <c r="AG738" s="265"/>
      <c r="AH738" s="265"/>
      <c r="AI738" s="265"/>
    </row>
    <row r="739" spans="1:35" x14ac:dyDescent="0.15">
      <c r="A739" s="74"/>
      <c r="B739" s="552"/>
      <c r="C739" s="557"/>
      <c r="D739" s="557"/>
      <c r="E739" s="553"/>
      <c r="F739" s="554" t="s">
        <v>56</v>
      </c>
      <c r="G739" s="554"/>
      <c r="H739" s="554"/>
      <c r="I739" s="554"/>
      <c r="J739" s="570"/>
      <c r="K739" s="570"/>
      <c r="L739" s="554"/>
      <c r="M739" s="62">
        <f>SUM(M733:M738)</f>
        <v>3.2808424</v>
      </c>
      <c r="N739" s="75"/>
      <c r="O739" s="62">
        <f>SUM(O733:O738)</f>
        <v>0</v>
      </c>
      <c r="P739" s="63" t="s">
        <v>57</v>
      </c>
      <c r="Q739" s="337"/>
      <c r="R739" s="64"/>
      <c r="S739" s="64"/>
    </row>
    <row r="740" spans="1:35" ht="24" x14ac:dyDescent="0.15">
      <c r="A740" s="65"/>
      <c r="B740" s="560" t="s">
        <v>58</v>
      </c>
      <c r="C740" s="561"/>
      <c r="D740" s="561"/>
      <c r="E740" s="562"/>
      <c r="F740" s="565" t="s">
        <v>26</v>
      </c>
      <c r="G740" s="566"/>
      <c r="H740" s="66" t="s">
        <v>59</v>
      </c>
      <c r="I740" s="66"/>
      <c r="J740" s="66" t="s">
        <v>60</v>
      </c>
      <c r="K740" s="66" t="s">
        <v>6</v>
      </c>
      <c r="L740" s="67" t="s">
        <v>61</v>
      </c>
      <c r="M740" s="66" t="s">
        <v>30</v>
      </c>
      <c r="N740" s="68" t="s">
        <v>62</v>
      </c>
      <c r="O740" s="68" t="s">
        <v>34</v>
      </c>
      <c r="P740" s="69" t="s">
        <v>57</v>
      </c>
      <c r="Q740" s="42"/>
      <c r="R740" s="67"/>
      <c r="S740" s="67"/>
    </row>
    <row r="741" spans="1:35" ht="25.5" customHeight="1" x14ac:dyDescent="0.15">
      <c r="A741" s="57">
        <v>1</v>
      </c>
      <c r="B741" s="545"/>
      <c r="C741" s="546"/>
      <c r="D741" s="546"/>
      <c r="E741" s="547"/>
      <c r="F741" s="545" t="s">
        <v>63</v>
      </c>
      <c r="G741" s="547"/>
      <c r="H741" s="45"/>
      <c r="I741" s="45"/>
      <c r="J741" s="45"/>
      <c r="K741" s="46" t="str">
        <f>VLOOKUP($F:$F,材料单价表!$B$3:$G$42,4,0)</f>
        <v>套</v>
      </c>
      <c r="L741" s="72"/>
      <c r="M741" s="46">
        <v>1</v>
      </c>
      <c r="N741" s="46">
        <f>VLOOKUP($F:$F,材料单价表!$B$3:$G$42,5,0)</f>
        <v>0</v>
      </c>
      <c r="O741" s="46">
        <f t="shared" ref="O741" si="110">N741*M741</f>
        <v>0</v>
      </c>
      <c r="P741" s="48"/>
      <c r="Q741" s="211"/>
      <c r="R741" s="73"/>
      <c r="S741" s="73"/>
    </row>
    <row r="742" spans="1:35" x14ac:dyDescent="0.15">
      <c r="A742" s="74"/>
      <c r="B742" s="552"/>
      <c r="C742" s="557"/>
      <c r="D742" s="557"/>
      <c r="E742" s="553"/>
      <c r="F742" s="554" t="s">
        <v>64</v>
      </c>
      <c r="G742" s="554"/>
      <c r="H742" s="554"/>
      <c r="I742" s="554"/>
      <c r="J742" s="570"/>
      <c r="K742" s="570"/>
      <c r="L742" s="554"/>
      <c r="M742" s="62">
        <f>M741</f>
        <v>1</v>
      </c>
      <c r="N742" s="75"/>
      <c r="O742" s="62">
        <f>SUM(O741:O741)</f>
        <v>0</v>
      </c>
      <c r="P742" s="63" t="s">
        <v>57</v>
      </c>
      <c r="Q742" s="337"/>
      <c r="R742" s="64"/>
      <c r="S742" s="64"/>
    </row>
    <row r="743" spans="1:35" ht="24" x14ac:dyDescent="0.15">
      <c r="A743" s="65"/>
      <c r="B743" s="560" t="s">
        <v>65</v>
      </c>
      <c r="C743" s="561"/>
      <c r="D743" s="561"/>
      <c r="E743" s="562"/>
      <c r="F743" s="565" t="s">
        <v>26</v>
      </c>
      <c r="G743" s="566"/>
      <c r="H743" s="66" t="s">
        <v>59</v>
      </c>
      <c r="I743" s="66"/>
      <c r="J743" s="66" t="s">
        <v>60</v>
      </c>
      <c r="K743" s="66" t="s">
        <v>6</v>
      </c>
      <c r="L743" s="67" t="s">
        <v>61</v>
      </c>
      <c r="M743" s="66" t="s">
        <v>30</v>
      </c>
      <c r="N743" s="68" t="s">
        <v>62</v>
      </c>
      <c r="O743" s="68" t="s">
        <v>34</v>
      </c>
      <c r="P743" s="69" t="s">
        <v>57</v>
      </c>
      <c r="Q743" s="42"/>
      <c r="R743" s="67"/>
      <c r="S743" s="67"/>
    </row>
    <row r="744" spans="1:35" ht="13.5" customHeight="1" x14ac:dyDescent="0.15">
      <c r="A744" s="76">
        <v>1</v>
      </c>
      <c r="B744" s="545"/>
      <c r="C744" s="546"/>
      <c r="D744" s="546"/>
      <c r="E744" s="547"/>
      <c r="F744" s="558" t="s">
        <v>66</v>
      </c>
      <c r="G744" s="559"/>
      <c r="H744" s="78"/>
      <c r="I744" s="78"/>
      <c r="J744" s="77"/>
      <c r="K744" s="46" t="str">
        <f>VLOOKUP($F:$F,材料单价表!$B$3:$G$42,4,0)</f>
        <v>m</v>
      </c>
      <c r="L744" s="46"/>
      <c r="M744" s="80">
        <f>M705</f>
        <v>8.6</v>
      </c>
      <c r="N744" s="46">
        <f>VLOOKUP($F:$F,材料单价表!$B$3:$G$42,5,0)</f>
        <v>0</v>
      </c>
      <c r="O744" s="46">
        <f>N744*M744</f>
        <v>0</v>
      </c>
      <c r="P744" s="48"/>
      <c r="Q744" s="59"/>
      <c r="R744" s="81"/>
      <c r="S744" s="79"/>
    </row>
    <row r="745" spans="1:35" ht="15.75" customHeight="1" x14ac:dyDescent="0.15">
      <c r="A745" s="76">
        <v>2</v>
      </c>
      <c r="B745" s="545"/>
      <c r="C745" s="546"/>
      <c r="D745" s="546"/>
      <c r="E745" s="547"/>
      <c r="F745" s="558" t="s">
        <v>68</v>
      </c>
      <c r="G745" s="559"/>
      <c r="H745" s="78" t="s">
        <v>67</v>
      </c>
      <c r="I745" s="78"/>
      <c r="J745" s="77"/>
      <c r="K745" s="46" t="str">
        <f>VLOOKUP($F:$F,材料单价表!$B$3:$G$42,4,0)</f>
        <v>m</v>
      </c>
      <c r="L745" s="46"/>
      <c r="M745" s="80">
        <f>(J714*K714+J720*K720+J715*K715+J716*K716+J717*K717+J718*K718+J719*K719)/1000*2</f>
        <v>30.7256</v>
      </c>
      <c r="N745" s="46">
        <f>VLOOKUP($F:$F,材料单价表!$B$3:$G$42,5,0)</f>
        <v>0</v>
      </c>
      <c r="O745" s="46">
        <f t="shared" ref="O745:O751" si="111">N745*M745</f>
        <v>0</v>
      </c>
      <c r="P745" s="48"/>
      <c r="Q745" s="59"/>
      <c r="R745" s="81"/>
      <c r="S745" s="79"/>
      <c r="V745" s="104"/>
      <c r="W745" s="104"/>
    </row>
    <row r="746" spans="1:35" ht="13.5" customHeight="1" x14ac:dyDescent="0.15">
      <c r="A746" s="76">
        <v>3</v>
      </c>
      <c r="B746" s="545"/>
      <c r="C746" s="546"/>
      <c r="D746" s="546"/>
      <c r="E746" s="547"/>
      <c r="F746" s="558" t="s">
        <v>68</v>
      </c>
      <c r="G746" s="559"/>
      <c r="H746" s="78" t="s">
        <v>69</v>
      </c>
      <c r="I746" s="78"/>
      <c r="J746" s="77"/>
      <c r="K746" s="46" t="str">
        <f>VLOOKUP($F:$F,材料单价表!$B$3:$G$42,4,0)</f>
        <v>m</v>
      </c>
      <c r="L746" s="46"/>
      <c r="M746" s="80">
        <f>M705</f>
        <v>8.6</v>
      </c>
      <c r="N746" s="46">
        <f>VLOOKUP($F:$F,材料单价表!$B$3:$G$42,5,0)</f>
        <v>0</v>
      </c>
      <c r="O746" s="46">
        <f t="shared" si="111"/>
        <v>0</v>
      </c>
      <c r="P746" s="48"/>
      <c r="Q746" s="59"/>
      <c r="R746" s="81"/>
      <c r="S746" s="79"/>
      <c r="V746" s="104"/>
      <c r="W746" s="104"/>
    </row>
    <row r="747" spans="1:35" ht="13.5" customHeight="1" x14ac:dyDescent="0.15">
      <c r="A747" s="76">
        <v>4</v>
      </c>
      <c r="B747" s="545"/>
      <c r="C747" s="546"/>
      <c r="D747" s="546"/>
      <c r="E747" s="547"/>
      <c r="F747" s="558" t="s">
        <v>68</v>
      </c>
      <c r="G747" s="559"/>
      <c r="H747" s="78" t="s">
        <v>70</v>
      </c>
      <c r="I747" s="78"/>
      <c r="J747" s="77"/>
      <c r="K747" s="46" t="str">
        <f>VLOOKUP($F:$F,材料单价表!$B$3:$G$42,4,0)</f>
        <v>m</v>
      </c>
      <c r="L747" s="46"/>
      <c r="M747" s="80">
        <f>M705</f>
        <v>8.6</v>
      </c>
      <c r="N747" s="46">
        <f>VLOOKUP($F:$F,材料单价表!$B$3:$G$42,5,0)</f>
        <v>0</v>
      </c>
      <c r="O747" s="46">
        <f t="shared" si="111"/>
        <v>0</v>
      </c>
      <c r="P747" s="48"/>
      <c r="Q747" s="59"/>
      <c r="R747" s="81"/>
      <c r="S747" s="79"/>
      <c r="V747" s="104"/>
      <c r="W747" s="104"/>
    </row>
    <row r="748" spans="1:35" ht="13.5" customHeight="1" x14ac:dyDescent="0.15">
      <c r="A748" s="76">
        <v>5</v>
      </c>
      <c r="B748" s="545"/>
      <c r="C748" s="546"/>
      <c r="D748" s="546"/>
      <c r="E748" s="547"/>
      <c r="F748" s="558" t="s">
        <v>71</v>
      </c>
      <c r="G748" s="559"/>
      <c r="H748" s="78"/>
      <c r="I748" s="78"/>
      <c r="J748" s="77"/>
      <c r="K748" s="46" t="str">
        <f>VLOOKUP($F:$F,材料单价表!$B$3:$G$42,4,0)</f>
        <v>个</v>
      </c>
      <c r="L748" s="79"/>
      <c r="M748" s="80">
        <f>K721+K722+K724</f>
        <v>16</v>
      </c>
      <c r="N748" s="46">
        <f>VLOOKUP($F:$F,材料单价表!$B$3:$G$42,5,0)</f>
        <v>0</v>
      </c>
      <c r="O748" s="46">
        <f t="shared" si="111"/>
        <v>0</v>
      </c>
      <c r="P748" s="48"/>
      <c r="Q748" s="59"/>
      <c r="R748" s="81"/>
      <c r="S748" s="79"/>
    </row>
    <row r="749" spans="1:35" ht="13.5" customHeight="1" x14ac:dyDescent="0.15">
      <c r="A749" s="76">
        <v>6</v>
      </c>
      <c r="B749" s="545"/>
      <c r="C749" s="546"/>
      <c r="D749" s="546"/>
      <c r="E749" s="547"/>
      <c r="F749" s="558" t="s">
        <v>121</v>
      </c>
      <c r="G749" s="559"/>
      <c r="H749" s="78"/>
      <c r="I749" s="78"/>
      <c r="J749" s="77"/>
      <c r="K749" s="46" t="str">
        <f>VLOOKUP($F:$F,材料单价表!$B$3:$G$42,4,0)</f>
        <v>m</v>
      </c>
      <c r="L749" s="79"/>
      <c r="M749" s="80">
        <f>(J709*K709+J710*K710)/1000*2</f>
        <v>7.5679999999999996</v>
      </c>
      <c r="N749" s="46">
        <f>VLOOKUP($F:$F,材料单价表!$B$3:$G$42,5,0)</f>
        <v>0</v>
      </c>
      <c r="O749" s="46">
        <f t="shared" si="111"/>
        <v>0</v>
      </c>
      <c r="P749" s="48"/>
      <c r="Q749" s="59"/>
      <c r="R749" s="81"/>
      <c r="S749" s="46"/>
    </row>
    <row r="750" spans="1:35" ht="13.5" customHeight="1" x14ac:dyDescent="0.15">
      <c r="A750" s="76">
        <v>7</v>
      </c>
      <c r="B750" s="545"/>
      <c r="C750" s="546"/>
      <c r="D750" s="546"/>
      <c r="E750" s="547"/>
      <c r="F750" s="558" t="s">
        <v>121</v>
      </c>
      <c r="G750" s="559"/>
      <c r="H750" s="78"/>
      <c r="I750" s="78"/>
      <c r="J750" s="77"/>
      <c r="K750" s="46" t="str">
        <f>VLOOKUP($F:$F,材料单价表!$B$3:$G$42,4,0)</f>
        <v>m</v>
      </c>
      <c r="L750" s="79"/>
      <c r="M750" s="80">
        <f>(J710*K710+J709*K709)/1000*1</f>
        <v>3.7839999999999998</v>
      </c>
      <c r="N750" s="46">
        <f>VLOOKUP($F:$F,材料单价表!$B$3:$G$42,5,0)</f>
        <v>0</v>
      </c>
      <c r="O750" s="46">
        <f t="shared" si="111"/>
        <v>0</v>
      </c>
      <c r="P750" s="48"/>
      <c r="Q750" s="59"/>
      <c r="R750" s="81"/>
      <c r="S750" s="46"/>
    </row>
    <row r="751" spans="1:35" x14ac:dyDescent="0.15">
      <c r="A751" s="76">
        <v>8</v>
      </c>
      <c r="B751" s="545"/>
      <c r="C751" s="546"/>
      <c r="D751" s="546"/>
      <c r="E751" s="547"/>
      <c r="F751" s="558" t="s">
        <v>72</v>
      </c>
      <c r="G751" s="559"/>
      <c r="H751" s="45"/>
      <c r="I751" s="45"/>
      <c r="J751" s="45"/>
      <c r="K751" s="46" t="str">
        <f>VLOOKUP($F:$F,材料单价表!$B$3:$G$42,4,0)</f>
        <v>m2</v>
      </c>
      <c r="L751" s="72"/>
      <c r="M751" s="46">
        <f>M756</f>
        <v>4.5</v>
      </c>
      <c r="N751" s="46">
        <f>VLOOKUP($F:$F,材料单价表!$B$3:$G$42,5,0)</f>
        <v>0</v>
      </c>
      <c r="O751" s="46">
        <f t="shared" si="111"/>
        <v>0</v>
      </c>
      <c r="P751" s="48"/>
      <c r="Q751" s="211"/>
      <c r="R751" s="73"/>
      <c r="S751" s="73"/>
    </row>
    <row r="752" spans="1:35" x14ac:dyDescent="0.15">
      <c r="A752" s="76">
        <v>9</v>
      </c>
      <c r="B752" s="545"/>
      <c r="C752" s="546"/>
      <c r="D752" s="546"/>
      <c r="E752" s="547"/>
      <c r="F752" s="558"/>
      <c r="G752" s="559"/>
      <c r="H752" s="45"/>
      <c r="I752" s="45"/>
      <c r="J752" s="45"/>
      <c r="K752" s="45"/>
      <c r="L752" s="72"/>
      <c r="M752" s="46"/>
      <c r="N752" s="46"/>
      <c r="O752" s="82"/>
      <c r="P752" s="48"/>
      <c r="Q752" s="211"/>
      <c r="R752" s="73"/>
      <c r="S752" s="73"/>
    </row>
    <row r="753" spans="1:19" x14ac:dyDescent="0.15">
      <c r="A753" s="74"/>
      <c r="B753" s="552"/>
      <c r="C753" s="557"/>
      <c r="D753" s="557"/>
      <c r="E753" s="553"/>
      <c r="F753" s="552" t="s">
        <v>73</v>
      </c>
      <c r="G753" s="557"/>
      <c r="H753" s="557"/>
      <c r="I753" s="557"/>
      <c r="J753" s="557"/>
      <c r="K753" s="557"/>
      <c r="L753" s="557"/>
      <c r="M753" s="61"/>
      <c r="N753" s="61"/>
      <c r="O753" s="62">
        <f>SUM(O744:O752)</f>
        <v>0</v>
      </c>
      <c r="P753" s="63" t="s">
        <v>57</v>
      </c>
      <c r="Q753" s="337"/>
      <c r="R753" s="64"/>
      <c r="S753" s="64"/>
    </row>
    <row r="754" spans="1:19" x14ac:dyDescent="0.15">
      <c r="A754" s="74"/>
      <c r="B754" s="552"/>
      <c r="C754" s="557"/>
      <c r="D754" s="557"/>
      <c r="E754" s="553"/>
      <c r="F754" s="552" t="s">
        <v>74</v>
      </c>
      <c r="G754" s="557"/>
      <c r="H754" s="557"/>
      <c r="I754" s="557"/>
      <c r="J754" s="557"/>
      <c r="K754" s="557"/>
      <c r="L754" s="557"/>
      <c r="M754" s="557"/>
      <c r="N754" s="553"/>
      <c r="O754" s="62">
        <f>O753+O742+O739+O731</f>
        <v>0</v>
      </c>
      <c r="P754" s="63" t="s">
        <v>57</v>
      </c>
      <c r="Q754" s="337"/>
      <c r="R754" s="64"/>
      <c r="S754" s="64"/>
    </row>
    <row r="755" spans="1:19" ht="24" x14ac:dyDescent="0.15">
      <c r="A755" s="65"/>
      <c r="B755" s="560" t="s">
        <v>75</v>
      </c>
      <c r="C755" s="561"/>
      <c r="D755" s="561"/>
      <c r="E755" s="562"/>
      <c r="F755" s="565" t="s">
        <v>26</v>
      </c>
      <c r="G755" s="566"/>
      <c r="H755" s="66"/>
      <c r="I755" s="66"/>
      <c r="J755" s="66"/>
      <c r="K755" s="66" t="s">
        <v>6</v>
      </c>
      <c r="L755" s="83" t="s">
        <v>61</v>
      </c>
      <c r="M755" s="66" t="s">
        <v>76</v>
      </c>
      <c r="N755" s="68" t="s">
        <v>62</v>
      </c>
      <c r="O755" s="68" t="s">
        <v>34</v>
      </c>
      <c r="P755" s="84" t="s">
        <v>57</v>
      </c>
      <c r="Q755" s="84"/>
      <c r="R755" s="67"/>
      <c r="S755" s="67"/>
    </row>
    <row r="756" spans="1:19" x14ac:dyDescent="0.15">
      <c r="A756" s="57">
        <v>1</v>
      </c>
      <c r="B756" s="545"/>
      <c r="C756" s="546"/>
      <c r="D756" s="546"/>
      <c r="E756" s="547"/>
      <c r="F756" s="545" t="s">
        <v>77</v>
      </c>
      <c r="G756" s="547"/>
      <c r="H756" s="45"/>
      <c r="I756" s="45"/>
      <c r="J756" s="46"/>
      <c r="K756" s="45" t="s">
        <v>78</v>
      </c>
      <c r="L756" s="72"/>
      <c r="M756" s="85">
        <f>O692</f>
        <v>4.5</v>
      </c>
      <c r="N756" s="46">
        <f>VLOOKUP($F:$F,材料单价表!$B$3:$G$42,5,0)</f>
        <v>0</v>
      </c>
      <c r="O756" s="46">
        <f>N756*M756</f>
        <v>0</v>
      </c>
      <c r="P756" s="48"/>
      <c r="Q756" s="211"/>
      <c r="R756" s="72"/>
      <c r="S756" s="72"/>
    </row>
    <row r="757" spans="1:19" x14ac:dyDescent="0.15">
      <c r="A757" s="57">
        <v>2</v>
      </c>
      <c r="B757" s="545"/>
      <c r="C757" s="546"/>
      <c r="D757" s="546"/>
      <c r="E757" s="547"/>
      <c r="F757" s="545" t="s">
        <v>79</v>
      </c>
      <c r="G757" s="547"/>
      <c r="H757" s="45"/>
      <c r="I757" s="45"/>
      <c r="J757" s="46"/>
      <c r="K757" s="45" t="s">
        <v>78</v>
      </c>
      <c r="L757" s="72"/>
      <c r="M757" s="85">
        <f>M756</f>
        <v>4.5</v>
      </c>
      <c r="N757" s="46">
        <f>VLOOKUP($F:$F,材料单价表!$B$3:$G$42,5,0)</f>
        <v>0</v>
      </c>
      <c r="O757" s="46">
        <f>N757*M757</f>
        <v>0</v>
      </c>
      <c r="P757" s="48"/>
      <c r="Q757" s="211"/>
      <c r="R757" s="72"/>
      <c r="S757" s="72"/>
    </row>
    <row r="758" spans="1:19" ht="24.75" customHeight="1" x14ac:dyDescent="0.15">
      <c r="A758" s="74"/>
      <c r="B758" s="552"/>
      <c r="C758" s="557"/>
      <c r="D758" s="557"/>
      <c r="E758" s="553"/>
      <c r="F758" s="552" t="s">
        <v>80</v>
      </c>
      <c r="G758" s="553"/>
      <c r="H758" s="86"/>
      <c r="I758" s="325"/>
      <c r="J758" s="554" t="s">
        <v>81</v>
      </c>
      <c r="K758" s="554"/>
      <c r="L758" s="554"/>
      <c r="M758" s="554"/>
      <c r="N758" s="87"/>
      <c r="O758" s="62">
        <f>O754+O756+O757</f>
        <v>0</v>
      </c>
      <c r="P758" s="63" t="s">
        <v>57</v>
      </c>
      <c r="Q758" s="337"/>
      <c r="R758" s="64"/>
      <c r="S758" s="64"/>
    </row>
    <row r="759" spans="1:19" ht="24" customHeight="1" x14ac:dyDescent="0.15">
      <c r="A759" s="74"/>
      <c r="B759" s="552"/>
      <c r="C759" s="557"/>
      <c r="D759" s="557"/>
      <c r="E759" s="553"/>
      <c r="F759" s="555" t="s">
        <v>82</v>
      </c>
      <c r="G759" s="556"/>
      <c r="H759" s="105"/>
      <c r="I759" s="324"/>
      <c r="J759" s="552" t="s">
        <v>81</v>
      </c>
      <c r="K759" s="557"/>
      <c r="L759" s="557"/>
      <c r="M759" s="557"/>
      <c r="N759" s="62"/>
      <c r="O759" s="62">
        <f>O758/O692</f>
        <v>0</v>
      </c>
      <c r="P759" s="89" t="s">
        <v>57</v>
      </c>
      <c r="Q759" s="89"/>
      <c r="R759" s="90"/>
      <c r="S759" s="90"/>
    </row>
    <row r="760" spans="1:19" ht="18.75" customHeight="1" x14ac:dyDescent="0.15">
      <c r="A760" s="549" t="s">
        <v>0</v>
      </c>
      <c r="B760" s="549"/>
      <c r="C760" s="549"/>
      <c r="D760" s="549"/>
      <c r="E760" s="549"/>
      <c r="F760" s="549"/>
      <c r="G760" s="549"/>
      <c r="H760" s="549"/>
      <c r="I760" s="549"/>
      <c r="J760" s="549"/>
      <c r="K760" s="549"/>
      <c r="L760" s="550"/>
      <c r="M760" s="549"/>
      <c r="N760" s="549"/>
      <c r="O760" s="549"/>
      <c r="P760" s="549"/>
      <c r="Q760" s="549"/>
      <c r="R760" s="551"/>
      <c r="S760" s="551"/>
    </row>
    <row r="761" spans="1:19" x14ac:dyDescent="0.15">
      <c r="A761" s="2" t="s">
        <v>1</v>
      </c>
      <c r="B761" s="339" t="str">
        <f>$B$692</f>
        <v>NZC</v>
      </c>
      <c r="C761" s="3">
        <v>2</v>
      </c>
      <c r="D761" s="3"/>
      <c r="E761" s="3"/>
      <c r="F761" s="4" t="s">
        <v>2</v>
      </c>
      <c r="G761" s="5">
        <v>65</v>
      </c>
      <c r="H761" s="106" t="s">
        <v>126</v>
      </c>
      <c r="I761" s="106"/>
      <c r="J761" s="4" t="s">
        <v>3</v>
      </c>
      <c r="K761" s="6">
        <f>L764</f>
        <v>2600</v>
      </c>
      <c r="L761" s="7" t="s">
        <v>83</v>
      </c>
      <c r="M761" s="6">
        <f>L763</f>
        <v>1800</v>
      </c>
      <c r="N761" s="8" t="s">
        <v>4</v>
      </c>
      <c r="O761" s="9">
        <f>M773</f>
        <v>4.68</v>
      </c>
      <c r="P761" s="10"/>
      <c r="Q761" s="10"/>
      <c r="R761" s="10" t="s">
        <v>5</v>
      </c>
      <c r="S761" s="11"/>
    </row>
    <row r="762" spans="1:19" ht="14.25" x14ac:dyDescent="0.2">
      <c r="A762" s="12"/>
      <c r="B762" s="13"/>
      <c r="C762" s="13"/>
      <c r="D762" s="13"/>
      <c r="E762" s="13"/>
      <c r="F762" s="14"/>
      <c r="G762" s="14"/>
      <c r="H762" s="15"/>
      <c r="I762" s="15"/>
      <c r="J762" s="16"/>
      <c r="K762" s="16" t="s">
        <v>6</v>
      </c>
      <c r="L762" s="17" t="s">
        <v>7</v>
      </c>
      <c r="M762" s="16" t="s">
        <v>8</v>
      </c>
      <c r="N762" s="18"/>
      <c r="O762" s="548" t="s">
        <v>940</v>
      </c>
      <c r="P762" s="548"/>
      <c r="Q762" s="16" t="s">
        <v>1018</v>
      </c>
      <c r="R762" s="529" t="s">
        <v>1066</v>
      </c>
      <c r="S762" s="530" t="s">
        <v>1592</v>
      </c>
    </row>
    <row r="763" spans="1:19" ht="14.25" x14ac:dyDescent="0.2">
      <c r="A763" s="398" t="s">
        <v>884</v>
      </c>
      <c r="B763" s="404" t="s">
        <v>895</v>
      </c>
      <c r="C763" s="22"/>
      <c r="D763" s="22"/>
      <c r="E763" s="22"/>
      <c r="F763" s="23"/>
      <c r="G763" s="23"/>
      <c r="H763" s="107"/>
      <c r="I763" s="107"/>
      <c r="J763" s="24" t="s">
        <v>9</v>
      </c>
      <c r="K763" s="16" t="s">
        <v>10</v>
      </c>
      <c r="L763" s="25">
        <v>1800</v>
      </c>
      <c r="M763" s="113">
        <f>L763-M772*2</f>
        <v>1700</v>
      </c>
      <c r="N763" s="18"/>
      <c r="O763" s="356" t="s">
        <v>941</v>
      </c>
      <c r="P763" s="357"/>
      <c r="Q763" s="16" t="s">
        <v>1019</v>
      </c>
      <c r="R763" s="529"/>
      <c r="S763" s="530"/>
    </row>
    <row r="764" spans="1:19" ht="14.25" x14ac:dyDescent="0.2">
      <c r="A764" s="21"/>
      <c r="B764" s="22"/>
      <c r="C764" s="22"/>
      <c r="D764" s="22"/>
      <c r="E764" s="22"/>
      <c r="F764" s="23"/>
      <c r="G764" s="23"/>
      <c r="H764" s="18"/>
      <c r="I764" s="18"/>
      <c r="J764" s="24" t="s">
        <v>11</v>
      </c>
      <c r="K764" s="16" t="s">
        <v>10</v>
      </c>
      <c r="L764" s="25">
        <v>2600</v>
      </c>
      <c r="M764" s="113">
        <f>L764-M772*2</f>
        <v>2500</v>
      </c>
      <c r="N764" s="18"/>
      <c r="O764" s="356" t="s">
        <v>924</v>
      </c>
      <c r="P764" s="357"/>
      <c r="Q764" s="16" t="s">
        <v>1020</v>
      </c>
      <c r="R764" s="529" t="s">
        <v>1067</v>
      </c>
      <c r="S764" s="530" t="s">
        <v>1086</v>
      </c>
    </row>
    <row r="765" spans="1:19" ht="14.25" x14ac:dyDescent="0.2">
      <c r="A765" s="21"/>
      <c r="B765" s="22"/>
      <c r="C765" s="22"/>
      <c r="D765" s="22"/>
      <c r="E765" s="22"/>
      <c r="F765" s="23"/>
      <c r="G765" s="23"/>
      <c r="H765" s="18"/>
      <c r="I765" s="18"/>
      <c r="J765" s="24" t="s">
        <v>12</v>
      </c>
      <c r="K765" s="16" t="s">
        <v>10</v>
      </c>
      <c r="L765" s="26"/>
      <c r="M765" s="113">
        <f>M763-M766</f>
        <v>1200</v>
      </c>
      <c r="N765" s="18"/>
      <c r="O765" s="356" t="s">
        <v>925</v>
      </c>
      <c r="P765" s="357"/>
      <c r="Q765" s="16" t="s">
        <v>1021</v>
      </c>
      <c r="R765" s="529"/>
      <c r="S765" s="530"/>
    </row>
    <row r="766" spans="1:19" ht="14.25" x14ac:dyDescent="0.2">
      <c r="A766" s="21"/>
      <c r="B766" s="22"/>
      <c r="C766" s="22"/>
      <c r="D766" s="22"/>
      <c r="E766" s="22"/>
      <c r="F766" s="23"/>
      <c r="G766" s="23"/>
      <c r="H766" s="18"/>
      <c r="I766" s="18"/>
      <c r="J766" s="24" t="s">
        <v>13</v>
      </c>
      <c r="K766" s="16" t="s">
        <v>10</v>
      </c>
      <c r="L766" s="26"/>
      <c r="M766" s="25">
        <v>500</v>
      </c>
      <c r="N766" s="540" t="s">
        <v>146</v>
      </c>
      <c r="O766" s="356" t="s">
        <v>926</v>
      </c>
      <c r="P766" s="357"/>
      <c r="Q766" s="16" t="s">
        <v>1022</v>
      </c>
      <c r="R766" s="27"/>
      <c r="S766" s="28"/>
    </row>
    <row r="767" spans="1:19" ht="14.25" x14ac:dyDescent="0.2">
      <c r="A767" s="21"/>
      <c r="B767" s="22"/>
      <c r="C767" s="22"/>
      <c r="D767" s="22"/>
      <c r="E767" s="22"/>
      <c r="F767" s="23"/>
      <c r="G767" s="23"/>
      <c r="H767" s="18"/>
      <c r="I767" s="18"/>
      <c r="J767" s="24" t="s">
        <v>14</v>
      </c>
      <c r="K767" s="16" t="s">
        <v>10</v>
      </c>
      <c r="L767" s="26"/>
      <c r="M767" s="113"/>
      <c r="N767" s="540"/>
      <c r="O767" s="356" t="s">
        <v>927</v>
      </c>
      <c r="P767" s="357"/>
      <c r="Q767" s="16" t="s">
        <v>1023</v>
      </c>
      <c r="R767" s="27"/>
      <c r="S767" s="28"/>
    </row>
    <row r="768" spans="1:19" ht="14.25" x14ac:dyDescent="0.2">
      <c r="A768" s="21"/>
      <c r="B768" s="22"/>
      <c r="C768" s="22"/>
      <c r="D768" s="22"/>
      <c r="E768" s="22"/>
      <c r="F768" s="23"/>
      <c r="G768" s="23"/>
      <c r="H768" s="18"/>
      <c r="I768" s="18"/>
      <c r="J768" s="24" t="s">
        <v>15</v>
      </c>
      <c r="K768" s="16" t="s">
        <v>10</v>
      </c>
      <c r="L768" s="26"/>
      <c r="M768" s="113">
        <f>IF(AND(L764&gt;2499,L764&lt;2701),600,IF(AND(L764&gt;2899,L764&lt;2301),750))</f>
        <v>600</v>
      </c>
      <c r="N768" s="540"/>
      <c r="O768" s="356" t="s">
        <v>928</v>
      </c>
      <c r="P768" s="357"/>
      <c r="Q768" s="16" t="s">
        <v>1005</v>
      </c>
      <c r="R768" s="27"/>
      <c r="S768" s="28"/>
    </row>
    <row r="769" spans="1:35" ht="14.25" x14ac:dyDescent="0.2">
      <c r="A769" s="21"/>
      <c r="B769" s="22"/>
      <c r="C769" s="22"/>
      <c r="D769" s="22"/>
      <c r="E769" s="22"/>
      <c r="F769" s="23"/>
      <c r="G769" s="23"/>
      <c r="H769" s="18"/>
      <c r="I769" s="18"/>
      <c r="J769" s="24" t="s">
        <v>16</v>
      </c>
      <c r="K769" s="16" t="s">
        <v>10</v>
      </c>
      <c r="L769" s="26"/>
      <c r="M769" s="113">
        <f>M764-M768*2-M770</f>
        <v>800</v>
      </c>
      <c r="N769" s="540"/>
      <c r="O769" s="356" t="s">
        <v>929</v>
      </c>
      <c r="P769" s="357"/>
      <c r="Q769" s="16" t="s">
        <v>1024</v>
      </c>
      <c r="R769" s="27"/>
      <c r="S769" s="28"/>
    </row>
    <row r="770" spans="1:35" ht="14.25" x14ac:dyDescent="0.2">
      <c r="A770" s="21"/>
      <c r="B770" s="22"/>
      <c r="C770" s="22"/>
      <c r="D770" s="22"/>
      <c r="E770" s="22"/>
      <c r="F770" s="23"/>
      <c r="G770" s="23"/>
      <c r="H770" s="18"/>
      <c r="I770" s="18"/>
      <c r="J770" s="24" t="s">
        <v>17</v>
      </c>
      <c r="K770" s="16" t="s">
        <v>10</v>
      </c>
      <c r="L770" s="26"/>
      <c r="M770" s="113">
        <v>500</v>
      </c>
      <c r="N770" s="540"/>
      <c r="O770" s="356" t="s">
        <v>930</v>
      </c>
      <c r="P770" s="357"/>
      <c r="Q770" s="16" t="s">
        <v>931</v>
      </c>
      <c r="R770" s="27"/>
      <c r="S770" s="28"/>
    </row>
    <row r="771" spans="1:35" ht="14.25" x14ac:dyDescent="0.2">
      <c r="A771" s="21"/>
      <c r="B771" s="22"/>
      <c r="C771" s="22"/>
      <c r="D771" s="22"/>
      <c r="E771" s="22"/>
      <c r="F771" s="23"/>
      <c r="G771" s="23"/>
      <c r="H771" s="18"/>
      <c r="I771" s="18"/>
      <c r="J771" s="24" t="s">
        <v>18</v>
      </c>
      <c r="K771" s="16" t="s">
        <v>10</v>
      </c>
      <c r="L771" s="26"/>
      <c r="M771" s="113"/>
      <c r="N771" s="540"/>
      <c r="O771" s="356" t="s">
        <v>932</v>
      </c>
      <c r="P771" s="357"/>
      <c r="Q771" s="16" t="s">
        <v>933</v>
      </c>
      <c r="R771" s="27"/>
      <c r="S771" s="28"/>
    </row>
    <row r="772" spans="1:35" ht="14.25" x14ac:dyDescent="0.2">
      <c r="A772" s="21"/>
      <c r="B772" s="22"/>
      <c r="C772" s="22"/>
      <c r="D772" s="22"/>
      <c r="E772" s="22"/>
      <c r="F772" s="23"/>
      <c r="G772" s="23"/>
      <c r="H772" s="18"/>
      <c r="I772" s="18"/>
      <c r="J772" s="24" t="s">
        <v>19</v>
      </c>
      <c r="K772" s="16" t="s">
        <v>10</v>
      </c>
      <c r="L772" s="26"/>
      <c r="M772" s="25">
        <v>50</v>
      </c>
      <c r="N772" s="540"/>
      <c r="O772" s="356" t="s">
        <v>934</v>
      </c>
      <c r="P772" s="357"/>
      <c r="Q772" s="16" t="s">
        <v>935</v>
      </c>
      <c r="R772" s="27"/>
      <c r="S772" s="28"/>
    </row>
    <row r="773" spans="1:35" ht="14.25" x14ac:dyDescent="0.2">
      <c r="A773" s="21"/>
      <c r="B773" s="22"/>
      <c r="C773" s="22"/>
      <c r="D773" s="22"/>
      <c r="E773" s="22"/>
      <c r="F773" s="23"/>
      <c r="G773" s="23"/>
      <c r="H773" s="18"/>
      <c r="I773" s="18"/>
      <c r="J773" s="29" t="s">
        <v>20</v>
      </c>
      <c r="K773" s="16" t="s">
        <v>21</v>
      </c>
      <c r="L773" s="30"/>
      <c r="M773" s="31">
        <f>L763*L764/1000000</f>
        <v>4.68</v>
      </c>
      <c r="N773" s="540"/>
      <c r="O773" s="356" t="s">
        <v>936</v>
      </c>
      <c r="P773" s="357"/>
      <c r="Q773" s="16" t="s">
        <v>937</v>
      </c>
      <c r="R773" s="27"/>
      <c r="S773" s="28"/>
    </row>
    <row r="774" spans="1:35" ht="14.25" x14ac:dyDescent="0.2">
      <c r="A774" s="32"/>
      <c r="B774" s="33"/>
      <c r="C774" s="33"/>
      <c r="D774" s="33"/>
      <c r="E774" s="33"/>
      <c r="F774" s="34"/>
      <c r="G774" s="34"/>
      <c r="H774" s="35"/>
      <c r="I774" s="35"/>
      <c r="J774" s="29" t="s">
        <v>22</v>
      </c>
      <c r="K774" s="16" t="s">
        <v>23</v>
      </c>
      <c r="L774" s="30"/>
      <c r="M774" s="36">
        <f>(L763+L764)*2/1000</f>
        <v>8.8000000000000007</v>
      </c>
      <c r="N774" s="541"/>
      <c r="O774" s="356" t="s">
        <v>938</v>
      </c>
      <c r="P774" s="357"/>
      <c r="Q774" s="16" t="s">
        <v>939</v>
      </c>
      <c r="R774" s="37"/>
      <c r="S774" s="38"/>
    </row>
    <row r="775" spans="1:35" ht="36" x14ac:dyDescent="0.15">
      <c r="A775" s="39" t="s">
        <v>24</v>
      </c>
      <c r="B775" s="560" t="s">
        <v>25</v>
      </c>
      <c r="C775" s="561"/>
      <c r="D775" s="561"/>
      <c r="E775" s="562"/>
      <c r="F775" s="40" t="s">
        <v>26</v>
      </c>
      <c r="G775" s="40" t="s">
        <v>27</v>
      </c>
      <c r="H775" s="40" t="s">
        <v>28</v>
      </c>
      <c r="I775" s="40" t="s">
        <v>898</v>
      </c>
      <c r="J775" s="40" t="s">
        <v>29</v>
      </c>
      <c r="K775" s="40" t="s">
        <v>30</v>
      </c>
      <c r="L775" s="41" t="s">
        <v>31</v>
      </c>
      <c r="M775" s="40" t="s">
        <v>32</v>
      </c>
      <c r="N775" s="40" t="s">
        <v>33</v>
      </c>
      <c r="O775" s="40" t="s">
        <v>34</v>
      </c>
      <c r="P775" s="42" t="s">
        <v>35</v>
      </c>
      <c r="Q775" s="338" t="s">
        <v>875</v>
      </c>
      <c r="R775" s="43" t="s">
        <v>36</v>
      </c>
      <c r="S775" s="43" t="s">
        <v>37</v>
      </c>
      <c r="V775" s="261" t="s">
        <v>127</v>
      </c>
      <c r="W775" s="261"/>
      <c r="X775" s="273" t="s">
        <v>128</v>
      </c>
      <c r="Y775" s="261"/>
      <c r="Z775" s="273" t="s">
        <v>438</v>
      </c>
      <c r="AA775" s="261"/>
      <c r="AB775" s="273" t="s">
        <v>439</v>
      </c>
      <c r="AC775" s="261"/>
      <c r="AD775" s="273" t="s">
        <v>444</v>
      </c>
      <c r="AE775" s="261"/>
      <c r="AF775" s="273" t="s">
        <v>441</v>
      </c>
      <c r="AG775" s="261"/>
      <c r="AH775" s="273" t="s">
        <v>442</v>
      </c>
      <c r="AI775" s="261"/>
    </row>
    <row r="776" spans="1:35" x14ac:dyDescent="0.15">
      <c r="A776" s="57">
        <v>1</v>
      </c>
      <c r="B776" s="531" t="s">
        <v>38</v>
      </c>
      <c r="C776" s="532"/>
      <c r="D776" s="532"/>
      <c r="E776" s="533"/>
      <c r="F776" s="47" t="str">
        <f>VLOOKUP($H:$H,型材表!$B$5:$I$45,2,0)</f>
        <v>窗框</v>
      </c>
      <c r="G776" s="45" t="s">
        <v>39</v>
      </c>
      <c r="H776" s="45" t="str">
        <f>IF(G761=65,"SN65AK001",IF(G761=55,"SN55K001",IF(G761=551,"SN55BK001",IF(G761=60,"SN60K001",IF(G761=601,"SN60AK001",IF(G761=70,"SN70K001",IF(G761=75,"SN75K001")))))))</f>
        <v>SN65AK001</v>
      </c>
      <c r="I776" s="45" t="s">
        <v>901</v>
      </c>
      <c r="J776" s="46">
        <f>M763</f>
        <v>1700</v>
      </c>
      <c r="K776" s="45">
        <v>4</v>
      </c>
      <c r="L776" s="47">
        <f>VLOOKUP($H:$H,型材表!$B$5:$I$45,4,0)</f>
        <v>1.02</v>
      </c>
      <c r="M776" s="46">
        <f>J776*K776*L776/1000</f>
        <v>6.9359999999999999</v>
      </c>
      <c r="N776" s="72">
        <f>VLOOKUP($H:$H,型材表!$B$5:$I$45,7,0)</f>
        <v>0</v>
      </c>
      <c r="O776" s="46">
        <f>N776*M776</f>
        <v>0</v>
      </c>
      <c r="P776" s="100">
        <f>VLOOKUP($H:$H,型材表!$B$5:$I$45,5,0)</f>
        <v>0.125</v>
      </c>
      <c r="Q776" s="100" t="str">
        <f>VLOOKUP($H:$H,型材表!$B$5:$I$423,6,0)</f>
        <v>断桥隔热铝型材</v>
      </c>
      <c r="R776" s="49"/>
      <c r="S776" s="50"/>
      <c r="X776" s="264"/>
      <c r="Z776" s="264"/>
      <c r="AA776" s="259"/>
      <c r="AB776" s="264"/>
      <c r="AC776" s="259"/>
      <c r="AD776" s="264"/>
      <c r="AE776" s="259"/>
      <c r="AF776" s="264"/>
      <c r="AG776" s="259"/>
      <c r="AH776" s="264"/>
      <c r="AI776" s="259"/>
    </row>
    <row r="777" spans="1:35" x14ac:dyDescent="0.15">
      <c r="A777" s="57">
        <v>2</v>
      </c>
      <c r="B777" s="537"/>
      <c r="C777" s="538"/>
      <c r="D777" s="538"/>
      <c r="E777" s="539"/>
      <c r="F777" s="47" t="str">
        <f>VLOOKUP($H:$H,型材表!$B$5:$I$45,2,0)</f>
        <v>窗框</v>
      </c>
      <c r="G777" s="45" t="s">
        <v>40</v>
      </c>
      <c r="H777" s="45" t="str">
        <f>H776</f>
        <v>SN65AK001</v>
      </c>
      <c r="I777" s="45" t="s">
        <v>1068</v>
      </c>
      <c r="J777" s="46">
        <f>IF(G761=65,M764-V777,IF(G761=55,M764-X777,IF(G761=551,M764-Z777,IF(G761=60,M764-AB777,IF(G761=601,M764-AD777,IF(G761=70,M764-AF777,IF(G761=75,M764-AH777)))))))</f>
        <v>2371.6</v>
      </c>
      <c r="K777" s="45">
        <v>2</v>
      </c>
      <c r="L777" s="47">
        <f>VLOOKUP($H:$H,型材表!$B$5:$I$45,4,0)</f>
        <v>1.02</v>
      </c>
      <c r="M777" s="46">
        <f t="shared" ref="M777:M796" si="112">J777*K777*L777/1000</f>
        <v>4.8380640000000001</v>
      </c>
      <c r="N777" s="72">
        <f>VLOOKUP($H:$H,型材表!$B$5:$I$45,7,0)</f>
        <v>0</v>
      </c>
      <c r="O777" s="46">
        <f t="shared" ref="O777:O778" si="113">N777*M777</f>
        <v>0</v>
      </c>
      <c r="P777" s="100">
        <f>VLOOKUP($H:$H,型材表!$B$5:$I$45,5,0)</f>
        <v>0.125</v>
      </c>
      <c r="Q777" s="100" t="str">
        <f>VLOOKUP($H:$H,型材表!$B$5:$I$423,6,0)</f>
        <v>断桥隔热铝型材</v>
      </c>
      <c r="R777" s="49"/>
      <c r="S777" s="50"/>
      <c r="U777" s="374" t="s">
        <v>1132</v>
      </c>
      <c r="V777" s="259">
        <f>64.2*2</f>
        <v>128.4</v>
      </c>
      <c r="X777" s="264">
        <f>55*2</f>
        <v>110</v>
      </c>
      <c r="Y777" s="265"/>
      <c r="Z777" s="264">
        <f>55*2</f>
        <v>110</v>
      </c>
      <c r="AA777" s="265"/>
      <c r="AB777" s="264">
        <f>60.2*2</f>
        <v>120.4</v>
      </c>
      <c r="AC777" s="265"/>
      <c r="AD777" s="264">
        <f>60.4*2</f>
        <v>120.8</v>
      </c>
      <c r="AE777" s="265"/>
      <c r="AF777" s="264">
        <f>70.2*2</f>
        <v>140.4</v>
      </c>
      <c r="AG777" s="265"/>
      <c r="AH777" s="264">
        <f>74.2*2</f>
        <v>148.4</v>
      </c>
      <c r="AI777" s="259"/>
    </row>
    <row r="778" spans="1:35" x14ac:dyDescent="0.15">
      <c r="A778" s="350">
        <v>3</v>
      </c>
      <c r="B778" s="531" t="s">
        <v>41</v>
      </c>
      <c r="C778" s="532"/>
      <c r="D778" s="532"/>
      <c r="E778" s="533"/>
      <c r="F778" s="47" t="str">
        <f>VLOOKUP($H:$H,型材表!$B$5:$I$45,2,0)</f>
        <v>窗扇</v>
      </c>
      <c r="G778" s="45" t="s">
        <v>39</v>
      </c>
      <c r="H778" s="45" t="str">
        <f>IF(G761=65,"SN65AS001",IF(G761=55,"SN55S001",IF(G761=551,"SN55BS001",IF(G761=60,"SN60S001",IF(G761=601,"SN60AS001",IF(G761=70,"SN70S001",IF(G761=75,"SN75S001")))))))</f>
        <v>SN65AS001</v>
      </c>
      <c r="I778" s="45" t="s">
        <v>1040</v>
      </c>
      <c r="J778" s="46">
        <f>IF(G761=65,M765-V778,IF(G761=55,M765-X778,IF(G761=551,M765-Z778,IF(G761=60,M765-AB778,IF(G761=601,M765-AD778,IF(G761=70,M765-AF778,IF(G761=75,M765-AH778)))))))</f>
        <v>1171</v>
      </c>
      <c r="K778" s="45">
        <v>4</v>
      </c>
      <c r="L778" s="47">
        <f>VLOOKUP($H:$H,型材表!$B$5:$I$45,4,0)</f>
        <v>1.292</v>
      </c>
      <c r="M778" s="46">
        <f t="shared" si="112"/>
        <v>6.0517279999999998</v>
      </c>
      <c r="N778" s="72">
        <f>VLOOKUP($H:$H,型材表!$B$5:$I$45,7,0)</f>
        <v>0</v>
      </c>
      <c r="O778" s="46">
        <f t="shared" si="113"/>
        <v>0</v>
      </c>
      <c r="P778" s="100">
        <f>VLOOKUP($H:$H,型材表!$B$5:$I$45,5,0)</f>
        <v>0.125</v>
      </c>
      <c r="Q778" s="100" t="str">
        <f>VLOOKUP($H:$H,型材表!$B$5:$I$423,6,0)</f>
        <v>断桥隔热铝型材</v>
      </c>
      <c r="R778" s="49"/>
      <c r="S778" s="50"/>
      <c r="U778" s="374" t="s">
        <v>1123</v>
      </c>
      <c r="V778" s="259">
        <f>22+7</f>
        <v>29</v>
      </c>
      <c r="X778" s="264">
        <f>22+7</f>
        <v>29</v>
      </c>
      <c r="Z778" s="264">
        <f>22+7</f>
        <v>29</v>
      </c>
      <c r="AA778" s="259"/>
      <c r="AB778" s="264">
        <f>22+7</f>
        <v>29</v>
      </c>
      <c r="AC778" s="259"/>
      <c r="AD778" s="264">
        <f>22+7</f>
        <v>29</v>
      </c>
      <c r="AE778" s="259"/>
      <c r="AF778" s="264">
        <f>22+7</f>
        <v>29</v>
      </c>
      <c r="AG778" s="259"/>
      <c r="AH778" s="264">
        <f>22+7</f>
        <v>29</v>
      </c>
      <c r="AI778" s="259"/>
    </row>
    <row r="779" spans="1:35" x14ac:dyDescent="0.15">
      <c r="A779" s="350">
        <v>4</v>
      </c>
      <c r="B779" s="534"/>
      <c r="C779" s="535"/>
      <c r="D779" s="535"/>
      <c r="E779" s="536"/>
      <c r="F779" s="47" t="str">
        <f>VLOOKUP($H:$H,型材表!$B$5:$I$45,2,0)</f>
        <v>窗扇</v>
      </c>
      <c r="G779" s="45" t="s">
        <v>40</v>
      </c>
      <c r="H779" s="45" t="str">
        <f>H778</f>
        <v>SN65AS001</v>
      </c>
      <c r="I779" s="45" t="s">
        <v>1011</v>
      </c>
      <c r="J779" s="46">
        <f>IF(G761=65,M768-V779,IF(G761=55,M768-X779,IF(G761=551,M768-Z779,IF(G761=60,M768-AB779,IF(G761=601,M768-AD779,IF(G761=70,M768-AF779,IF(G761=75,M768-AH779)))))))</f>
        <v>571</v>
      </c>
      <c r="K779" s="45">
        <v>4</v>
      </c>
      <c r="L779" s="47">
        <f>VLOOKUP($H:$H,型材表!$B$5:$I$45,4,0)</f>
        <v>1.292</v>
      </c>
      <c r="M779" s="46">
        <f t="shared" si="112"/>
        <v>2.9509279999999998</v>
      </c>
      <c r="N779" s="72">
        <f>VLOOKUP($H:$H,型材表!$B$5:$I$45,7,0)</f>
        <v>0</v>
      </c>
      <c r="O779" s="46">
        <f>N779*M779</f>
        <v>0</v>
      </c>
      <c r="P779" s="100">
        <f>VLOOKUP($H:$H,型材表!$B$5:$I$45,5,0)</f>
        <v>0.125</v>
      </c>
      <c r="Q779" s="100" t="str">
        <f>VLOOKUP($H:$H,型材表!$B$5:$I$423,6,0)</f>
        <v>断桥隔热铝型材</v>
      </c>
      <c r="R779" s="49"/>
      <c r="S779" s="50"/>
      <c r="U779" s="374" t="s">
        <v>1129</v>
      </c>
      <c r="V779" s="259">
        <f>22+7</f>
        <v>29</v>
      </c>
      <c r="X779" s="264">
        <f>22+7</f>
        <v>29</v>
      </c>
      <c r="Z779" s="264">
        <f>22+7</f>
        <v>29</v>
      </c>
      <c r="AA779" s="259"/>
      <c r="AB779" s="264">
        <f>22+7</f>
        <v>29</v>
      </c>
      <c r="AC779" s="259"/>
      <c r="AD779" s="264">
        <f>22+7</f>
        <v>29</v>
      </c>
      <c r="AE779" s="259"/>
      <c r="AF779" s="264">
        <f>22+7</f>
        <v>29</v>
      </c>
      <c r="AG779" s="259"/>
      <c r="AH779" s="264">
        <f>22+7</f>
        <v>29</v>
      </c>
      <c r="AI779" s="259"/>
    </row>
    <row r="780" spans="1:35" x14ac:dyDescent="0.15">
      <c r="A780" s="350">
        <v>5</v>
      </c>
      <c r="B780" s="534"/>
      <c r="C780" s="535"/>
      <c r="D780" s="535"/>
      <c r="E780" s="536"/>
      <c r="F780" s="47" t="str">
        <f>VLOOKUP($H:$H,型材表!$B$5:$I$45,2,0)</f>
        <v>中梃</v>
      </c>
      <c r="G780" s="45" t="s">
        <v>143</v>
      </c>
      <c r="H780" s="116" t="str">
        <f>IF(G761=65,"SN65AT001",IF(G761=55,"SN55T001",IF(G761=551,"SN55BT001",IF(G761=60,"SN60T001",IF(G761=601,"SN60AT001",IF(G761=70,"SN70T001",IF(G761=75,"SN75T001")))))))</f>
        <v>SN65AT001</v>
      </c>
      <c r="I780" s="45" t="s">
        <v>1052</v>
      </c>
      <c r="J780" s="46">
        <f>IF(G761=65,M763-V780,IF(G761=55,M763-X780,IF(G761=551,M763-Z780,IF(G761=60,M763-AB780,IF(G761=601,M763-AD780,IF(G761=70,M763-AF780,IF(G761=75,M763-AH780)))))))</f>
        <v>1654</v>
      </c>
      <c r="K780" s="45">
        <v>2</v>
      </c>
      <c r="L780" s="47">
        <f>VLOOKUP($H:$H,型材表!$B$5:$I$45,4,0)</f>
        <v>1.214</v>
      </c>
      <c r="M780" s="46">
        <f t="shared" si="112"/>
        <v>4.0159120000000001</v>
      </c>
      <c r="N780" s="72">
        <f>VLOOKUP($H:$H,型材表!$B$5:$I$45,7,0)</f>
        <v>0</v>
      </c>
      <c r="O780" s="46">
        <f>N780*M780</f>
        <v>0</v>
      </c>
      <c r="P780" s="100">
        <f>VLOOKUP($H:$H,型材表!$B$5:$I$45,5,0)</f>
        <v>0.125</v>
      </c>
      <c r="Q780" s="100" t="str">
        <f>VLOOKUP($H:$H,型材表!$B$5:$I$423,6,0)</f>
        <v>断桥隔热铝型材</v>
      </c>
      <c r="R780" s="49"/>
      <c r="S780" s="50"/>
      <c r="U780" s="374" t="s">
        <v>1033</v>
      </c>
      <c r="V780" s="259">
        <f>23*2</f>
        <v>46</v>
      </c>
      <c r="X780" s="264">
        <f>23*2</f>
        <v>46</v>
      </c>
      <c r="Y780" s="265"/>
      <c r="Z780" s="264">
        <f>23*2</f>
        <v>46</v>
      </c>
      <c r="AA780" s="265"/>
      <c r="AB780" s="264">
        <f>23*2</f>
        <v>46</v>
      </c>
      <c r="AC780" s="265"/>
      <c r="AD780" s="264">
        <f>23*2</f>
        <v>46</v>
      </c>
      <c r="AE780" s="265"/>
      <c r="AF780" s="264">
        <f>23*2</f>
        <v>46</v>
      </c>
      <c r="AG780" s="265"/>
      <c r="AH780" s="264">
        <f>23*2</f>
        <v>46</v>
      </c>
      <c r="AI780" s="259"/>
    </row>
    <row r="781" spans="1:35" x14ac:dyDescent="0.15">
      <c r="A781" s="350">
        <v>6</v>
      </c>
      <c r="B781" s="537"/>
      <c r="C781" s="538"/>
      <c r="D781" s="538"/>
      <c r="E781" s="539"/>
      <c r="F781" s="47" t="str">
        <f>VLOOKUP($H:$H,型材表!$B$5:$I$45,2,0)</f>
        <v>中梃</v>
      </c>
      <c r="G781" s="45" t="s">
        <v>144</v>
      </c>
      <c r="H781" s="116" t="str">
        <f>IF(G761=65,"SN65AT001",IF(G761=55,"SN55T001",IF(G761=551,"SN55BT001",IF(G761=60,"SN60T001",IF(G761=601,"SN60AT001",IF(G761=70,"SN70T001",IF(G761=75,"SN75T001")))))))</f>
        <v>SN65AT001</v>
      </c>
      <c r="I781" s="45" t="s">
        <v>1053</v>
      </c>
      <c r="J781" s="46">
        <f>IF(G761=65,M768-V781,IF(G761=55,M768-X781,IF(G761=551,M768-Z781,IF(G761=60,M768-AB781,IF(G761=601,M768-AD781,IF(G761=70,M768-AF781,IF(G761=75,M768-AH781)))))))</f>
        <v>569</v>
      </c>
      <c r="K781" s="45">
        <v>2</v>
      </c>
      <c r="L781" s="47">
        <f>VLOOKUP($H:$H,型材表!$B$5:$I$45,4,0)</f>
        <v>1.214</v>
      </c>
      <c r="M781" s="46">
        <f t="shared" si="112"/>
        <v>1.381532</v>
      </c>
      <c r="N781" s="72">
        <f>VLOOKUP($H:$H,型材表!$B$5:$I$45,7,0)</f>
        <v>0</v>
      </c>
      <c r="O781" s="46">
        <f>N781*M781</f>
        <v>0</v>
      </c>
      <c r="P781" s="100">
        <f>VLOOKUP($H:$H,型材表!$B$5:$I$45,5,0)</f>
        <v>0.125</v>
      </c>
      <c r="Q781" s="100" t="str">
        <f>VLOOKUP($H:$H,型材表!$B$5:$I$423,6,0)</f>
        <v>断桥隔热铝型材</v>
      </c>
      <c r="R781" s="49"/>
      <c r="S781" s="50"/>
      <c r="U781" s="374" t="s">
        <v>1131</v>
      </c>
      <c r="V781" s="259">
        <f>23+8</f>
        <v>31</v>
      </c>
      <c r="X781" s="264">
        <f>23+8</f>
        <v>31</v>
      </c>
      <c r="Z781" s="264">
        <f>23+8</f>
        <v>31</v>
      </c>
      <c r="AA781" s="259"/>
      <c r="AB781" s="264">
        <f>23+8</f>
        <v>31</v>
      </c>
      <c r="AC781" s="259"/>
      <c r="AD781" s="264">
        <f>23+8</f>
        <v>31</v>
      </c>
      <c r="AE781" s="259"/>
      <c r="AF781" s="264">
        <f>23+8</f>
        <v>31</v>
      </c>
      <c r="AG781" s="259"/>
      <c r="AH781" s="264">
        <f>23+8</f>
        <v>31</v>
      </c>
      <c r="AI781" s="259"/>
    </row>
    <row r="782" spans="1:35" x14ac:dyDescent="0.15">
      <c r="A782" s="350">
        <v>7</v>
      </c>
      <c r="B782" s="542" t="s">
        <v>150</v>
      </c>
      <c r="C782" s="543"/>
      <c r="D782" s="543"/>
      <c r="E782" s="544"/>
      <c r="F782" s="47" t="str">
        <f>VLOOKUP($H:$H,型材表!$B$5:$I$45,2,0)</f>
        <v>转角型材</v>
      </c>
      <c r="G782" s="45"/>
      <c r="H782" s="45" t="str">
        <f>IF(G761=65,"SN65AJ001",IF(G761=55,"SN55J001",IF(G761=551,"SN55BJ001",IF(G761=60,"SN60J001",IF(G761=601,"SN60AJ001",IF(G761=70,"SN70J001",IF(G761=75,"SN75J001")))))))</f>
        <v>SN65AJ001</v>
      </c>
      <c r="I782" s="45" t="s">
        <v>901</v>
      </c>
      <c r="J782" s="46">
        <f>M763</f>
        <v>1700</v>
      </c>
      <c r="K782" s="45">
        <v>1</v>
      </c>
      <c r="L782" s="47">
        <f>VLOOKUP($H:$H,型材表!$B$5:$I$45,4,0)</f>
        <v>1.4159999999999999</v>
      </c>
      <c r="M782" s="46">
        <f t="shared" si="112"/>
        <v>2.4072</v>
      </c>
      <c r="N782" s="72">
        <f>VLOOKUP($H:$H,型材表!$B$5:$I$45,7,0)</f>
        <v>0</v>
      </c>
      <c r="O782" s="46">
        <f>N782*M782</f>
        <v>0</v>
      </c>
      <c r="P782" s="100">
        <f>VLOOKUP($H:$H,型材表!$B$5:$I$45,5,0)</f>
        <v>0.125</v>
      </c>
      <c r="Q782" s="100" t="str">
        <f>VLOOKUP($H:$H,型材表!$B$5:$I$423,6,0)</f>
        <v>断桥隔热铝型材</v>
      </c>
      <c r="R782" s="49"/>
      <c r="S782" s="50"/>
      <c r="X782" s="264"/>
      <c r="Z782" s="264"/>
      <c r="AA782" s="259"/>
      <c r="AB782" s="264"/>
      <c r="AC782" s="259"/>
      <c r="AD782" s="264"/>
      <c r="AE782" s="259"/>
      <c r="AF782" s="264"/>
      <c r="AG782" s="259"/>
      <c r="AH782" s="264"/>
      <c r="AI782" s="259"/>
    </row>
    <row r="783" spans="1:35" x14ac:dyDescent="0.15">
      <c r="A783" s="350">
        <v>8</v>
      </c>
      <c r="B783" s="531" t="s">
        <v>42</v>
      </c>
      <c r="C783" s="532"/>
      <c r="D783" s="532"/>
      <c r="E783" s="533"/>
      <c r="F783" s="47" t="str">
        <f>VLOOKUP($H:$H,型材表!$B$5:$I$45,2,0)</f>
        <v>压线</v>
      </c>
      <c r="G783" s="45" t="s">
        <v>39</v>
      </c>
      <c r="H783" s="45" t="str">
        <f>IF(G761=65,"SN65AY002",IF(G761=55,"SN55Y002",IF(G761=551,"SN55BY002",IF(G761=60,"SN60Y002",IF(G761=601,"SN60Y002",IF(G761=70,"SN70Y002",IF(G761=75,"SN75Y002")))))))</f>
        <v>SN65AY002</v>
      </c>
      <c r="I783" s="45" t="s">
        <v>1042</v>
      </c>
      <c r="J783" s="46">
        <f>IF(G761=65,M765-V783,IF(G761=55,M765-X783,IF(G761=551,M765-Z783,IF(G761=60,M765-AB783,IF(G761=601,M765-AD783,IF(G761=70,M765-AF783,IF(G761=75,M765-AH783)))))))</f>
        <v>1095.4000000000001</v>
      </c>
      <c r="K783" s="45">
        <v>4</v>
      </c>
      <c r="L783" s="47">
        <f>VLOOKUP($H:$H,型材表!$B$5:$I$45,4,0)</f>
        <v>0.20399999999999999</v>
      </c>
      <c r="M783" s="46">
        <f t="shared" si="112"/>
        <v>0.89384640000000004</v>
      </c>
      <c r="N783" s="72">
        <f>VLOOKUP($H:$H,型材表!$B$5:$I$45,7,0)</f>
        <v>0</v>
      </c>
      <c r="O783" s="46">
        <f t="shared" ref="O783:O796" si="114">N783*M783</f>
        <v>0</v>
      </c>
      <c r="P783" s="100">
        <f>VLOOKUP($H:$H,型材表!$B$5:$I$45,5,0)</f>
        <v>0.125</v>
      </c>
      <c r="Q783" s="100" t="str">
        <f>VLOOKUP($H:$H,型材表!$B$5:$I$423,6,0)</f>
        <v>非断桥隔热铝型材</v>
      </c>
      <c r="R783" s="49"/>
      <c r="S783" s="50"/>
      <c r="U783" s="374" t="s">
        <v>1126</v>
      </c>
      <c r="V783" s="269">
        <f>59.8+44.8</f>
        <v>104.6</v>
      </c>
      <c r="W783" s="269"/>
      <c r="X783" s="279">
        <f>59.8+44.8</f>
        <v>104.6</v>
      </c>
      <c r="Z783" s="279">
        <f>59.8+44.8</f>
        <v>104.6</v>
      </c>
      <c r="AA783" s="259"/>
      <c r="AB783" s="279">
        <f>59.8+44.8</f>
        <v>104.6</v>
      </c>
      <c r="AC783" s="259"/>
      <c r="AD783" s="279">
        <f>59.8+44.8</f>
        <v>104.6</v>
      </c>
      <c r="AE783" s="259"/>
      <c r="AF783" s="279">
        <f>59.8+44.8</f>
        <v>104.6</v>
      </c>
      <c r="AG783" s="259"/>
      <c r="AH783" s="279">
        <f>59.8+44.8</f>
        <v>104.6</v>
      </c>
      <c r="AI783" s="259"/>
    </row>
    <row r="784" spans="1:35" x14ac:dyDescent="0.15">
      <c r="A784" s="350">
        <v>9</v>
      </c>
      <c r="B784" s="534"/>
      <c r="C784" s="535"/>
      <c r="D784" s="535"/>
      <c r="E784" s="536"/>
      <c r="F784" s="47" t="str">
        <f>VLOOKUP($H:$H,型材表!$B$5:$I$45,2,0)</f>
        <v>压线</v>
      </c>
      <c r="G784" s="45" t="s">
        <v>39</v>
      </c>
      <c r="H784" s="45" t="str">
        <f>H783</f>
        <v>SN65AY002</v>
      </c>
      <c r="I784" s="45" t="s">
        <v>1055</v>
      </c>
      <c r="J784" s="46">
        <f>IF(G761=65,M766-V784,IF(G761=55,M766-X784,IF(G761=551,M766-Z784,IF(G761=60,M766-AB784,IF(G761=601,M766-AD784,IF(G761=70,M766-AF784,IF(G761=75,M766-AH784)))))))</f>
        <v>469</v>
      </c>
      <c r="K784" s="45">
        <v>4</v>
      </c>
      <c r="L784" s="47">
        <f>VLOOKUP($H:$H,型材表!$B$5:$I$45,4,0)</f>
        <v>0.20399999999999999</v>
      </c>
      <c r="M784" s="46">
        <f t="shared" si="112"/>
        <v>0.38270399999999993</v>
      </c>
      <c r="N784" s="72">
        <f>VLOOKUP($H:$H,型材表!$B$5:$I$45,7,0)</f>
        <v>0</v>
      </c>
      <c r="O784" s="46">
        <f t="shared" si="114"/>
        <v>0</v>
      </c>
      <c r="P784" s="100">
        <f>VLOOKUP($H:$H,型材表!$B$5:$I$45,5,0)</f>
        <v>0.125</v>
      </c>
      <c r="Q784" s="100" t="str">
        <f>VLOOKUP($H:$H,型材表!$B$5:$I$423,6,0)</f>
        <v>非断桥隔热铝型材</v>
      </c>
      <c r="R784" s="49"/>
      <c r="S784" s="50"/>
      <c r="U784" s="374" t="s">
        <v>1127</v>
      </c>
      <c r="V784" s="269">
        <f>8+23</f>
        <v>31</v>
      </c>
      <c r="W784" s="269"/>
      <c r="X784" s="279">
        <f>8+23</f>
        <v>31</v>
      </c>
      <c r="Z784" s="279">
        <f>8+23</f>
        <v>31</v>
      </c>
      <c r="AA784" s="259"/>
      <c r="AB784" s="279">
        <f>8+23</f>
        <v>31</v>
      </c>
      <c r="AC784" s="259"/>
      <c r="AD784" s="279">
        <f>8+23</f>
        <v>31</v>
      </c>
      <c r="AE784" s="259"/>
      <c r="AF784" s="279">
        <f>8+23</f>
        <v>31</v>
      </c>
      <c r="AG784" s="259"/>
      <c r="AH784" s="279">
        <f>8+23</f>
        <v>31</v>
      </c>
      <c r="AI784" s="259"/>
    </row>
    <row r="785" spans="1:35" x14ac:dyDescent="0.15">
      <c r="A785" s="350">
        <v>10</v>
      </c>
      <c r="B785" s="534"/>
      <c r="C785" s="535"/>
      <c r="D785" s="535"/>
      <c r="E785" s="536"/>
      <c r="F785" s="47" t="str">
        <f>VLOOKUP($H:$H,型材表!$B$5:$I$45,2,0)</f>
        <v>压线</v>
      </c>
      <c r="G785" s="45" t="s">
        <v>39</v>
      </c>
      <c r="H785" s="45" t="str">
        <f t="shared" ref="H785:H791" si="115">H784</f>
        <v>SN65AY002</v>
      </c>
      <c r="I785" s="207" t="s">
        <v>1069</v>
      </c>
      <c r="J785" s="208">
        <f>IF(G761=65,M763-V785,IF(G761=55,M763-X785,IF(G761=551,M763-Z785,IF(G761=60,M763-AB785,IF(G761=601,M763-AD785,IF(G761=70,M763-AF785,IF(G761=75,M763-AH785)))))))</f>
        <v>1654</v>
      </c>
      <c r="K785" s="45">
        <v>4</v>
      </c>
      <c r="L785" s="47">
        <f>VLOOKUP($H:$H,型材表!$B$5:$I$45,4,0)</f>
        <v>0.20399999999999999</v>
      </c>
      <c r="M785" s="46">
        <f t="shared" ref="M785:M791" si="116">J785*K785*L785/1000</f>
        <v>1.349664</v>
      </c>
      <c r="N785" s="72">
        <f>VLOOKUP($H:$H,型材表!$B$5:$I$45,7,0)</f>
        <v>0</v>
      </c>
      <c r="O785" s="46">
        <f t="shared" ref="O785:O791" si="117">N785*M785</f>
        <v>0</v>
      </c>
      <c r="P785" s="100">
        <f>VLOOKUP($H:$H,型材表!$B$5:$I$45,5,0)</f>
        <v>0.125</v>
      </c>
      <c r="Q785" s="100" t="str">
        <f>VLOOKUP($H:$H,型材表!$B$5:$I$423,6,0)</f>
        <v>非断桥隔热铝型材</v>
      </c>
      <c r="R785" s="210"/>
      <c r="S785" s="50"/>
      <c r="U785" s="374" t="s">
        <v>1038</v>
      </c>
      <c r="V785" s="269">
        <f>23*2</f>
        <v>46</v>
      </c>
      <c r="W785" s="269"/>
      <c r="X785" s="279">
        <f>23*2</f>
        <v>46</v>
      </c>
      <c r="Z785" s="279">
        <f>23*2</f>
        <v>46</v>
      </c>
      <c r="AA785" s="259"/>
      <c r="AB785" s="279">
        <f>23*2</f>
        <v>46</v>
      </c>
      <c r="AC785" s="259"/>
      <c r="AD785" s="279">
        <f>23*2</f>
        <v>46</v>
      </c>
      <c r="AE785" s="259"/>
      <c r="AF785" s="279">
        <f>23*2</f>
        <v>46</v>
      </c>
      <c r="AG785" s="259"/>
      <c r="AH785" s="279">
        <f>23*2</f>
        <v>46</v>
      </c>
      <c r="AI785" s="259"/>
    </row>
    <row r="786" spans="1:35" x14ac:dyDescent="0.15">
      <c r="A786" s="350">
        <v>11</v>
      </c>
      <c r="B786" s="534"/>
      <c r="C786" s="535"/>
      <c r="D786" s="535"/>
      <c r="E786" s="536"/>
      <c r="F786" s="47" t="str">
        <f>VLOOKUP($H:$H,型材表!$B$5:$I$45,2,0)</f>
        <v>压线</v>
      </c>
      <c r="G786" s="45" t="s">
        <v>40</v>
      </c>
      <c r="H786" s="45" t="str">
        <f t="shared" si="115"/>
        <v>SN65AY002</v>
      </c>
      <c r="I786" s="207" t="s">
        <v>1016</v>
      </c>
      <c r="J786" s="208">
        <f>IF(G761=65,M768-V786,IF(G761=55,M768-X786,IF(G761=551,M768-Z786,IF(G761=60,M768-AB786,IF(G761=601,M768-AD786,IF(G761=70,M768-AF786,IF(G761=75,M768-AH786)))))))</f>
        <v>495.4</v>
      </c>
      <c r="K786" s="45">
        <v>2</v>
      </c>
      <c r="L786" s="47">
        <f>VLOOKUP($H:$H,型材表!$B$5:$I$45,4,0)</f>
        <v>0.20399999999999999</v>
      </c>
      <c r="M786" s="46">
        <f t="shared" si="116"/>
        <v>0.20212319999999998</v>
      </c>
      <c r="N786" s="72">
        <f>VLOOKUP($H:$H,型材表!$B$5:$I$45,7,0)</f>
        <v>0</v>
      </c>
      <c r="O786" s="46">
        <f t="shared" si="117"/>
        <v>0</v>
      </c>
      <c r="P786" s="100">
        <f>VLOOKUP($H:$H,型材表!$B$5:$I$45,5,0)</f>
        <v>0.125</v>
      </c>
      <c r="Q786" s="100" t="str">
        <f>VLOOKUP($H:$H,型材表!$B$5:$I$423,6,0)</f>
        <v>非断桥隔热铝型材</v>
      </c>
      <c r="R786" s="210"/>
      <c r="S786" s="50"/>
      <c r="U786" s="374" t="s">
        <v>1030</v>
      </c>
      <c r="V786" s="269">
        <f>59.8+44.8</f>
        <v>104.6</v>
      </c>
      <c r="W786" s="269"/>
      <c r="X786" s="279">
        <f>59.8+44.8</f>
        <v>104.6</v>
      </c>
      <c r="Z786" s="279">
        <f>59.8+44.8</f>
        <v>104.6</v>
      </c>
      <c r="AA786" s="259"/>
      <c r="AB786" s="279">
        <f>59.8+44.8</f>
        <v>104.6</v>
      </c>
      <c r="AC786" s="259"/>
      <c r="AD786" s="279">
        <f>59.8+44.8</f>
        <v>104.6</v>
      </c>
      <c r="AE786" s="259"/>
      <c r="AF786" s="279">
        <f>59.8+44.8</f>
        <v>104.6</v>
      </c>
      <c r="AG786" s="259"/>
      <c r="AH786" s="279">
        <f>59.8+44.8</f>
        <v>104.6</v>
      </c>
      <c r="AI786" s="259"/>
    </row>
    <row r="787" spans="1:35" x14ac:dyDescent="0.15">
      <c r="A787" s="350">
        <v>12</v>
      </c>
      <c r="B787" s="534"/>
      <c r="C787" s="535"/>
      <c r="D787" s="535"/>
      <c r="E787" s="536"/>
      <c r="F787" s="47" t="str">
        <f>VLOOKUP($H:$H,型材表!$B$5:$I$45,2,0)</f>
        <v>压线</v>
      </c>
      <c r="G787" s="45" t="s">
        <v>40</v>
      </c>
      <c r="H787" s="45" t="str">
        <f t="shared" si="115"/>
        <v>SN65AY002</v>
      </c>
      <c r="I787" s="207" t="s">
        <v>1062</v>
      </c>
      <c r="J787" s="208">
        <f>IF(G761=65,M768-V787,IF(G761=55,M768-X787,IF(G761=551,M768-Z787,IF(G761=60,M768-AB787,IF(G761=601,M768-AD787,IF(G761=70,M768-AF787,IF(G761=75,M768-AH787)))))))</f>
        <v>569</v>
      </c>
      <c r="K787" s="45">
        <v>2</v>
      </c>
      <c r="L787" s="47">
        <f>VLOOKUP($H:$H,型材表!$B$5:$I$45,4,0)</f>
        <v>0.20399999999999999</v>
      </c>
      <c r="M787" s="46">
        <f t="shared" ref="M787:M788" si="118">J787*K787*L787/1000</f>
        <v>0.232152</v>
      </c>
      <c r="N787" s="72">
        <f>VLOOKUP($H:$H,型材表!$B$5:$I$45,7,0)</f>
        <v>0</v>
      </c>
      <c r="O787" s="46">
        <f t="shared" ref="O787:O788" si="119">N787*M787</f>
        <v>0</v>
      </c>
      <c r="P787" s="100">
        <f>VLOOKUP($H:$H,型材表!$B$5:$I$45,5,0)</f>
        <v>0.125</v>
      </c>
      <c r="Q787" s="100" t="str">
        <f>VLOOKUP($H:$H,型材表!$B$5:$I$423,6,0)</f>
        <v>非断桥隔热铝型材</v>
      </c>
      <c r="R787" s="210"/>
      <c r="S787" s="50"/>
      <c r="U787" s="374" t="s">
        <v>1058</v>
      </c>
      <c r="V787" s="269">
        <f>23+8</f>
        <v>31</v>
      </c>
      <c r="W787" s="269"/>
      <c r="X787" s="279">
        <f>23+8</f>
        <v>31</v>
      </c>
      <c r="Z787" s="279">
        <f>23+8</f>
        <v>31</v>
      </c>
      <c r="AA787" s="259"/>
      <c r="AB787" s="279">
        <f>23+8</f>
        <v>31</v>
      </c>
      <c r="AC787" s="259"/>
      <c r="AD787" s="279">
        <f>23+8</f>
        <v>31</v>
      </c>
      <c r="AE787" s="259"/>
      <c r="AF787" s="279">
        <f>23+8</f>
        <v>31</v>
      </c>
      <c r="AG787" s="259"/>
      <c r="AH787" s="279">
        <f>23+8</f>
        <v>31</v>
      </c>
      <c r="AI787" s="259"/>
    </row>
    <row r="788" spans="1:35" x14ac:dyDescent="0.15">
      <c r="A788" s="350">
        <v>13</v>
      </c>
      <c r="B788" s="534"/>
      <c r="C788" s="535"/>
      <c r="D788" s="535"/>
      <c r="E788" s="536"/>
      <c r="F788" s="47" t="str">
        <f>VLOOKUP($H:$H,型材表!$B$5:$I$45,2,0)</f>
        <v>压线</v>
      </c>
      <c r="G788" s="45" t="s">
        <v>40</v>
      </c>
      <c r="H788" s="45" t="str">
        <f t="shared" si="115"/>
        <v>SN65AY002</v>
      </c>
      <c r="I788" s="207" t="s">
        <v>1063</v>
      </c>
      <c r="J788" s="208">
        <f>IF(G761=65,M769-V788,IF(G761=55,M769-X788,IF(G761=551,M769-Z788,IF(G761=60,M769-AB788,IF(G761=601,M769-AD788,IF(G761=70,M769-AF788,IF(G761=75,M769-AH788)))))))</f>
        <v>784</v>
      </c>
      <c r="K788" s="45">
        <v>4</v>
      </c>
      <c r="L788" s="47">
        <f>VLOOKUP($H:$H,型材表!$B$5:$I$45,4,0)</f>
        <v>0.20399999999999999</v>
      </c>
      <c r="M788" s="46">
        <f t="shared" si="118"/>
        <v>0.63974399999999987</v>
      </c>
      <c r="N788" s="72">
        <f>VLOOKUP($H:$H,型材表!$B$5:$I$45,7,0)</f>
        <v>0</v>
      </c>
      <c r="O788" s="46">
        <f t="shared" si="119"/>
        <v>0</v>
      </c>
      <c r="P788" s="100">
        <f>VLOOKUP($H:$H,型材表!$B$5:$I$45,5,0)</f>
        <v>0.125</v>
      </c>
      <c r="Q788" s="100" t="str">
        <f>VLOOKUP($H:$H,型材表!$B$5:$I$423,6,0)</f>
        <v>非断桥隔热铝型材</v>
      </c>
      <c r="R788" s="210"/>
      <c r="S788" s="50"/>
      <c r="U788" s="374" t="s">
        <v>1034</v>
      </c>
      <c r="V788" s="269">
        <f>8*2</f>
        <v>16</v>
      </c>
      <c r="W788" s="269"/>
      <c r="X788" s="279">
        <f>8*2</f>
        <v>16</v>
      </c>
      <c r="Z788" s="279">
        <f>8*2</f>
        <v>16</v>
      </c>
      <c r="AA788" s="259"/>
      <c r="AB788" s="279">
        <f>8*2</f>
        <v>16</v>
      </c>
      <c r="AC788" s="259"/>
      <c r="AD788" s="279">
        <f>8*2</f>
        <v>16</v>
      </c>
      <c r="AE788" s="259"/>
      <c r="AF788" s="279">
        <f>8*2</f>
        <v>16</v>
      </c>
      <c r="AG788" s="259"/>
      <c r="AH788" s="279">
        <f>8*2</f>
        <v>16</v>
      </c>
      <c r="AI788" s="259"/>
    </row>
    <row r="789" spans="1:35" x14ac:dyDescent="0.15">
      <c r="A789" s="350">
        <v>14</v>
      </c>
      <c r="B789" s="534"/>
      <c r="C789" s="535"/>
      <c r="D789" s="535"/>
      <c r="E789" s="536"/>
      <c r="F789" s="47" t="str">
        <f>VLOOKUP($H:$H,型材表!$B$5:$I$45,2,0)</f>
        <v>压线</v>
      </c>
      <c r="G789" s="45" t="s">
        <v>40</v>
      </c>
      <c r="H789" s="45" t="str">
        <f>H786</f>
        <v>SN65AY002</v>
      </c>
      <c r="I789" s="207" t="s">
        <v>1075</v>
      </c>
      <c r="J789" s="208">
        <f>IF(G761=65,M768-V789,IF(G761=55,M768-X789,IF(G761=551,M768-Z789,IF(G761=60,M768-AB789,IF(G761=601,M768-AD789,IF(G761=70,M768-AF789,IF(G761=75,M768-AH789)))))))</f>
        <v>431.2</v>
      </c>
      <c r="K789" s="45">
        <v>2</v>
      </c>
      <c r="L789" s="47">
        <f>VLOOKUP($H:$H,型材表!$B$5:$I$45,4,0)</f>
        <v>0.20399999999999999</v>
      </c>
      <c r="M789" s="46">
        <f t="shared" si="116"/>
        <v>0.17592959999999999</v>
      </c>
      <c r="N789" s="72">
        <f>VLOOKUP($H:$H,型材表!$B$5:$I$45,7,0)</f>
        <v>0</v>
      </c>
      <c r="O789" s="46">
        <f t="shared" si="117"/>
        <v>0</v>
      </c>
      <c r="P789" s="100">
        <f>VLOOKUP($H:$H,型材表!$B$5:$I$45,5,0)</f>
        <v>0.125</v>
      </c>
      <c r="Q789" s="100" t="str">
        <f>VLOOKUP($H:$H,型材表!$B$5:$I$423,6,0)</f>
        <v>非断桥隔热铝型材</v>
      </c>
      <c r="R789" s="210"/>
      <c r="S789" s="50"/>
      <c r="U789" s="374" t="s">
        <v>1135</v>
      </c>
      <c r="V789" s="269">
        <f>59.8+44.8+64.2</f>
        <v>168.8</v>
      </c>
      <c r="W789" s="269"/>
      <c r="X789" s="279">
        <f>59.8+44.8+55</f>
        <v>159.6</v>
      </c>
      <c r="Z789" s="279">
        <f>59.8+44.8+55</f>
        <v>159.6</v>
      </c>
      <c r="AA789" s="259"/>
      <c r="AB789" s="279">
        <f>59.8+44.8+60.2</f>
        <v>164.8</v>
      </c>
      <c r="AC789" s="259"/>
      <c r="AD789" s="279">
        <f>59.8+44.8+60.4</f>
        <v>165</v>
      </c>
      <c r="AE789" s="259"/>
      <c r="AF789" s="279">
        <f>59.8+44.8+70.2</f>
        <v>174.8</v>
      </c>
      <c r="AG789" s="259"/>
      <c r="AH789" s="279">
        <f>59.8+44.8+74.2</f>
        <v>178.8</v>
      </c>
      <c r="AI789" s="259"/>
    </row>
    <row r="790" spans="1:35" x14ac:dyDescent="0.15">
      <c r="A790" s="350">
        <v>15</v>
      </c>
      <c r="B790" s="534"/>
      <c r="C790" s="535"/>
      <c r="D790" s="535"/>
      <c r="E790" s="536"/>
      <c r="F790" s="47" t="str">
        <f>VLOOKUP($H:$H,型材表!$B$5:$I$45,2,0)</f>
        <v>压线</v>
      </c>
      <c r="G790" s="45" t="s">
        <v>40</v>
      </c>
      <c r="H790" s="45" t="str">
        <f t="shared" si="115"/>
        <v>SN65AY002</v>
      </c>
      <c r="I790" s="207" t="s">
        <v>1074</v>
      </c>
      <c r="J790" s="208">
        <f>IF(G761=65,M768-V790,IF(G761=55,M768-X790,IF(G761=551,M768-Z790,IF(G761=60,M768-AB790,IF(G761=601,M768-AD790,IF(G761=70,M768-AF790,IF(G761=75,M768-AH790)))))))</f>
        <v>504.8</v>
      </c>
      <c r="K790" s="45">
        <v>2</v>
      </c>
      <c r="L790" s="47">
        <f>VLOOKUP($H:$H,型材表!$B$5:$I$45,4,0)</f>
        <v>0.20399999999999999</v>
      </c>
      <c r="M790" s="46">
        <f t="shared" si="116"/>
        <v>0.20595839999999999</v>
      </c>
      <c r="N790" s="72">
        <f>VLOOKUP($H:$H,型材表!$B$5:$I$45,7,0)</f>
        <v>0</v>
      </c>
      <c r="O790" s="46">
        <f t="shared" si="117"/>
        <v>0</v>
      </c>
      <c r="P790" s="100">
        <f>VLOOKUP($H:$H,型材表!$B$5:$I$45,5,0)</f>
        <v>0.125</v>
      </c>
      <c r="Q790" s="100" t="str">
        <f>VLOOKUP($H:$H,型材表!$B$5:$I$423,6,0)</f>
        <v>非断桥隔热铝型材</v>
      </c>
      <c r="R790" s="210"/>
      <c r="S790" s="50"/>
      <c r="U790" s="374" t="s">
        <v>1133</v>
      </c>
      <c r="V790" s="269">
        <f>8+87.2</f>
        <v>95.2</v>
      </c>
      <c r="W790" s="269"/>
      <c r="X790" s="279">
        <f>8+78</f>
        <v>86</v>
      </c>
      <c r="Y790" s="265"/>
      <c r="Z790" s="279">
        <f>8+78</f>
        <v>86</v>
      </c>
      <c r="AA790" s="265"/>
      <c r="AB790" s="279">
        <f>8+83.2</f>
        <v>91.2</v>
      </c>
      <c r="AC790" s="265"/>
      <c r="AD790" s="279">
        <f>8+83.4</f>
        <v>91.4</v>
      </c>
      <c r="AE790" s="265"/>
      <c r="AF790" s="279">
        <f>8+93.2</f>
        <v>101.2</v>
      </c>
      <c r="AG790" s="265"/>
      <c r="AH790" s="279">
        <f>8+97.2</f>
        <v>105.2</v>
      </c>
      <c r="AI790" s="259"/>
    </row>
    <row r="791" spans="1:35" x14ac:dyDescent="0.15">
      <c r="A791" s="350">
        <v>16</v>
      </c>
      <c r="B791" s="537"/>
      <c r="C791" s="538"/>
      <c r="D791" s="538"/>
      <c r="E791" s="539"/>
      <c r="F791" s="47" t="str">
        <f>VLOOKUP($H:$H,型材表!$B$5:$I$45,2,0)</f>
        <v>压线</v>
      </c>
      <c r="G791" s="45" t="s">
        <v>40</v>
      </c>
      <c r="H791" s="45" t="str">
        <f t="shared" si="115"/>
        <v>SN65AY002</v>
      </c>
      <c r="I791" s="207" t="s">
        <v>1071</v>
      </c>
      <c r="J791" s="208">
        <f>IF(G761=65,M770-V791,IF(G761=55,M770-X791,IF(G761=551,M770-Z791,IF(G761=60,M770-AB791,IF(G761=601,M770-AD791,IF(G761=70,M770-AF791,IF(G761=75,M770-AH791)))))))</f>
        <v>389.8</v>
      </c>
      <c r="K791" s="45">
        <v>2</v>
      </c>
      <c r="L791" s="47">
        <f>VLOOKUP($H:$H,型材表!$B$5:$I$45,4,0)</f>
        <v>0.20399999999999999</v>
      </c>
      <c r="M791" s="46">
        <f t="shared" si="116"/>
        <v>0.1590384</v>
      </c>
      <c r="N791" s="72">
        <f>VLOOKUP($H:$H,型材表!$B$5:$I$45,7,0)</f>
        <v>0</v>
      </c>
      <c r="O791" s="46">
        <f t="shared" si="117"/>
        <v>0</v>
      </c>
      <c r="P791" s="100">
        <f>VLOOKUP($H:$H,型材表!$B$5:$I$45,5,0)</f>
        <v>0.125</v>
      </c>
      <c r="Q791" s="100" t="str">
        <f>VLOOKUP($H:$H,型材表!$B$5:$I$423,6,0)</f>
        <v>非断桥隔热铝型材</v>
      </c>
      <c r="R791" s="210"/>
      <c r="S791" s="50"/>
      <c r="U791" s="374" t="s">
        <v>1134</v>
      </c>
      <c r="V791" s="269">
        <f>87.2+23</f>
        <v>110.2</v>
      </c>
      <c r="W791" s="269"/>
      <c r="X791" s="279">
        <f>78+23</f>
        <v>101</v>
      </c>
      <c r="Y791" s="265"/>
      <c r="Z791" s="279">
        <f>78+23</f>
        <v>101</v>
      </c>
      <c r="AA791" s="265"/>
      <c r="AB791" s="279">
        <f>83.2+23</f>
        <v>106.2</v>
      </c>
      <c r="AC791" s="265"/>
      <c r="AD791" s="279">
        <f>83.4+23</f>
        <v>106.4</v>
      </c>
      <c r="AE791" s="265"/>
      <c r="AF791" s="279">
        <f>93.2+23</f>
        <v>116.2</v>
      </c>
      <c r="AG791" s="265"/>
      <c r="AH791" s="279">
        <f>97.2+23</f>
        <v>120.2</v>
      </c>
      <c r="AI791" s="259"/>
    </row>
    <row r="792" spans="1:35" x14ac:dyDescent="0.15">
      <c r="A792" s="350">
        <v>17</v>
      </c>
      <c r="B792" s="531" t="s">
        <v>44</v>
      </c>
      <c r="C792" s="532"/>
      <c r="D792" s="532"/>
      <c r="E792" s="533"/>
      <c r="F792" s="47" t="str">
        <f>VLOOKUP($H:$H,型材表!$B$5:$I$45,2,0)</f>
        <v>角码</v>
      </c>
      <c r="G792" s="51" t="s">
        <v>446</v>
      </c>
      <c r="H792" s="45" t="str">
        <f>IF(G761=65,"SW55F001","SN55F003")</f>
        <v>SW55F001</v>
      </c>
      <c r="I792" s="45" t="s">
        <v>1006</v>
      </c>
      <c r="J792" s="52">
        <f>IF(G761=65,V792,IF(G761=55,X792,IF(G761=551,Z792,IF(G761=60,AB792,IF(G761=601,AD792,IF(G761=70,AF792,IF(G761=75,AH792)))))))</f>
        <v>32.200000000000003</v>
      </c>
      <c r="K792" s="45">
        <f>K776*2</f>
        <v>8</v>
      </c>
      <c r="L792" s="47">
        <f>VLOOKUP($H:$H,型材表!$B$5:$I$45,4,0)</f>
        <v>2.0950000000000002</v>
      </c>
      <c r="M792" s="46">
        <f t="shared" si="112"/>
        <v>0.53967200000000015</v>
      </c>
      <c r="N792" s="72">
        <f>VLOOKUP($H:$H,型材表!$B$5:$I$45,7,0)</f>
        <v>0</v>
      </c>
      <c r="O792" s="46">
        <f t="shared" si="114"/>
        <v>0</v>
      </c>
      <c r="P792" s="100">
        <f>VLOOKUP($H:$H,型材表!$B$5:$I$45,5,0)</f>
        <v>0.125</v>
      </c>
      <c r="Q792" s="100" t="str">
        <f>VLOOKUP($H:$H,型材表!$B$5:$I$423,6,0)</f>
        <v>阳极氧化铝型材</v>
      </c>
      <c r="R792" s="49"/>
      <c r="S792" s="50"/>
      <c r="U792" s="374" t="s">
        <v>994</v>
      </c>
      <c r="V792" s="259">
        <f>19.5-1+14.7-1</f>
        <v>32.200000000000003</v>
      </c>
      <c r="X792" s="264">
        <f>19.5-1+14.7-1</f>
        <v>32.200000000000003</v>
      </c>
      <c r="Y792" s="265"/>
      <c r="Z792" s="264">
        <f>19.5-1+10.9-1</f>
        <v>28.4</v>
      </c>
      <c r="AA792" s="277"/>
      <c r="AB792" s="264">
        <f>19.5-1+14.7-1</f>
        <v>32.200000000000003</v>
      </c>
      <c r="AC792" s="277"/>
      <c r="AD792" s="264">
        <f>19.5-1+10.9-1</f>
        <v>28.4</v>
      </c>
      <c r="AE792" s="277"/>
      <c r="AF792" s="264">
        <f>19.5-1+14.7-1</f>
        <v>32.200000000000003</v>
      </c>
      <c r="AG792" s="277"/>
      <c r="AH792" s="264">
        <f>19.5-1+14.7-1</f>
        <v>32.200000000000003</v>
      </c>
      <c r="AI792" s="259"/>
    </row>
    <row r="793" spans="1:35" x14ac:dyDescent="0.15">
      <c r="A793" s="350">
        <v>18</v>
      </c>
      <c r="B793" s="534"/>
      <c r="C793" s="535"/>
      <c r="D793" s="535"/>
      <c r="E793" s="536"/>
      <c r="F793" s="47" t="str">
        <f>VLOOKUP($H:$H,型材表!$B$5:$I$45,2,0)</f>
        <v>角码</v>
      </c>
      <c r="G793" s="51" t="s">
        <v>447</v>
      </c>
      <c r="H793" s="45" t="str">
        <f>IF(G761=65,"SN55F003","SN55F003")</f>
        <v>SN55F003</v>
      </c>
      <c r="I793" s="45" t="s">
        <v>995</v>
      </c>
      <c r="J793" s="52">
        <f>V793</f>
        <v>27.1</v>
      </c>
      <c r="K793" s="45">
        <v>8</v>
      </c>
      <c r="L793" s="47">
        <f>VLOOKUP($H:$H,型材表!$B$5:$I$45,4,0)</f>
        <v>1.7490000000000001</v>
      </c>
      <c r="M793" s="46">
        <f t="shared" si="112"/>
        <v>0.37918320000000005</v>
      </c>
      <c r="N793" s="72">
        <f>VLOOKUP($H:$H,型材表!$B$5:$I$45,7,0)</f>
        <v>0</v>
      </c>
      <c r="O793" s="46">
        <f t="shared" si="114"/>
        <v>0</v>
      </c>
      <c r="P793" s="100">
        <f>VLOOKUP($H:$H,型材表!$B$5:$I$45,5,0)</f>
        <v>0.125</v>
      </c>
      <c r="Q793" s="100" t="str">
        <f>VLOOKUP($H:$H,型材表!$B$5:$I$423,6,0)</f>
        <v>阳极氧化铝型材</v>
      </c>
      <c r="R793" s="49"/>
      <c r="S793" s="50"/>
      <c r="U793" s="374" t="s">
        <v>995</v>
      </c>
      <c r="V793" s="259">
        <f>28.1-1</f>
        <v>27.1</v>
      </c>
      <c r="X793" s="264"/>
      <c r="Z793" s="264"/>
      <c r="AA793" s="259"/>
      <c r="AB793" s="264"/>
      <c r="AC793" s="259"/>
      <c r="AD793" s="264"/>
      <c r="AE793" s="259"/>
      <c r="AF793" s="264"/>
      <c r="AG793" s="259"/>
      <c r="AH793" s="264"/>
      <c r="AI793" s="259"/>
    </row>
    <row r="794" spans="1:35" x14ac:dyDescent="0.15">
      <c r="A794" s="350">
        <v>19</v>
      </c>
      <c r="B794" s="534"/>
      <c r="C794" s="535"/>
      <c r="D794" s="535"/>
      <c r="E794" s="536"/>
      <c r="F794" s="47" t="str">
        <f>VLOOKUP($H:$H,型材表!$B$5:$I$45,2,0)</f>
        <v>角码</v>
      </c>
      <c r="G794" s="51" t="s">
        <v>447</v>
      </c>
      <c r="H794" s="45" t="str">
        <f>IF(G761=70,"SW50F002",IF(G761=75,"SW50F002","SN55F003"))</f>
        <v>SN55F003</v>
      </c>
      <c r="I794" s="45" t="s">
        <v>996</v>
      </c>
      <c r="J794" s="52">
        <f>IF(G761=65,V794,IF(G761=55,X794,IF(G761=551,Z794,IF(G761=60,AB794,IF(G761=601,AD794,IF(G761=70,AF794,IF(G761=75,AH794)))))))</f>
        <v>8</v>
      </c>
      <c r="K794" s="45">
        <v>8</v>
      </c>
      <c r="L794" s="47">
        <f>VLOOKUP($H:$H,型材表!$B$5:$I$45,4,0)</f>
        <v>1.7490000000000001</v>
      </c>
      <c r="M794" s="46">
        <f t="shared" si="112"/>
        <v>0.11193600000000001</v>
      </c>
      <c r="N794" s="72">
        <f>VLOOKUP($H:$H,型材表!$B$5:$I$45,7,0)</f>
        <v>0</v>
      </c>
      <c r="O794" s="46">
        <f t="shared" si="114"/>
        <v>0</v>
      </c>
      <c r="P794" s="100">
        <f>VLOOKUP($H:$H,型材表!$B$5:$I$45,5,0)</f>
        <v>0.125</v>
      </c>
      <c r="Q794" s="100" t="str">
        <f>VLOOKUP($H:$H,型材表!$B$5:$I$423,6,0)</f>
        <v>阳极氧化铝型材</v>
      </c>
      <c r="R794" s="49"/>
      <c r="S794" s="50"/>
      <c r="U794" s="374" t="s">
        <v>996</v>
      </c>
      <c r="V794" s="259">
        <f>9-1</f>
        <v>8</v>
      </c>
      <c r="X794" s="264">
        <f>9-1</f>
        <v>8</v>
      </c>
      <c r="Y794" s="265"/>
      <c r="Z794" s="264">
        <f>5.2-1</f>
        <v>4.2</v>
      </c>
      <c r="AA794" s="277"/>
      <c r="AB794" s="264">
        <f>9-1</f>
        <v>8</v>
      </c>
      <c r="AC794" s="277"/>
      <c r="AD794" s="264">
        <f>5.2-1</f>
        <v>4.2</v>
      </c>
      <c r="AE794" s="277"/>
      <c r="AF794" s="264">
        <f>9-1</f>
        <v>8</v>
      </c>
      <c r="AG794" s="277"/>
      <c r="AH794" s="264">
        <f>9-1</f>
        <v>8</v>
      </c>
      <c r="AI794" s="259"/>
    </row>
    <row r="795" spans="1:35" x14ac:dyDescent="0.15">
      <c r="A795" s="350">
        <v>20</v>
      </c>
      <c r="B795" s="534"/>
      <c r="C795" s="535"/>
      <c r="D795" s="535"/>
      <c r="E795" s="536"/>
      <c r="F795" s="47" t="str">
        <f>VLOOKUP($H:$H,型材表!$B$5:$I$45,2,0)</f>
        <v>中梃角码</v>
      </c>
      <c r="G795" s="51"/>
      <c r="H795" s="45" t="str">
        <f>IF(G761=65,"SN55F001","SN55F001")</f>
        <v>SN55F001</v>
      </c>
      <c r="I795" s="45" t="s">
        <v>997</v>
      </c>
      <c r="J795" s="52">
        <f>V795</f>
        <v>18.5</v>
      </c>
      <c r="K795" s="45">
        <v>8</v>
      </c>
      <c r="L795" s="47">
        <f>VLOOKUP($H:$H,型材表!$B$5:$I$45,4,0)</f>
        <v>1.4730000000000001</v>
      </c>
      <c r="M795" s="46">
        <f t="shared" si="112"/>
        <v>0.21800400000000003</v>
      </c>
      <c r="N795" s="72">
        <f>VLOOKUP($H:$H,型材表!$B$5:$I$45,7,0)</f>
        <v>0</v>
      </c>
      <c r="O795" s="46">
        <f t="shared" si="114"/>
        <v>0</v>
      </c>
      <c r="P795" s="100">
        <f>VLOOKUP($H:$H,型材表!$B$5:$I$45,5,0)</f>
        <v>0.125</v>
      </c>
      <c r="Q795" s="100" t="str">
        <f>VLOOKUP($H:$H,型材表!$B$5:$I$423,6,0)</f>
        <v>阳极氧化铝型材</v>
      </c>
      <c r="R795" s="49"/>
      <c r="S795" s="50"/>
      <c r="U795" s="374" t="s">
        <v>997</v>
      </c>
      <c r="V795" s="259">
        <f>19.5-1</f>
        <v>18.5</v>
      </c>
      <c r="X795" s="264"/>
      <c r="Z795" s="264"/>
      <c r="AA795" s="259"/>
      <c r="AB795" s="264"/>
      <c r="AC795" s="259"/>
      <c r="AD795" s="264"/>
      <c r="AE795" s="259"/>
      <c r="AF795" s="264"/>
      <c r="AG795" s="259"/>
      <c r="AH795" s="264"/>
      <c r="AI795" s="259"/>
    </row>
    <row r="796" spans="1:35" x14ac:dyDescent="0.15">
      <c r="A796" s="350">
        <v>21</v>
      </c>
      <c r="B796" s="537"/>
      <c r="C796" s="538"/>
      <c r="D796" s="538"/>
      <c r="E796" s="539"/>
      <c r="F796" s="47" t="str">
        <f>VLOOKUP($H:$H,型材表!$B$5:$I$45,2,0)</f>
        <v>中梃角码</v>
      </c>
      <c r="G796" s="53"/>
      <c r="H796" s="45" t="str">
        <f>IF(G761=70,"SN70F001",IF(G761=75,"SN70F001",IF(G761=551,"SN55BF001",IF(G761=601,"SN55BF001","SN55F002"))))</f>
        <v>SN55F002</v>
      </c>
      <c r="I796" s="45" t="s">
        <v>939</v>
      </c>
      <c r="J796" s="52">
        <f>V796</f>
        <v>13.5</v>
      </c>
      <c r="K796" s="55">
        <f>K795</f>
        <v>8</v>
      </c>
      <c r="L796" s="47">
        <f>VLOOKUP($H:$H,型材表!$B$5:$I$45,4,0)</f>
        <v>0.90400000000000003</v>
      </c>
      <c r="M796" s="46">
        <f t="shared" si="112"/>
        <v>9.763200000000001E-2</v>
      </c>
      <c r="N796" s="72">
        <f>VLOOKUP($H:$H,型材表!$B$5:$I$45,7,0)</f>
        <v>0</v>
      </c>
      <c r="O796" s="46">
        <f t="shared" si="114"/>
        <v>0</v>
      </c>
      <c r="P796" s="100">
        <f>VLOOKUP($H:$H,型材表!$B$5:$I$45,5,0)</f>
        <v>0.125</v>
      </c>
      <c r="Q796" s="100" t="str">
        <f>VLOOKUP($H:$H,型材表!$B$5:$I$423,6,0)</f>
        <v>阳极氧化铝型材</v>
      </c>
      <c r="R796" s="49"/>
      <c r="S796" s="50"/>
      <c r="U796" s="374" t="s">
        <v>939</v>
      </c>
      <c r="V796" s="259">
        <f>14.5-1</f>
        <v>13.5</v>
      </c>
      <c r="X796" s="264"/>
      <c r="Z796" s="264"/>
      <c r="AA796" s="259"/>
      <c r="AB796" s="264"/>
      <c r="AC796" s="259"/>
      <c r="AD796" s="264"/>
      <c r="AE796" s="259"/>
      <c r="AF796" s="264"/>
      <c r="AG796" s="259"/>
      <c r="AH796" s="264"/>
      <c r="AI796" s="259"/>
    </row>
    <row r="797" spans="1:35" x14ac:dyDescent="0.15">
      <c r="A797" s="563" t="s">
        <v>877</v>
      </c>
      <c r="B797" s="563"/>
      <c r="C797" s="563"/>
      <c r="D797" s="564"/>
      <c r="E797" s="564"/>
      <c r="F797" s="563"/>
      <c r="G797" s="563"/>
      <c r="H797" s="563"/>
      <c r="I797" s="563"/>
      <c r="J797" s="563"/>
      <c r="K797" s="563"/>
      <c r="L797" s="563"/>
      <c r="M797" s="46">
        <f>SUMIF($Q$776:$Q$796,A797,$M$776:$M$796)</f>
        <v>28.581364000000001</v>
      </c>
      <c r="N797" s="58"/>
      <c r="O797" s="46"/>
      <c r="P797" s="59"/>
      <c r="Q797" s="336"/>
      <c r="R797" s="60"/>
      <c r="S797" s="50"/>
      <c r="X797" s="264"/>
      <c r="Z797" s="264"/>
      <c r="AA797" s="259"/>
      <c r="AB797" s="264"/>
      <c r="AC797" s="259"/>
      <c r="AD797" s="264"/>
      <c r="AE797" s="259"/>
      <c r="AF797" s="264"/>
      <c r="AG797" s="259"/>
      <c r="AH797" s="264"/>
      <c r="AI797" s="259"/>
    </row>
    <row r="798" spans="1:35" x14ac:dyDescent="0.15">
      <c r="A798" s="563" t="s">
        <v>879</v>
      </c>
      <c r="B798" s="563"/>
      <c r="C798" s="563"/>
      <c r="D798" s="564"/>
      <c r="E798" s="564"/>
      <c r="F798" s="563"/>
      <c r="G798" s="563"/>
      <c r="H798" s="563"/>
      <c r="I798" s="563"/>
      <c r="J798" s="563"/>
      <c r="K798" s="563"/>
      <c r="L798" s="563"/>
      <c r="M798" s="46">
        <f>SUMIF($Q$776:$Q$796,A798,$M$776:$M$796)</f>
        <v>4.2411599999999998</v>
      </c>
      <c r="N798" s="58"/>
      <c r="O798" s="46"/>
      <c r="P798" s="59"/>
      <c r="Q798" s="336"/>
      <c r="R798" s="60"/>
      <c r="S798" s="50"/>
      <c r="X798" s="264"/>
      <c r="Z798" s="264"/>
      <c r="AA798" s="259"/>
      <c r="AB798" s="264"/>
      <c r="AC798" s="259"/>
      <c r="AD798" s="264"/>
      <c r="AE798" s="259"/>
      <c r="AF798" s="264"/>
      <c r="AG798" s="259"/>
      <c r="AH798" s="264"/>
      <c r="AI798" s="259"/>
    </row>
    <row r="799" spans="1:35" x14ac:dyDescent="0.15">
      <c r="A799" s="563" t="s">
        <v>880</v>
      </c>
      <c r="B799" s="563"/>
      <c r="C799" s="563"/>
      <c r="D799" s="564"/>
      <c r="E799" s="564"/>
      <c r="F799" s="563"/>
      <c r="G799" s="563"/>
      <c r="H799" s="563"/>
      <c r="I799" s="563"/>
      <c r="J799" s="563"/>
      <c r="K799" s="563"/>
      <c r="L799" s="563"/>
      <c r="M799" s="46">
        <f>SUMIF($Q$776:$Q$796,A799,$M$776:$M$796)</f>
        <v>1.3464272000000002</v>
      </c>
      <c r="N799" s="58"/>
      <c r="O799" s="46"/>
      <c r="P799" s="59"/>
      <c r="Q799" s="336"/>
      <c r="R799" s="60"/>
      <c r="S799" s="50"/>
      <c r="X799" s="264"/>
      <c r="Z799" s="264"/>
      <c r="AA799" s="259"/>
      <c r="AB799" s="264"/>
      <c r="AC799" s="259"/>
      <c r="AD799" s="264"/>
      <c r="AE799" s="259"/>
      <c r="AF799" s="264"/>
      <c r="AG799" s="259"/>
      <c r="AH799" s="264"/>
      <c r="AI799" s="259"/>
    </row>
    <row r="800" spans="1:35" x14ac:dyDescent="0.15">
      <c r="A800" s="61"/>
      <c r="B800" s="552"/>
      <c r="C800" s="557"/>
      <c r="D800" s="557"/>
      <c r="E800" s="553"/>
      <c r="F800" s="552" t="s">
        <v>48</v>
      </c>
      <c r="G800" s="557"/>
      <c r="H800" s="557"/>
      <c r="I800" s="557"/>
      <c r="J800" s="557"/>
      <c r="K800" s="557"/>
      <c r="L800" s="553"/>
      <c r="M800" s="62">
        <f>SUM(M797:M799)</f>
        <v>34.168951200000002</v>
      </c>
      <c r="N800" s="63"/>
      <c r="O800" s="62">
        <f>SUM(O776:O796)</f>
        <v>0</v>
      </c>
      <c r="P800" s="63"/>
      <c r="Q800" s="337"/>
      <c r="R800" s="64"/>
      <c r="S800" s="64"/>
      <c r="X800" s="264"/>
      <c r="Z800" s="264"/>
      <c r="AA800" s="259"/>
      <c r="AB800" s="264"/>
      <c r="AC800" s="259"/>
      <c r="AD800" s="264"/>
      <c r="AE800" s="259"/>
      <c r="AF800" s="264"/>
      <c r="AG800" s="259"/>
      <c r="AH800" s="264"/>
      <c r="AI800" s="259"/>
    </row>
    <row r="801" spans="1:35" ht="24" x14ac:dyDescent="0.15">
      <c r="A801" s="65"/>
      <c r="B801" s="560" t="s">
        <v>49</v>
      </c>
      <c r="C801" s="561"/>
      <c r="D801" s="561"/>
      <c r="E801" s="562"/>
      <c r="F801" s="565" t="s">
        <v>26</v>
      </c>
      <c r="G801" s="566"/>
      <c r="H801" s="66" t="s">
        <v>1007</v>
      </c>
      <c r="I801" s="66" t="s">
        <v>1008</v>
      </c>
      <c r="J801" s="66" t="s">
        <v>50</v>
      </c>
      <c r="K801" s="66" t="s">
        <v>51</v>
      </c>
      <c r="L801" s="67" t="s">
        <v>30</v>
      </c>
      <c r="M801" s="66" t="s">
        <v>52</v>
      </c>
      <c r="N801" s="68" t="s">
        <v>53</v>
      </c>
      <c r="O801" s="68" t="s">
        <v>34</v>
      </c>
      <c r="P801" s="69" t="s">
        <v>35</v>
      </c>
      <c r="Q801" s="42"/>
      <c r="R801" s="67"/>
      <c r="S801" s="67"/>
      <c r="V801" s="270" t="s">
        <v>352</v>
      </c>
      <c r="W801" s="270" t="s">
        <v>353</v>
      </c>
      <c r="X801" s="271" t="s">
        <v>352</v>
      </c>
      <c r="Y801" s="272" t="s">
        <v>353</v>
      </c>
      <c r="Z801" s="271" t="s">
        <v>352</v>
      </c>
      <c r="AA801" s="272" t="s">
        <v>353</v>
      </c>
      <c r="AB801" s="271" t="s">
        <v>352</v>
      </c>
      <c r="AC801" s="272" t="s">
        <v>353</v>
      </c>
      <c r="AD801" s="271" t="s">
        <v>352</v>
      </c>
      <c r="AE801" s="272" t="s">
        <v>353</v>
      </c>
      <c r="AF801" s="271" t="s">
        <v>352</v>
      </c>
      <c r="AG801" s="272" t="s">
        <v>353</v>
      </c>
      <c r="AH801" s="271" t="s">
        <v>352</v>
      </c>
      <c r="AI801" s="272" t="s">
        <v>353</v>
      </c>
    </row>
    <row r="802" spans="1:35" ht="15.75" customHeight="1" x14ac:dyDescent="0.15">
      <c r="A802" s="57">
        <v>1</v>
      </c>
      <c r="B802" s="545" t="s">
        <v>133</v>
      </c>
      <c r="C802" s="546"/>
      <c r="D802" s="546"/>
      <c r="E802" s="547"/>
      <c r="F802" s="545" t="s">
        <v>55</v>
      </c>
      <c r="G802" s="547"/>
      <c r="H802" s="45" t="s">
        <v>1027</v>
      </c>
      <c r="I802" s="45" t="s">
        <v>1046</v>
      </c>
      <c r="J802" s="46">
        <f>IF(G761=65,M768-V802,IF(G761=55,M768-X802,IF(G761=551,M768-Z802,IF(G761=60,M768-AB802,IF(G761=601,M768-AD802,IF(G761=70,M768-AF802,IF(G761=75,M768-AH802)))))))</f>
        <v>475</v>
      </c>
      <c r="K802" s="70">
        <f>IF(G761=65,M765-W802,IF(G761=55,M765-Y802,IF(G761=551,M765-AA802,IF(G761=60,M765-AC802,IF(G761=601,M765-AE802,IF(G761=70,M765-AG802,IF(G761=75,M765-AI802)))))))</f>
        <v>1075</v>
      </c>
      <c r="L802" s="70">
        <v>1</v>
      </c>
      <c r="M802" s="46">
        <f>J802*K802*L802/1000000</f>
        <v>0.510625</v>
      </c>
      <c r="N802" s="46"/>
      <c r="O802" s="46">
        <f>N802*M802</f>
        <v>0</v>
      </c>
      <c r="P802" s="71"/>
      <c r="Q802" s="240"/>
      <c r="R802" s="72"/>
      <c r="S802" s="72"/>
      <c r="T802" s="456" t="s">
        <v>1595</v>
      </c>
      <c r="U802" s="374" t="s">
        <v>1600</v>
      </c>
      <c r="V802" s="259">
        <f>70+55</f>
        <v>125</v>
      </c>
      <c r="W802" s="259">
        <f>70+55</f>
        <v>125</v>
      </c>
      <c r="X802" s="264">
        <f t="shared" ref="X802:AI802" si="120">72+57</f>
        <v>129</v>
      </c>
      <c r="Y802" s="259">
        <f t="shared" si="120"/>
        <v>129</v>
      </c>
      <c r="Z802" s="264">
        <f t="shared" si="120"/>
        <v>129</v>
      </c>
      <c r="AA802" s="259">
        <f t="shared" si="120"/>
        <v>129</v>
      </c>
      <c r="AB802" s="264">
        <f t="shared" si="120"/>
        <v>129</v>
      </c>
      <c r="AC802" s="259">
        <f t="shared" si="120"/>
        <v>129</v>
      </c>
      <c r="AD802" s="264">
        <f t="shared" si="120"/>
        <v>129</v>
      </c>
      <c r="AE802" s="259">
        <f t="shared" si="120"/>
        <v>129</v>
      </c>
      <c r="AF802" s="264">
        <f t="shared" si="120"/>
        <v>129</v>
      </c>
      <c r="AG802" s="259">
        <f t="shared" si="120"/>
        <v>129</v>
      </c>
      <c r="AH802" s="264">
        <f t="shared" si="120"/>
        <v>129</v>
      </c>
      <c r="AI802" s="259">
        <f t="shared" si="120"/>
        <v>129</v>
      </c>
    </row>
    <row r="803" spans="1:35" x14ac:dyDescent="0.15">
      <c r="A803" s="57">
        <v>2</v>
      </c>
      <c r="B803" s="545" t="s">
        <v>889</v>
      </c>
      <c r="C803" s="546"/>
      <c r="D803" s="546"/>
      <c r="E803" s="547"/>
      <c r="F803" s="545" t="s">
        <v>135</v>
      </c>
      <c r="G803" s="547"/>
      <c r="H803" s="45" t="s">
        <v>1060</v>
      </c>
      <c r="I803" s="45" t="s">
        <v>1047</v>
      </c>
      <c r="J803" s="46">
        <f>IF(G761=65,M768-V803,IF(G761=55,M768-X803,IF(G761=551,M768-Z803,IF(G761=60,M768-AB803,IF(G761=601,M768-AD803,IF(G761=70,M768-AF803,IF(G761=75,M768-AH803)))))))</f>
        <v>549</v>
      </c>
      <c r="K803" s="70">
        <f>IF(G761=65,M766-W803,IF(G761=55,M766-Y803,IF(G761=551,M766-AA803,IF(G761=60,M766-AC803,IF(G761=601,M766-AE803,IF(G761=70,M766-AG803,IF(G761=75,M766-AI803)))))))</f>
        <v>449</v>
      </c>
      <c r="L803" s="70">
        <v>1</v>
      </c>
      <c r="M803" s="46">
        <f>J803*K803*L803/1000000</f>
        <v>0.246501</v>
      </c>
      <c r="N803" s="46"/>
      <c r="O803" s="46">
        <f>N803*M803</f>
        <v>0</v>
      </c>
      <c r="P803" s="71"/>
      <c r="Q803" s="240"/>
      <c r="R803" s="72"/>
      <c r="S803" s="72"/>
      <c r="T803" s="456" t="s">
        <v>1602</v>
      </c>
      <c r="U803" s="374" t="s">
        <v>1601</v>
      </c>
      <c r="V803" s="259">
        <f>33+18</f>
        <v>51</v>
      </c>
      <c r="W803" s="259">
        <f>33+18</f>
        <v>51</v>
      </c>
      <c r="X803" s="264">
        <f t="shared" ref="X803:AI803" si="121">35+20</f>
        <v>55</v>
      </c>
      <c r="Y803" s="259">
        <f t="shared" si="121"/>
        <v>55</v>
      </c>
      <c r="Z803" s="264">
        <f t="shared" si="121"/>
        <v>55</v>
      </c>
      <c r="AA803" s="259">
        <f t="shared" si="121"/>
        <v>55</v>
      </c>
      <c r="AB803" s="264">
        <f t="shared" si="121"/>
        <v>55</v>
      </c>
      <c r="AC803" s="259">
        <f t="shared" si="121"/>
        <v>55</v>
      </c>
      <c r="AD803" s="264">
        <f t="shared" si="121"/>
        <v>55</v>
      </c>
      <c r="AE803" s="259">
        <f t="shared" si="121"/>
        <v>55</v>
      </c>
      <c r="AF803" s="264">
        <f t="shared" si="121"/>
        <v>55</v>
      </c>
      <c r="AG803" s="259">
        <f t="shared" si="121"/>
        <v>55</v>
      </c>
      <c r="AH803" s="264">
        <f t="shared" si="121"/>
        <v>55</v>
      </c>
      <c r="AI803" s="259">
        <f t="shared" si="121"/>
        <v>55</v>
      </c>
    </row>
    <row r="804" spans="1:35" x14ac:dyDescent="0.15">
      <c r="A804" s="57">
        <v>3</v>
      </c>
      <c r="B804" s="545" t="s">
        <v>889</v>
      </c>
      <c r="C804" s="546"/>
      <c r="D804" s="546"/>
      <c r="E804" s="547"/>
      <c r="F804" s="545" t="s">
        <v>145</v>
      </c>
      <c r="G804" s="547"/>
      <c r="H804" s="45" t="s">
        <v>1064</v>
      </c>
      <c r="I804" s="45" t="s">
        <v>1065</v>
      </c>
      <c r="J804" s="46">
        <f>IF(G761=65,M769-V804,IF(G761=55,M769-X804,IF(G761=551,M769-Z804,IF(G761=60,M769-AB804,IF(G761=601,M769-AD804,IF(G761=70,M769-AF804,IF(G761=75,M769-AH804)))))))</f>
        <v>764</v>
      </c>
      <c r="K804" s="70">
        <f>IF(G761=65,M763-W804,IF(G761=55,M763-Y804,IF(G761=551,M763-AA804,IF(G761=60,M763-AC804,IF(G761=601,M763-AE804,IF(G761=70,M763-AG804,IF(G761=75,M763-AI804)))))))</f>
        <v>1634</v>
      </c>
      <c r="L804" s="70">
        <v>1</v>
      </c>
      <c r="M804" s="46">
        <f>J804*K804*L804/1000000</f>
        <v>1.2483759999999999</v>
      </c>
      <c r="N804" s="46"/>
      <c r="O804" s="46">
        <f>N804*M804</f>
        <v>0</v>
      </c>
      <c r="P804" s="48"/>
      <c r="Q804" s="211"/>
      <c r="R804" s="73"/>
      <c r="S804" s="73"/>
      <c r="T804" s="456" t="s">
        <v>1603</v>
      </c>
      <c r="U804" s="374" t="s">
        <v>1604</v>
      </c>
      <c r="V804" s="259">
        <f>18*2</f>
        <v>36</v>
      </c>
      <c r="W804" s="259">
        <f>33*2</f>
        <v>66</v>
      </c>
      <c r="X804" s="264">
        <f>20*2</f>
        <v>40</v>
      </c>
      <c r="Y804" s="259">
        <f>35*2</f>
        <v>70</v>
      </c>
      <c r="Z804" s="264">
        <f>20*2</f>
        <v>40</v>
      </c>
      <c r="AA804" s="259">
        <f>35*2</f>
        <v>70</v>
      </c>
      <c r="AB804" s="264">
        <f>20*2</f>
        <v>40</v>
      </c>
      <c r="AC804" s="259">
        <f>35*2</f>
        <v>70</v>
      </c>
      <c r="AD804" s="264">
        <f>20*2</f>
        <v>40</v>
      </c>
      <c r="AE804" s="259">
        <f>35*2</f>
        <v>70</v>
      </c>
      <c r="AF804" s="264">
        <f>20*2</f>
        <v>40</v>
      </c>
      <c r="AG804" s="259">
        <f>35*2</f>
        <v>70</v>
      </c>
      <c r="AH804" s="264">
        <f>20*2</f>
        <v>40</v>
      </c>
      <c r="AI804" s="259">
        <f>35*2</f>
        <v>70</v>
      </c>
    </row>
    <row r="805" spans="1:35" x14ac:dyDescent="0.15">
      <c r="A805" s="57">
        <v>4</v>
      </c>
      <c r="B805" s="545" t="s">
        <v>889</v>
      </c>
      <c r="C805" s="546"/>
      <c r="D805" s="546"/>
      <c r="E805" s="547"/>
      <c r="F805" s="545" t="s">
        <v>147</v>
      </c>
      <c r="G805" s="547"/>
      <c r="H805" s="45" t="s">
        <v>1073</v>
      </c>
      <c r="I805" s="45" t="s">
        <v>1065</v>
      </c>
      <c r="J805" s="46">
        <f>IF(G761=65,M770-V805,IF(G761=55,M770-X805,IF(G761=551,M770-Z805,IF(G761=60,M770-AB805,IF(G761=601,M770-AD805,IF(G761=70,M770-AF805,IF(G761=75,M770-AH805)))))))</f>
        <v>369.8</v>
      </c>
      <c r="K805" s="70">
        <f>IF(G761=65,M763-W804,IF(G761=55,M763-Y804,IF(G761=551,M763-AA804,IF(G761=60,M763-AC804,IF(G761=601,M763-AE804,IF(G761=70,M763-AG804,IF(G761=75,M763-AI804)))))))</f>
        <v>1634</v>
      </c>
      <c r="L805" s="70">
        <v>1</v>
      </c>
      <c r="M805" s="46">
        <f>J805*K805*L805/1000000</f>
        <v>0.60425320000000005</v>
      </c>
      <c r="N805" s="46"/>
      <c r="O805" s="46">
        <f>N805*M805</f>
        <v>0</v>
      </c>
      <c r="P805" s="59"/>
      <c r="Q805" s="336"/>
      <c r="R805" s="117"/>
      <c r="S805" s="117"/>
      <c r="T805" s="456" t="s">
        <v>1609</v>
      </c>
      <c r="U805" s="374" t="s">
        <v>1604</v>
      </c>
      <c r="V805" s="259">
        <f>97.2+33</f>
        <v>130.19999999999999</v>
      </c>
      <c r="W805" s="259">
        <f>33*2</f>
        <v>66</v>
      </c>
      <c r="X805" s="264">
        <f>90+35</f>
        <v>125</v>
      </c>
      <c r="Y805" s="259">
        <f>35*2</f>
        <v>70</v>
      </c>
      <c r="Z805" s="264">
        <f>90+35</f>
        <v>125</v>
      </c>
      <c r="AA805" s="259">
        <f>35*2</f>
        <v>70</v>
      </c>
      <c r="AB805" s="264">
        <f>95.2+35</f>
        <v>130.19999999999999</v>
      </c>
      <c r="AC805" s="265">
        <f>35*2</f>
        <v>70</v>
      </c>
      <c r="AD805" s="264">
        <f>95.4+35</f>
        <v>130.4</v>
      </c>
      <c r="AE805" s="265">
        <f>35*2</f>
        <v>70</v>
      </c>
      <c r="AF805" s="264">
        <f>105.2+35</f>
        <v>140.19999999999999</v>
      </c>
      <c r="AG805" s="265">
        <f>35*2</f>
        <v>70</v>
      </c>
      <c r="AH805" s="264">
        <f>109.2+35</f>
        <v>144.19999999999999</v>
      </c>
      <c r="AI805" s="265">
        <f>35*2</f>
        <v>70</v>
      </c>
    </row>
    <row r="806" spans="1:35" x14ac:dyDescent="0.15">
      <c r="A806" s="395">
        <v>5</v>
      </c>
      <c r="B806" s="545" t="s">
        <v>133</v>
      </c>
      <c r="C806" s="546"/>
      <c r="D806" s="546"/>
      <c r="E806" s="547"/>
      <c r="F806" s="545" t="s">
        <v>55</v>
      </c>
      <c r="G806" s="547"/>
      <c r="H806" s="45" t="s">
        <v>1468</v>
      </c>
      <c r="I806" s="45" t="s">
        <v>1046</v>
      </c>
      <c r="J806" s="208">
        <f>IF(G761=65,M768-V802-V777/2,IF(G761=55,M768-X802-X777/2,IF(G761=551,M768-Z802-Z777/2,IF(G761=60,M768-AB802-AB777/2,IF(G761=601,M768-AD802-AD777/2,IF(G761=70,M768-AF802-AF777/2,IF(G761=75,M768-AH802-AH777/2)))))))</f>
        <v>410.8</v>
      </c>
      <c r="K806" s="239">
        <f>K802</f>
        <v>1075</v>
      </c>
      <c r="L806" s="70">
        <v>1</v>
      </c>
      <c r="M806" s="46">
        <f t="shared" ref="M806:M807" si="122">J806*K806*L806/1000000</f>
        <v>0.44161</v>
      </c>
      <c r="N806" s="208"/>
      <c r="O806" s="46">
        <f t="shared" ref="O806:O807" si="123">N806*M806</f>
        <v>0</v>
      </c>
      <c r="P806" s="437"/>
      <c r="Q806" s="336"/>
      <c r="R806" s="117"/>
      <c r="S806" s="117"/>
      <c r="X806" s="265"/>
      <c r="Z806" s="265"/>
      <c r="AA806" s="259"/>
      <c r="AB806" s="265"/>
      <c r="AC806" s="265"/>
      <c r="AD806" s="265"/>
      <c r="AE806" s="265"/>
      <c r="AF806" s="265"/>
      <c r="AG806" s="265"/>
      <c r="AH806" s="265"/>
      <c r="AI806" s="265"/>
    </row>
    <row r="807" spans="1:35" x14ac:dyDescent="0.15">
      <c r="A807" s="395">
        <v>6</v>
      </c>
      <c r="B807" s="545" t="s">
        <v>824</v>
      </c>
      <c r="C807" s="546"/>
      <c r="D807" s="546"/>
      <c r="E807" s="547"/>
      <c r="F807" s="545" t="s">
        <v>135</v>
      </c>
      <c r="G807" s="547"/>
      <c r="H807" s="45" t="s">
        <v>1469</v>
      </c>
      <c r="I807" s="45" t="s">
        <v>1047</v>
      </c>
      <c r="J807" s="208">
        <f>IF(G761=65,M768-V803-V777/2,IF(G761=55,M768-X803-X777/2,IF(G761=551,M768-Z803-Z777/2,IF(G761=60,M768-AB803-AB777/2,IF(G761=601,M768-AD803-AD777/2,IF(G761=70,M768-AF803-AF777/2,IF(G761=75,M768-AH803-AH777/2)))))))</f>
        <v>484.8</v>
      </c>
      <c r="K807" s="239">
        <f>K803</f>
        <v>449</v>
      </c>
      <c r="L807" s="70">
        <v>1</v>
      </c>
      <c r="M807" s="46">
        <f t="shared" si="122"/>
        <v>0.21767520000000001</v>
      </c>
      <c r="N807" s="208"/>
      <c r="O807" s="46">
        <f t="shared" si="123"/>
        <v>0</v>
      </c>
      <c r="P807" s="437"/>
      <c r="Q807" s="336"/>
      <c r="R807" s="117"/>
      <c r="S807" s="117"/>
      <c r="X807" s="265"/>
      <c r="Z807" s="265"/>
      <c r="AA807" s="259"/>
      <c r="AB807" s="265"/>
      <c r="AC807" s="265"/>
      <c r="AD807" s="265"/>
      <c r="AE807" s="265"/>
      <c r="AF807" s="265"/>
      <c r="AG807" s="265"/>
      <c r="AH807" s="265"/>
      <c r="AI807" s="265"/>
    </row>
    <row r="808" spans="1:35" x14ac:dyDescent="0.15">
      <c r="A808" s="74"/>
      <c r="B808" s="552"/>
      <c r="C808" s="557"/>
      <c r="D808" s="557"/>
      <c r="E808" s="553"/>
      <c r="F808" s="554" t="s">
        <v>56</v>
      </c>
      <c r="G808" s="554"/>
      <c r="H808" s="554"/>
      <c r="I808" s="554"/>
      <c r="J808" s="570"/>
      <c r="K808" s="570"/>
      <c r="L808" s="554"/>
      <c r="M808" s="62">
        <f>SUM(M802:M807)</f>
        <v>3.2690403999999997</v>
      </c>
      <c r="N808" s="75"/>
      <c r="O808" s="62">
        <f>SUM(O802:O807)</f>
        <v>0</v>
      </c>
      <c r="P808" s="63" t="s">
        <v>57</v>
      </c>
      <c r="Q808" s="337"/>
      <c r="R808" s="64"/>
      <c r="S808" s="64"/>
    </row>
    <row r="809" spans="1:35" ht="24" x14ac:dyDescent="0.15">
      <c r="A809" s="65"/>
      <c r="B809" s="560" t="s">
        <v>58</v>
      </c>
      <c r="C809" s="561"/>
      <c r="D809" s="561"/>
      <c r="E809" s="562"/>
      <c r="F809" s="565" t="s">
        <v>26</v>
      </c>
      <c r="G809" s="566"/>
      <c r="H809" s="66" t="s">
        <v>59</v>
      </c>
      <c r="I809" s="66"/>
      <c r="J809" s="66" t="s">
        <v>60</v>
      </c>
      <c r="K809" s="66" t="s">
        <v>6</v>
      </c>
      <c r="L809" s="67" t="s">
        <v>61</v>
      </c>
      <c r="M809" s="66" t="s">
        <v>30</v>
      </c>
      <c r="N809" s="68" t="s">
        <v>62</v>
      </c>
      <c r="O809" s="68" t="s">
        <v>34</v>
      </c>
      <c r="P809" s="69" t="s">
        <v>57</v>
      </c>
      <c r="Q809" s="42"/>
      <c r="R809" s="67"/>
      <c r="S809" s="67"/>
    </row>
    <row r="810" spans="1:35" ht="25.5" customHeight="1" x14ac:dyDescent="0.15">
      <c r="A810" s="57">
        <v>1</v>
      </c>
      <c r="B810" s="545"/>
      <c r="C810" s="546"/>
      <c r="D810" s="546"/>
      <c r="E810" s="547"/>
      <c r="F810" s="545" t="s">
        <v>63</v>
      </c>
      <c r="G810" s="547"/>
      <c r="H810" s="45"/>
      <c r="I810" s="45"/>
      <c r="J810" s="45"/>
      <c r="K810" s="46" t="str">
        <f>VLOOKUP($F:$F,材料单价表!$B$3:$G$42,4,0)</f>
        <v>套</v>
      </c>
      <c r="L810" s="72"/>
      <c r="M810" s="46">
        <v>2</v>
      </c>
      <c r="N810" s="46">
        <f>VLOOKUP($F:$F,材料单价表!$B$3:$G$42,5,0)</f>
        <v>0</v>
      </c>
      <c r="O810" s="46">
        <f t="shared" ref="O810" si="124">N810*M810</f>
        <v>0</v>
      </c>
      <c r="P810" s="48"/>
      <c r="Q810" s="211"/>
      <c r="R810" s="73"/>
      <c r="S810" s="73"/>
    </row>
    <row r="811" spans="1:35" x14ac:dyDescent="0.15">
      <c r="A811" s="74"/>
      <c r="B811" s="552"/>
      <c r="C811" s="557"/>
      <c r="D811" s="557"/>
      <c r="E811" s="553"/>
      <c r="F811" s="554" t="s">
        <v>64</v>
      </c>
      <c r="G811" s="554"/>
      <c r="H811" s="554"/>
      <c r="I811" s="554"/>
      <c r="J811" s="570"/>
      <c r="K811" s="570"/>
      <c r="L811" s="554"/>
      <c r="M811" s="62">
        <f>M810</f>
        <v>2</v>
      </c>
      <c r="N811" s="75"/>
      <c r="O811" s="62">
        <f>SUM(O810:O810)</f>
        <v>0</v>
      </c>
      <c r="P811" s="63" t="s">
        <v>57</v>
      </c>
      <c r="Q811" s="337"/>
      <c r="R811" s="64"/>
      <c r="S811" s="64"/>
    </row>
    <row r="812" spans="1:35" ht="24" x14ac:dyDescent="0.15">
      <c r="A812" s="65"/>
      <c r="B812" s="560" t="s">
        <v>65</v>
      </c>
      <c r="C812" s="561"/>
      <c r="D812" s="561"/>
      <c r="E812" s="562"/>
      <c r="F812" s="565" t="s">
        <v>26</v>
      </c>
      <c r="G812" s="566"/>
      <c r="H812" s="66" t="s">
        <v>59</v>
      </c>
      <c r="I812" s="66"/>
      <c r="J812" s="66" t="s">
        <v>60</v>
      </c>
      <c r="K812" s="66" t="s">
        <v>6</v>
      </c>
      <c r="L812" s="67" t="s">
        <v>61</v>
      </c>
      <c r="M812" s="66" t="s">
        <v>30</v>
      </c>
      <c r="N812" s="68" t="s">
        <v>62</v>
      </c>
      <c r="O812" s="68" t="s">
        <v>34</v>
      </c>
      <c r="P812" s="69" t="s">
        <v>57</v>
      </c>
      <c r="Q812" s="42"/>
      <c r="R812" s="67"/>
      <c r="S812" s="67"/>
    </row>
    <row r="813" spans="1:35" ht="13.5" customHeight="1" x14ac:dyDescent="0.15">
      <c r="A813" s="76">
        <v>1</v>
      </c>
      <c r="B813" s="545"/>
      <c r="C813" s="546"/>
      <c r="D813" s="546"/>
      <c r="E813" s="547"/>
      <c r="F813" s="558" t="s">
        <v>66</v>
      </c>
      <c r="G813" s="559"/>
      <c r="H813" s="78"/>
      <c r="I813" s="78"/>
      <c r="J813" s="77"/>
      <c r="K813" s="46" t="str">
        <f>VLOOKUP($F:$F,材料单价表!$B$3:$G$42,4,0)</f>
        <v>m</v>
      </c>
      <c r="L813" s="46"/>
      <c r="M813" s="80">
        <f>M774</f>
        <v>8.8000000000000007</v>
      </c>
      <c r="N813" s="46">
        <f>VLOOKUP($F:$F,材料单价表!$B$3:$G$42,5,0)</f>
        <v>0</v>
      </c>
      <c r="O813" s="46">
        <f>N813*M813</f>
        <v>0</v>
      </c>
      <c r="P813" s="48"/>
      <c r="Q813" s="59"/>
      <c r="R813" s="81"/>
      <c r="S813" s="79"/>
    </row>
    <row r="814" spans="1:35" ht="15.75" customHeight="1" x14ac:dyDescent="0.15">
      <c r="A814" s="76">
        <v>2</v>
      </c>
      <c r="B814" s="545"/>
      <c r="C814" s="546"/>
      <c r="D814" s="546"/>
      <c r="E814" s="547"/>
      <c r="F814" s="558" t="s">
        <v>68</v>
      </c>
      <c r="G814" s="559"/>
      <c r="H814" s="78" t="s">
        <v>67</v>
      </c>
      <c r="I814" s="78"/>
      <c r="J814" s="77"/>
      <c r="K814" s="46" t="str">
        <f>VLOOKUP($F:$F,材料单价表!$B$3:$G$42,4,0)</f>
        <v>m</v>
      </c>
      <c r="L814" s="46"/>
      <c r="M814" s="80">
        <f>(J783*K783+J784*K784+J785*K785+J786*K786+J787*K787+J788*K788+J789*K789+J790*K790+J791*K791)/1000*2</f>
        <v>41.58</v>
      </c>
      <c r="N814" s="46">
        <f>VLOOKUP($F:$F,材料单价表!$B$3:$G$42,5,0)</f>
        <v>0</v>
      </c>
      <c r="O814" s="46">
        <f t="shared" ref="O814:O820" si="125">N814*M814</f>
        <v>0</v>
      </c>
      <c r="P814" s="48"/>
      <c r="Q814" s="59"/>
      <c r="R814" s="81"/>
      <c r="S814" s="79"/>
      <c r="V814" s="104"/>
      <c r="W814" s="104"/>
    </row>
    <row r="815" spans="1:35" ht="13.5" customHeight="1" x14ac:dyDescent="0.15">
      <c r="A815" s="76">
        <v>3</v>
      </c>
      <c r="B815" s="545"/>
      <c r="C815" s="546"/>
      <c r="D815" s="546"/>
      <c r="E815" s="547"/>
      <c r="F815" s="558" t="s">
        <v>68</v>
      </c>
      <c r="G815" s="559"/>
      <c r="H815" s="78" t="s">
        <v>69</v>
      </c>
      <c r="I815" s="78"/>
      <c r="J815" s="77"/>
      <c r="K815" s="46" t="str">
        <f>VLOOKUP($F:$F,材料单价表!$B$3:$G$42,4,0)</f>
        <v>m</v>
      </c>
      <c r="L815" s="46"/>
      <c r="M815" s="80">
        <f>M774</f>
        <v>8.8000000000000007</v>
      </c>
      <c r="N815" s="46">
        <f>VLOOKUP($F:$F,材料单价表!$B$3:$G$42,5,0)</f>
        <v>0</v>
      </c>
      <c r="O815" s="46">
        <f t="shared" si="125"/>
        <v>0</v>
      </c>
      <c r="P815" s="48"/>
      <c r="Q815" s="59"/>
      <c r="R815" s="81"/>
      <c r="S815" s="79"/>
      <c r="V815" s="104"/>
      <c r="W815" s="104"/>
    </row>
    <row r="816" spans="1:35" ht="13.5" customHeight="1" x14ac:dyDescent="0.15">
      <c r="A816" s="76">
        <v>4</v>
      </c>
      <c r="B816" s="545"/>
      <c r="C816" s="546"/>
      <c r="D816" s="546"/>
      <c r="E816" s="547"/>
      <c r="F816" s="558" t="s">
        <v>68</v>
      </c>
      <c r="G816" s="559"/>
      <c r="H816" s="78" t="s">
        <v>70</v>
      </c>
      <c r="I816" s="78"/>
      <c r="J816" s="77"/>
      <c r="K816" s="46" t="str">
        <f>VLOOKUP($F:$F,材料单价表!$B$3:$G$42,4,0)</f>
        <v>m</v>
      </c>
      <c r="L816" s="46"/>
      <c r="M816" s="80">
        <f>M774</f>
        <v>8.8000000000000007</v>
      </c>
      <c r="N816" s="46">
        <f>VLOOKUP($F:$F,材料单价表!$B$3:$G$42,5,0)</f>
        <v>0</v>
      </c>
      <c r="O816" s="46">
        <f t="shared" si="125"/>
        <v>0</v>
      </c>
      <c r="P816" s="48"/>
      <c r="Q816" s="59"/>
      <c r="R816" s="81"/>
      <c r="S816" s="79"/>
      <c r="V816" s="104"/>
      <c r="W816" s="104"/>
    </row>
    <row r="817" spans="1:19" ht="13.5" customHeight="1" x14ac:dyDescent="0.15">
      <c r="A817" s="76">
        <v>5</v>
      </c>
      <c r="B817" s="545"/>
      <c r="C817" s="546"/>
      <c r="D817" s="546"/>
      <c r="E817" s="547"/>
      <c r="F817" s="558" t="s">
        <v>71</v>
      </c>
      <c r="G817" s="559"/>
      <c r="H817" s="78"/>
      <c r="I817" s="78"/>
      <c r="J817" s="77"/>
      <c r="K817" s="46" t="str">
        <f>VLOOKUP($F:$F,材料单价表!$B$3:$G$42,4,0)</f>
        <v>个</v>
      </c>
      <c r="L817" s="79"/>
      <c r="M817" s="80">
        <f>K792+K793+K795</f>
        <v>24</v>
      </c>
      <c r="N817" s="46">
        <f>VLOOKUP($F:$F,材料单价表!$B$3:$G$42,5,0)</f>
        <v>0</v>
      </c>
      <c r="O817" s="46">
        <f t="shared" si="125"/>
        <v>0</v>
      </c>
      <c r="P817" s="48"/>
      <c r="Q817" s="59"/>
      <c r="R817" s="81"/>
      <c r="S817" s="79"/>
    </row>
    <row r="818" spans="1:19" ht="13.5" customHeight="1" x14ac:dyDescent="0.15">
      <c r="A818" s="76">
        <v>6</v>
      </c>
      <c r="B818" s="545"/>
      <c r="C818" s="546"/>
      <c r="D818" s="546"/>
      <c r="E818" s="547"/>
      <c r="F818" s="558" t="s">
        <v>121</v>
      </c>
      <c r="G818" s="559"/>
      <c r="H818" s="78"/>
      <c r="I818" s="78"/>
      <c r="J818" s="77"/>
      <c r="K818" s="46" t="str">
        <f>VLOOKUP($F:$F,材料单价表!$B$3:$G$42,4,0)</f>
        <v>m</v>
      </c>
      <c r="L818" s="79"/>
      <c r="M818" s="80">
        <f>(J778*K778+J779*K779)/1000*2</f>
        <v>13.936</v>
      </c>
      <c r="N818" s="46">
        <f>VLOOKUP($F:$F,材料单价表!$B$3:$G$42,5,0)</f>
        <v>0</v>
      </c>
      <c r="O818" s="46">
        <f t="shared" si="125"/>
        <v>0</v>
      </c>
      <c r="P818" s="48"/>
      <c r="Q818" s="59"/>
      <c r="R818" s="81"/>
      <c r="S818" s="46"/>
    </row>
    <row r="819" spans="1:19" ht="13.5" customHeight="1" x14ac:dyDescent="0.15">
      <c r="A819" s="76">
        <v>7</v>
      </c>
      <c r="B819" s="545"/>
      <c r="C819" s="546"/>
      <c r="D819" s="546"/>
      <c r="E819" s="547"/>
      <c r="F819" s="558" t="s">
        <v>121</v>
      </c>
      <c r="G819" s="559"/>
      <c r="H819" s="78"/>
      <c r="I819" s="78"/>
      <c r="J819" s="77"/>
      <c r="K819" s="46" t="str">
        <f>VLOOKUP($F:$F,材料单价表!$B$3:$G$42,4,0)</f>
        <v>m</v>
      </c>
      <c r="L819" s="79"/>
      <c r="M819" s="80">
        <f>(J779*K779+J778*K778)/1000*1</f>
        <v>6.968</v>
      </c>
      <c r="N819" s="46">
        <f>VLOOKUP($F:$F,材料单价表!$B$3:$G$42,5,0)</f>
        <v>0</v>
      </c>
      <c r="O819" s="46">
        <f t="shared" si="125"/>
        <v>0</v>
      </c>
      <c r="P819" s="48"/>
      <c r="Q819" s="59"/>
      <c r="R819" s="81"/>
      <c r="S819" s="46"/>
    </row>
    <row r="820" spans="1:19" x14ac:dyDescent="0.15">
      <c r="A820" s="76">
        <v>8</v>
      </c>
      <c r="B820" s="545"/>
      <c r="C820" s="546"/>
      <c r="D820" s="546"/>
      <c r="E820" s="547"/>
      <c r="F820" s="558" t="s">
        <v>72</v>
      </c>
      <c r="G820" s="559"/>
      <c r="H820" s="45"/>
      <c r="I820" s="45"/>
      <c r="J820" s="45"/>
      <c r="K820" s="46" t="str">
        <f>VLOOKUP($F:$F,材料单价表!$B$3:$G$42,4,0)</f>
        <v>m2</v>
      </c>
      <c r="L820" s="72"/>
      <c r="M820" s="46">
        <f>M825</f>
        <v>4.68</v>
      </c>
      <c r="N820" s="46">
        <f>VLOOKUP($F:$F,材料单价表!$B$3:$G$42,5,0)</f>
        <v>0</v>
      </c>
      <c r="O820" s="46">
        <f t="shared" si="125"/>
        <v>0</v>
      </c>
      <c r="P820" s="48"/>
      <c r="Q820" s="211"/>
      <c r="R820" s="73"/>
      <c r="S820" s="73"/>
    </row>
    <row r="821" spans="1:19" x14ac:dyDescent="0.15">
      <c r="A821" s="76">
        <v>9</v>
      </c>
      <c r="B821" s="545"/>
      <c r="C821" s="546"/>
      <c r="D821" s="546"/>
      <c r="E821" s="547"/>
      <c r="F821" s="558"/>
      <c r="G821" s="559"/>
      <c r="H821" s="45"/>
      <c r="I821" s="45"/>
      <c r="J821" s="45"/>
      <c r="K821" s="45"/>
      <c r="L821" s="72"/>
      <c r="M821" s="46"/>
      <c r="N821" s="46"/>
      <c r="O821" s="82"/>
      <c r="P821" s="48"/>
      <c r="Q821" s="211"/>
      <c r="R821" s="73"/>
      <c r="S821" s="73"/>
    </row>
    <row r="822" spans="1:19" x14ac:dyDescent="0.15">
      <c r="A822" s="74"/>
      <c r="B822" s="552"/>
      <c r="C822" s="557"/>
      <c r="D822" s="557"/>
      <c r="E822" s="553"/>
      <c r="F822" s="552" t="s">
        <v>73</v>
      </c>
      <c r="G822" s="557"/>
      <c r="H822" s="557"/>
      <c r="I822" s="557"/>
      <c r="J822" s="557"/>
      <c r="K822" s="557"/>
      <c r="L822" s="557"/>
      <c r="M822" s="61"/>
      <c r="N822" s="61"/>
      <c r="O822" s="62">
        <f>SUM(O813:O821)</f>
        <v>0</v>
      </c>
      <c r="P822" s="63" t="s">
        <v>57</v>
      </c>
      <c r="Q822" s="337"/>
      <c r="R822" s="64"/>
      <c r="S822" s="64"/>
    </row>
    <row r="823" spans="1:19" x14ac:dyDescent="0.15">
      <c r="A823" s="74"/>
      <c r="B823" s="552"/>
      <c r="C823" s="557"/>
      <c r="D823" s="557"/>
      <c r="E823" s="553"/>
      <c r="F823" s="552" t="s">
        <v>74</v>
      </c>
      <c r="G823" s="557"/>
      <c r="H823" s="557"/>
      <c r="I823" s="557"/>
      <c r="J823" s="557"/>
      <c r="K823" s="557"/>
      <c r="L823" s="557"/>
      <c r="M823" s="557"/>
      <c r="N823" s="553"/>
      <c r="O823" s="62">
        <f>O822+O811+O808+O800</f>
        <v>0</v>
      </c>
      <c r="P823" s="63" t="s">
        <v>57</v>
      </c>
      <c r="Q823" s="337"/>
      <c r="R823" s="64"/>
      <c r="S823" s="64"/>
    </row>
    <row r="824" spans="1:19" ht="24" x14ac:dyDescent="0.15">
      <c r="A824" s="65"/>
      <c r="B824" s="560" t="s">
        <v>75</v>
      </c>
      <c r="C824" s="561"/>
      <c r="D824" s="561"/>
      <c r="E824" s="562"/>
      <c r="F824" s="565" t="s">
        <v>26</v>
      </c>
      <c r="G824" s="566"/>
      <c r="H824" s="66"/>
      <c r="I824" s="66"/>
      <c r="J824" s="66"/>
      <c r="K824" s="66" t="s">
        <v>6</v>
      </c>
      <c r="L824" s="83" t="s">
        <v>61</v>
      </c>
      <c r="M824" s="66" t="s">
        <v>76</v>
      </c>
      <c r="N824" s="68" t="s">
        <v>62</v>
      </c>
      <c r="O824" s="68" t="s">
        <v>34</v>
      </c>
      <c r="P824" s="84" t="s">
        <v>57</v>
      </c>
      <c r="Q824" s="84"/>
      <c r="R824" s="67"/>
      <c r="S824" s="67"/>
    </row>
    <row r="825" spans="1:19" x14ac:dyDescent="0.15">
      <c r="A825" s="57">
        <v>1</v>
      </c>
      <c r="B825" s="545"/>
      <c r="C825" s="546"/>
      <c r="D825" s="546"/>
      <c r="E825" s="547"/>
      <c r="F825" s="545" t="s">
        <v>77</v>
      </c>
      <c r="G825" s="547"/>
      <c r="H825" s="45"/>
      <c r="I825" s="45"/>
      <c r="J825" s="46"/>
      <c r="K825" s="45" t="s">
        <v>78</v>
      </c>
      <c r="L825" s="72"/>
      <c r="M825" s="85">
        <f>O761</f>
        <v>4.68</v>
      </c>
      <c r="N825" s="46">
        <f>VLOOKUP($F:$F,材料单价表!$B$3:$G$42,5,0)</f>
        <v>0</v>
      </c>
      <c r="O825" s="46">
        <f>N825*M825</f>
        <v>0</v>
      </c>
      <c r="P825" s="48"/>
      <c r="Q825" s="211"/>
      <c r="R825" s="72"/>
      <c r="S825" s="72"/>
    </row>
    <row r="826" spans="1:19" x14ac:dyDescent="0.15">
      <c r="A826" s="57">
        <v>2</v>
      </c>
      <c r="B826" s="545"/>
      <c r="C826" s="546"/>
      <c r="D826" s="546"/>
      <c r="E826" s="547"/>
      <c r="F826" s="545" t="s">
        <v>79</v>
      </c>
      <c r="G826" s="547"/>
      <c r="H826" s="45"/>
      <c r="I826" s="45"/>
      <c r="J826" s="46"/>
      <c r="K826" s="45" t="s">
        <v>78</v>
      </c>
      <c r="L826" s="72"/>
      <c r="M826" s="85">
        <f>M825</f>
        <v>4.68</v>
      </c>
      <c r="N826" s="46">
        <f>VLOOKUP($F:$F,材料单价表!$B$3:$G$42,5,0)</f>
        <v>0</v>
      </c>
      <c r="O826" s="46">
        <f>N826*M826</f>
        <v>0</v>
      </c>
      <c r="P826" s="48"/>
      <c r="Q826" s="211"/>
      <c r="R826" s="72"/>
      <c r="S826" s="72"/>
    </row>
    <row r="827" spans="1:19" ht="24.75" customHeight="1" x14ac:dyDescent="0.15">
      <c r="A827" s="74"/>
      <c r="B827" s="552"/>
      <c r="C827" s="557"/>
      <c r="D827" s="557"/>
      <c r="E827" s="553"/>
      <c r="F827" s="552" t="s">
        <v>80</v>
      </c>
      <c r="G827" s="553"/>
      <c r="H827" s="86"/>
      <c r="I827" s="325"/>
      <c r="J827" s="554" t="s">
        <v>81</v>
      </c>
      <c r="K827" s="554"/>
      <c r="L827" s="554"/>
      <c r="M827" s="554"/>
      <c r="N827" s="87"/>
      <c r="O827" s="62">
        <f>O823+O825+O826</f>
        <v>0</v>
      </c>
      <c r="P827" s="63" t="s">
        <v>57</v>
      </c>
      <c r="Q827" s="337"/>
      <c r="R827" s="64"/>
      <c r="S827" s="64"/>
    </row>
    <row r="828" spans="1:19" ht="24" customHeight="1" x14ac:dyDescent="0.15">
      <c r="A828" s="74"/>
      <c r="B828" s="552"/>
      <c r="C828" s="557"/>
      <c r="D828" s="557"/>
      <c r="E828" s="553"/>
      <c r="F828" s="555" t="s">
        <v>82</v>
      </c>
      <c r="G828" s="556"/>
      <c r="H828" s="105"/>
      <c r="I828" s="324"/>
      <c r="J828" s="552" t="s">
        <v>81</v>
      </c>
      <c r="K828" s="557"/>
      <c r="L828" s="557"/>
      <c r="M828" s="557"/>
      <c r="N828" s="62"/>
      <c r="O828" s="62">
        <f>O827/O761</f>
        <v>0</v>
      </c>
      <c r="P828" s="89" t="s">
        <v>57</v>
      </c>
      <c r="Q828" s="89"/>
      <c r="R828" s="90"/>
      <c r="S828" s="90"/>
    </row>
    <row r="829" spans="1:19" ht="18.75" customHeight="1" x14ac:dyDescent="0.15">
      <c r="A829" s="549" t="s">
        <v>0</v>
      </c>
      <c r="B829" s="549"/>
      <c r="C829" s="549"/>
      <c r="D829" s="549"/>
      <c r="E829" s="549"/>
      <c r="F829" s="549"/>
      <c r="G829" s="549"/>
      <c r="H829" s="549"/>
      <c r="I829" s="549"/>
      <c r="J829" s="549"/>
      <c r="K829" s="549"/>
      <c r="L829" s="550"/>
      <c r="M829" s="549"/>
      <c r="N829" s="549"/>
      <c r="O829" s="549"/>
      <c r="P829" s="549"/>
      <c r="Q829" s="549"/>
      <c r="R829" s="551"/>
      <c r="S829" s="551"/>
    </row>
    <row r="830" spans="1:19" x14ac:dyDescent="0.15">
      <c r="A830" s="2" t="s">
        <v>1</v>
      </c>
      <c r="B830" s="339" t="s">
        <v>1448</v>
      </c>
      <c r="C830" s="3">
        <v>3</v>
      </c>
      <c r="D830" s="3"/>
      <c r="E830" s="3"/>
      <c r="F830" s="4" t="s">
        <v>2</v>
      </c>
      <c r="G830" s="5">
        <v>65</v>
      </c>
      <c r="H830" s="106" t="s">
        <v>86</v>
      </c>
      <c r="I830" s="106"/>
      <c r="J830" s="4" t="s">
        <v>3</v>
      </c>
      <c r="K830" s="6">
        <f>L833</f>
        <v>3000</v>
      </c>
      <c r="L830" s="7" t="s">
        <v>83</v>
      </c>
      <c r="M830" s="6">
        <f>L832</f>
        <v>1800</v>
      </c>
      <c r="N830" s="8" t="s">
        <v>4</v>
      </c>
      <c r="O830" s="9">
        <f>M842</f>
        <v>5.4</v>
      </c>
      <c r="P830" s="10"/>
      <c r="Q830" s="10"/>
      <c r="R830" s="10" t="s">
        <v>5</v>
      </c>
      <c r="S830" s="11"/>
    </row>
    <row r="831" spans="1:19" ht="14.25" x14ac:dyDescent="0.2">
      <c r="A831" s="12"/>
      <c r="B831" s="13"/>
      <c r="C831" s="13"/>
      <c r="D831" s="13"/>
      <c r="E831" s="13"/>
      <c r="F831" s="14"/>
      <c r="G831" s="14"/>
      <c r="H831" s="15"/>
      <c r="I831" s="15"/>
      <c r="J831" s="16"/>
      <c r="K831" s="16" t="s">
        <v>6</v>
      </c>
      <c r="L831" s="17" t="s">
        <v>7</v>
      </c>
      <c r="M831" s="16" t="s">
        <v>8</v>
      </c>
      <c r="N831" s="18"/>
      <c r="O831" s="548" t="s">
        <v>940</v>
      </c>
      <c r="P831" s="548"/>
      <c r="Q831" s="16" t="s">
        <v>1018</v>
      </c>
      <c r="R831" s="529" t="s">
        <v>1066</v>
      </c>
      <c r="S831" s="530" t="s">
        <v>1592</v>
      </c>
    </row>
    <row r="832" spans="1:19" ht="14.25" x14ac:dyDescent="0.2">
      <c r="A832" s="398" t="s">
        <v>884</v>
      </c>
      <c r="B832" s="404" t="s">
        <v>894</v>
      </c>
      <c r="C832" s="22"/>
      <c r="D832"/>
      <c r="E832" s="22"/>
      <c r="F832" s="23"/>
      <c r="G832" s="23"/>
      <c r="H832" s="107"/>
      <c r="I832" s="107"/>
      <c r="J832" s="24" t="s">
        <v>9</v>
      </c>
      <c r="K832" s="16" t="s">
        <v>10</v>
      </c>
      <c r="L832" s="25">
        <v>1800</v>
      </c>
      <c r="M832" s="113">
        <f>L832-M841*2</f>
        <v>1700</v>
      </c>
      <c r="N832" s="18"/>
      <c r="O832" s="356" t="s">
        <v>941</v>
      </c>
      <c r="P832" s="357"/>
      <c r="Q832" s="16" t="s">
        <v>1019</v>
      </c>
      <c r="R832" s="529"/>
      <c r="S832" s="530"/>
    </row>
    <row r="833" spans="1:35" ht="14.25" x14ac:dyDescent="0.2">
      <c r="A833" s="21"/>
      <c r="B833" s="22"/>
      <c r="C833" s="22"/>
      <c r="D833" s="22"/>
      <c r="E833" s="22"/>
      <c r="F833" s="23"/>
      <c r="G833" s="23"/>
      <c r="H833" s="18"/>
      <c r="I833" s="18"/>
      <c r="J833" s="24" t="s">
        <v>11</v>
      </c>
      <c r="K833" s="16" t="s">
        <v>10</v>
      </c>
      <c r="L833" s="113">
        <v>3000</v>
      </c>
      <c r="M833" s="113">
        <f>L833-M841*2</f>
        <v>2900</v>
      </c>
      <c r="N833" s="18"/>
      <c r="O833" s="356" t="s">
        <v>924</v>
      </c>
      <c r="P833" s="357"/>
      <c r="Q833" s="16" t="s">
        <v>1020</v>
      </c>
      <c r="R833" s="529" t="s">
        <v>1067</v>
      </c>
      <c r="S833" s="530" t="s">
        <v>1086</v>
      </c>
    </row>
    <row r="834" spans="1:35" ht="14.25" x14ac:dyDescent="0.2">
      <c r="A834" s="21"/>
      <c r="B834" s="22"/>
      <c r="C834" s="22"/>
      <c r="D834" s="22"/>
      <c r="E834" s="22"/>
      <c r="F834" s="23"/>
      <c r="G834" s="23"/>
      <c r="H834" s="18"/>
      <c r="I834" s="18"/>
      <c r="J834" s="24" t="s">
        <v>12</v>
      </c>
      <c r="K834" s="16" t="s">
        <v>10</v>
      </c>
      <c r="L834" s="26"/>
      <c r="M834" s="113">
        <f>M832-M835</f>
        <v>1200</v>
      </c>
      <c r="N834" s="18"/>
      <c r="O834" s="356" t="s">
        <v>925</v>
      </c>
      <c r="P834" s="357"/>
      <c r="Q834" s="16" t="s">
        <v>1021</v>
      </c>
      <c r="R834" s="529"/>
      <c r="S834" s="530"/>
    </row>
    <row r="835" spans="1:35" ht="14.25" x14ac:dyDescent="0.2">
      <c r="A835" s="21"/>
      <c r="B835" s="22"/>
      <c r="C835" s="22"/>
      <c r="D835" s="22"/>
      <c r="E835" s="22"/>
      <c r="F835" s="23"/>
      <c r="G835" s="23"/>
      <c r="H835" s="18"/>
      <c r="I835" s="18"/>
      <c r="J835" s="24" t="s">
        <v>13</v>
      </c>
      <c r="K835" s="16" t="s">
        <v>10</v>
      </c>
      <c r="L835" s="26"/>
      <c r="M835" s="113">
        <v>500</v>
      </c>
      <c r="N835" s="112"/>
      <c r="O835" s="356" t="s">
        <v>926</v>
      </c>
      <c r="P835" s="357"/>
      <c r="Q835" s="16" t="s">
        <v>1022</v>
      </c>
      <c r="R835" s="369"/>
      <c r="S835" s="367"/>
    </row>
    <row r="836" spans="1:35" ht="14.25" x14ac:dyDescent="0.2">
      <c r="A836" s="21"/>
      <c r="B836" s="22"/>
      <c r="C836" s="22"/>
      <c r="D836" s="22"/>
      <c r="E836" s="22"/>
      <c r="F836" s="23"/>
      <c r="G836" s="23"/>
      <c r="H836" s="18"/>
      <c r="I836" s="18"/>
      <c r="J836" s="24" t="s">
        <v>14</v>
      </c>
      <c r="K836" s="16" t="s">
        <v>10</v>
      </c>
      <c r="L836" s="26"/>
      <c r="M836" s="113"/>
      <c r="N836" s="18"/>
      <c r="O836" s="356" t="s">
        <v>927</v>
      </c>
      <c r="P836" s="357"/>
      <c r="Q836" s="16" t="s">
        <v>1023</v>
      </c>
      <c r="R836" s="369"/>
      <c r="S836" s="367"/>
    </row>
    <row r="837" spans="1:35" ht="14.25" x14ac:dyDescent="0.2">
      <c r="A837" s="21"/>
      <c r="B837" s="22"/>
      <c r="C837" s="22"/>
      <c r="D837" s="22"/>
      <c r="E837" s="22"/>
      <c r="F837" s="23"/>
      <c r="G837" s="23"/>
      <c r="H837" s="18"/>
      <c r="I837" s="18"/>
      <c r="J837" s="24" t="s">
        <v>15</v>
      </c>
      <c r="K837" s="16" t="s">
        <v>10</v>
      </c>
      <c r="L837" s="26"/>
      <c r="M837" s="113">
        <v>750</v>
      </c>
      <c r="N837" s="112"/>
      <c r="O837" s="356" t="s">
        <v>928</v>
      </c>
      <c r="P837" s="357"/>
      <c r="Q837" s="16" t="s">
        <v>1005</v>
      </c>
      <c r="R837" s="369"/>
      <c r="S837" s="367"/>
    </row>
    <row r="838" spans="1:35" ht="14.25" x14ac:dyDescent="0.2">
      <c r="A838" s="21"/>
      <c r="B838" s="22"/>
      <c r="C838" s="22"/>
      <c r="D838" s="22"/>
      <c r="E838" s="22"/>
      <c r="F838" s="23"/>
      <c r="G838" s="23"/>
      <c r="H838" s="18"/>
      <c r="I838" s="18"/>
      <c r="J838" s="24" t="s">
        <v>16</v>
      </c>
      <c r="K838" s="16" t="s">
        <v>10</v>
      </c>
      <c r="L838" s="26"/>
      <c r="M838" s="113">
        <f>M833-M837-M839*2</f>
        <v>1150</v>
      </c>
      <c r="N838" s="18"/>
      <c r="O838" s="356" t="s">
        <v>929</v>
      </c>
      <c r="P838" s="357"/>
      <c r="Q838" s="16" t="s">
        <v>1024</v>
      </c>
      <c r="R838" s="369"/>
      <c r="S838" s="367"/>
    </row>
    <row r="839" spans="1:35" ht="14.25" x14ac:dyDescent="0.2">
      <c r="A839" s="21"/>
      <c r="B839" s="22"/>
      <c r="C839" s="22"/>
      <c r="D839" s="22"/>
      <c r="E839" s="22"/>
      <c r="F839" s="23"/>
      <c r="G839" s="23"/>
      <c r="H839" s="18"/>
      <c r="I839" s="18"/>
      <c r="J839" s="24" t="s">
        <v>17</v>
      </c>
      <c r="K839" s="16" t="s">
        <v>10</v>
      </c>
      <c r="L839" s="26"/>
      <c r="M839" s="113">
        <v>500</v>
      </c>
      <c r="N839" s="18"/>
      <c r="O839" s="356" t="s">
        <v>930</v>
      </c>
      <c r="P839" s="357"/>
      <c r="Q839" s="16" t="s">
        <v>931</v>
      </c>
      <c r="R839" s="369"/>
      <c r="S839" s="367"/>
    </row>
    <row r="840" spans="1:35" ht="14.25" x14ac:dyDescent="0.2">
      <c r="A840" s="21"/>
      <c r="B840" s="22"/>
      <c r="C840" s="22"/>
      <c r="D840" s="22"/>
      <c r="E840" s="22"/>
      <c r="F840" s="23"/>
      <c r="G840" s="23"/>
      <c r="H840" s="18"/>
      <c r="I840" s="18"/>
      <c r="J840" s="24" t="s">
        <v>18</v>
      </c>
      <c r="K840" s="16" t="s">
        <v>10</v>
      </c>
      <c r="L840" s="26"/>
      <c r="M840" s="113"/>
      <c r="N840" s="18"/>
      <c r="O840" s="356" t="s">
        <v>932</v>
      </c>
      <c r="P840" s="357"/>
      <c r="Q840" s="16" t="s">
        <v>933</v>
      </c>
      <c r="R840" s="369"/>
      <c r="S840" s="367"/>
    </row>
    <row r="841" spans="1:35" ht="14.25" x14ac:dyDescent="0.2">
      <c r="A841" s="21"/>
      <c r="B841" s="22"/>
      <c r="C841" s="22"/>
      <c r="D841" s="22"/>
      <c r="E841" s="22"/>
      <c r="F841" s="23"/>
      <c r="G841" s="23"/>
      <c r="H841" s="18"/>
      <c r="I841" s="18"/>
      <c r="J841" s="24" t="s">
        <v>19</v>
      </c>
      <c r="K841" s="16" t="s">
        <v>10</v>
      </c>
      <c r="L841" s="26"/>
      <c r="M841" s="25">
        <v>50</v>
      </c>
      <c r="N841" s="18"/>
      <c r="O841" s="356" t="s">
        <v>934</v>
      </c>
      <c r="P841" s="357"/>
      <c r="Q841" s="16" t="s">
        <v>935</v>
      </c>
      <c r="R841" s="369"/>
      <c r="S841" s="367"/>
    </row>
    <row r="842" spans="1:35" ht="14.25" x14ac:dyDescent="0.2">
      <c r="A842" s="21"/>
      <c r="B842" s="22"/>
      <c r="C842" s="22"/>
      <c r="D842" s="22"/>
      <c r="E842" s="22"/>
      <c r="F842" s="23"/>
      <c r="G842" s="23"/>
      <c r="H842" s="18"/>
      <c r="I842" s="18"/>
      <c r="J842" s="29" t="s">
        <v>20</v>
      </c>
      <c r="K842" s="16" t="s">
        <v>21</v>
      </c>
      <c r="L842" s="30"/>
      <c r="M842" s="31">
        <f>L832*L833/1000000</f>
        <v>5.4</v>
      </c>
      <c r="N842" s="18"/>
      <c r="O842" s="356" t="s">
        <v>936</v>
      </c>
      <c r="P842" s="357"/>
      <c r="Q842" s="16" t="s">
        <v>937</v>
      </c>
      <c r="R842" s="369"/>
      <c r="S842" s="367"/>
    </row>
    <row r="843" spans="1:35" ht="14.25" x14ac:dyDescent="0.2">
      <c r="A843" s="32"/>
      <c r="B843" s="33"/>
      <c r="C843" s="33"/>
      <c r="D843" s="33"/>
      <c r="E843" s="33"/>
      <c r="F843" s="34"/>
      <c r="G843" s="34"/>
      <c r="H843" s="35"/>
      <c r="I843" s="35"/>
      <c r="J843" s="29" t="s">
        <v>22</v>
      </c>
      <c r="K843" s="16" t="s">
        <v>23</v>
      </c>
      <c r="L843" s="30"/>
      <c r="M843" s="36">
        <f>(L832+L833)*2/1000</f>
        <v>9.6</v>
      </c>
      <c r="N843" s="35"/>
      <c r="O843" s="356" t="s">
        <v>938</v>
      </c>
      <c r="P843" s="357"/>
      <c r="Q843" s="16" t="s">
        <v>939</v>
      </c>
      <c r="R843" s="370"/>
      <c r="S843" s="368"/>
      <c r="Z843" s="259"/>
      <c r="AA843" s="259"/>
      <c r="AB843" s="259"/>
      <c r="AC843" s="259"/>
      <c r="AD843" s="259"/>
      <c r="AE843" s="259"/>
    </row>
    <row r="844" spans="1:35" ht="36" x14ac:dyDescent="0.15">
      <c r="A844" s="39" t="s">
        <v>24</v>
      </c>
      <c r="B844" s="560" t="s">
        <v>25</v>
      </c>
      <c r="C844" s="561"/>
      <c r="D844" s="561"/>
      <c r="E844" s="562"/>
      <c r="F844" s="40" t="s">
        <v>26</v>
      </c>
      <c r="G844" s="40" t="s">
        <v>27</v>
      </c>
      <c r="H844" s="40" t="s">
        <v>28</v>
      </c>
      <c r="I844" s="40" t="s">
        <v>898</v>
      </c>
      <c r="J844" s="40" t="s">
        <v>29</v>
      </c>
      <c r="K844" s="40" t="s">
        <v>30</v>
      </c>
      <c r="L844" s="41" t="s">
        <v>31</v>
      </c>
      <c r="M844" s="40" t="s">
        <v>32</v>
      </c>
      <c r="N844" s="40" t="s">
        <v>33</v>
      </c>
      <c r="O844" s="40" t="s">
        <v>34</v>
      </c>
      <c r="P844" s="42" t="s">
        <v>35</v>
      </c>
      <c r="Q844" s="338" t="s">
        <v>875</v>
      </c>
      <c r="R844" s="43" t="s">
        <v>36</v>
      </c>
      <c r="S844" s="43" t="s">
        <v>37</v>
      </c>
      <c r="V844" s="261" t="s">
        <v>127</v>
      </c>
      <c r="W844" s="261"/>
      <c r="X844" s="262" t="s">
        <v>128</v>
      </c>
      <c r="Y844" s="274"/>
      <c r="Z844" s="262" t="s">
        <v>354</v>
      </c>
      <c r="AA844" s="274"/>
      <c r="AB844" s="262" t="s">
        <v>355</v>
      </c>
      <c r="AC844" s="274"/>
      <c r="AD844" s="262" t="s">
        <v>356</v>
      </c>
      <c r="AE844" s="274"/>
      <c r="AF844" s="262" t="s">
        <v>357</v>
      </c>
      <c r="AG844" s="274"/>
      <c r="AH844" s="262" t="s">
        <v>358</v>
      </c>
      <c r="AI844" s="274"/>
    </row>
    <row r="845" spans="1:35" x14ac:dyDescent="0.15">
      <c r="A845" s="382">
        <v>1</v>
      </c>
      <c r="B845" s="531" t="s">
        <v>38</v>
      </c>
      <c r="C845" s="532"/>
      <c r="D845" s="532"/>
      <c r="E845" s="533"/>
      <c r="F845" s="47" t="str">
        <f>VLOOKUP($H:$H,型材表!$B$5:$I$245,2,0)</f>
        <v>窗框</v>
      </c>
      <c r="G845" s="45" t="s">
        <v>39</v>
      </c>
      <c r="H845" s="45" t="str">
        <f>IF(G830=65,"SN65AK001",IF(G830=55,"SN55K001",IF(G830=551,"SN55BK001",IF(G830=60,"SN60K001",IF(G830=601,"SN60AK001",IF(G830=70,"SN70K001",IF(G830=75,"SN75K001")))))))</f>
        <v>SN65AK001</v>
      </c>
      <c r="I845" s="45" t="s">
        <v>901</v>
      </c>
      <c r="J845" s="46">
        <f>M832</f>
        <v>1700</v>
      </c>
      <c r="K845" s="45">
        <v>6</v>
      </c>
      <c r="L845" s="47">
        <f>VLOOKUP($H:$H,型材表!$B$5:$I$245,4,0)</f>
        <v>1.02</v>
      </c>
      <c r="M845" s="46">
        <f>J845*K845*L845/1000</f>
        <v>10.404</v>
      </c>
      <c r="N845" s="72">
        <f>VLOOKUP($H:$H,型材表!$B$5:$I$245,7,0)</f>
        <v>0</v>
      </c>
      <c r="O845" s="46">
        <f>N845*M845</f>
        <v>0</v>
      </c>
      <c r="P845" s="100">
        <f>VLOOKUP($H:$H,型材表!$B$5:$I$245,5,0)</f>
        <v>0.125</v>
      </c>
      <c r="Q845" s="100" t="str">
        <f>VLOOKUP($H:$H,型材表!$B$5:$I$245,6,0)</f>
        <v>断桥隔热铝型材</v>
      </c>
      <c r="R845" s="49"/>
      <c r="S845" s="50"/>
      <c r="X845" s="264"/>
      <c r="Y845" s="265"/>
      <c r="Z845" s="264"/>
      <c r="AA845" s="265"/>
      <c r="AB845" s="264"/>
      <c r="AC845" s="265"/>
      <c r="AD845" s="264"/>
      <c r="AE845" s="265"/>
      <c r="AF845" s="264"/>
      <c r="AG845" s="265"/>
      <c r="AH845" s="264"/>
      <c r="AI845" s="265"/>
    </row>
    <row r="846" spans="1:35" x14ac:dyDescent="0.15">
      <c r="A846" s="382">
        <v>2</v>
      </c>
      <c r="B846" s="537"/>
      <c r="C846" s="538"/>
      <c r="D846" s="538"/>
      <c r="E846" s="539"/>
      <c r="F846" s="47" t="str">
        <f>VLOOKUP($H:$H,型材表!$B$5:$I$245,2,0)</f>
        <v>窗框</v>
      </c>
      <c r="G846" s="45" t="s">
        <v>40</v>
      </c>
      <c r="H846" s="45" t="str">
        <f>H845</f>
        <v>SN65AK001</v>
      </c>
      <c r="I846" s="45" t="s">
        <v>1460</v>
      </c>
      <c r="J846" s="46">
        <f>IF(G830=65,M833-V846*2,IF(G830=55,M833-X846*2,IF(G830=551,M833-Z846*2,IF(G830=60,M833-AB846*2,IF(G830=601,M833-AD846*2,IF(G830=70,M833-AF846*2,IF(G830=75,M833-AH846*2)))))))</f>
        <v>2643.2</v>
      </c>
      <c r="K846" s="45">
        <v>2</v>
      </c>
      <c r="L846" s="47">
        <f>VLOOKUP($H:$H,型材表!$B$5:$I$245,4,0)</f>
        <v>1.02</v>
      </c>
      <c r="M846" s="46">
        <f t="shared" ref="M846:M863" si="126">J846*K846*L846/1000</f>
        <v>5.3921279999999996</v>
      </c>
      <c r="N846" s="72">
        <f>VLOOKUP($H:$H,型材表!$B$5:$I$245,7,0)</f>
        <v>0</v>
      </c>
      <c r="O846" s="46">
        <f t="shared" ref="O846:O847" si="127">N846*M846</f>
        <v>0</v>
      </c>
      <c r="P846" s="100">
        <f>VLOOKUP($H:$H,型材表!$B$5:$I$245,5,0)</f>
        <v>0.125</v>
      </c>
      <c r="Q846" s="100" t="str">
        <f>VLOOKUP($H:$H,型材表!$B$5:$I$245,6,0)</f>
        <v>断桥隔热铝型材</v>
      </c>
      <c r="R846" s="49"/>
      <c r="S846" s="50"/>
      <c r="U846" s="374" t="s">
        <v>1132</v>
      </c>
      <c r="V846" s="259">
        <f>64.2*2</f>
        <v>128.4</v>
      </c>
      <c r="X846" s="264">
        <f>55*2</f>
        <v>110</v>
      </c>
      <c r="Y846" s="265"/>
      <c r="Z846" s="264">
        <f>55*2</f>
        <v>110</v>
      </c>
      <c r="AA846" s="265"/>
      <c r="AB846" s="264">
        <f>60.2*2</f>
        <v>120.4</v>
      </c>
      <c r="AC846" s="265"/>
      <c r="AD846" s="264">
        <f>60.4*2</f>
        <v>120.8</v>
      </c>
      <c r="AE846" s="265"/>
      <c r="AF846" s="264">
        <f>70.2*2</f>
        <v>140.4</v>
      </c>
      <c r="AG846" s="265"/>
      <c r="AH846" s="264">
        <f>74.2*2</f>
        <v>148.4</v>
      </c>
      <c r="AI846" s="265"/>
    </row>
    <row r="847" spans="1:35" x14ac:dyDescent="0.15">
      <c r="A847" s="395">
        <v>3</v>
      </c>
      <c r="B847" s="531" t="s">
        <v>41</v>
      </c>
      <c r="C847" s="532"/>
      <c r="D847" s="532"/>
      <c r="E847" s="533"/>
      <c r="F847" s="47" t="str">
        <f>VLOOKUP($H:$H,型材表!$B$5:$I$245,2,0)</f>
        <v>窗扇</v>
      </c>
      <c r="G847" s="45" t="s">
        <v>39</v>
      </c>
      <c r="H847" s="45" t="str">
        <f>IF(G830=65,"SN65AS001",IF(G830=55,"SN55S001",IF(G830=551,"SN55BS001",IF(G830=60,"SN60S001",IF(G830=601,"SN60AS001",IF(G830=70,"SN70S001",IF(G830=75,"SN75S001")))))))</f>
        <v>SN65AS001</v>
      </c>
      <c r="I847" s="45" t="s">
        <v>1040</v>
      </c>
      <c r="J847" s="46">
        <f>IF(G830=65,M834-V847,IF(G830=55,M834-X847,IF(G830=551,M834-Z847,IF(G830=60,M834-AB847,IF(G830=601,M834-AD847,IF(G830=70,M834-AF847,IF(G830=75,M834-AH847)))))))</f>
        <v>1171</v>
      </c>
      <c r="K847" s="45">
        <v>2</v>
      </c>
      <c r="L847" s="47">
        <f>VLOOKUP($H:$H,型材表!$B$5:$I$245,4,0)</f>
        <v>1.292</v>
      </c>
      <c r="M847" s="46">
        <f t="shared" si="126"/>
        <v>3.0258639999999999</v>
      </c>
      <c r="N847" s="72">
        <f>VLOOKUP($H:$H,型材表!$B$5:$I$245,7,0)</f>
        <v>0</v>
      </c>
      <c r="O847" s="46">
        <f t="shared" si="127"/>
        <v>0</v>
      </c>
      <c r="P847" s="100">
        <f>VLOOKUP($H:$H,型材表!$B$5:$I$245,5,0)</f>
        <v>0.125</v>
      </c>
      <c r="Q847" s="100" t="str">
        <f>VLOOKUP($H:$H,型材表!$B$5:$I$245,6,0)</f>
        <v>断桥隔热铝型材</v>
      </c>
      <c r="R847" s="49"/>
      <c r="S847" s="50"/>
      <c r="U847" s="374" t="s">
        <v>1123</v>
      </c>
      <c r="V847" s="259">
        <f>22+7</f>
        <v>29</v>
      </c>
      <c r="X847" s="264">
        <f>22+7</f>
        <v>29</v>
      </c>
      <c r="Y847" s="265"/>
      <c r="Z847" s="264">
        <f>22+7</f>
        <v>29</v>
      </c>
      <c r="AA847" s="265"/>
      <c r="AB847" s="264">
        <f>22+7</f>
        <v>29</v>
      </c>
      <c r="AC847" s="265"/>
      <c r="AD847" s="264">
        <f>22+7</f>
        <v>29</v>
      </c>
      <c r="AE847" s="265"/>
      <c r="AF847" s="264">
        <f>22+7</f>
        <v>29</v>
      </c>
      <c r="AG847" s="265"/>
      <c r="AH847" s="264">
        <f>22+7</f>
        <v>29</v>
      </c>
      <c r="AI847" s="265"/>
    </row>
    <row r="848" spans="1:35" x14ac:dyDescent="0.15">
      <c r="A848" s="395">
        <v>4</v>
      </c>
      <c r="B848" s="534"/>
      <c r="C848" s="535"/>
      <c r="D848" s="535"/>
      <c r="E848" s="536"/>
      <c r="F848" s="47" t="str">
        <f>VLOOKUP($H:$H,型材表!$B$5:$I$245,2,0)</f>
        <v>窗扇</v>
      </c>
      <c r="G848" s="45" t="s">
        <v>40</v>
      </c>
      <c r="H848" s="45" t="str">
        <f>H847</f>
        <v>SN65AS001</v>
      </c>
      <c r="I848" s="45" t="s">
        <v>1462</v>
      </c>
      <c r="J848" s="46">
        <f>IF(G830=65,M837-V848-V846/2,IF(G830=55,M837-X848-X846/2,IF(G830=551,M837-Z848-Z846/2,IF(G830=60,M837-AB848-AB846/2,IF(G830=601,M837-AD848-AD846/2,IF(G830=70,M837-AF848-AF846/2,IF(G830=75,M837-AH848-AH846/2)))))))</f>
        <v>656.8</v>
      </c>
      <c r="K848" s="45">
        <v>2</v>
      </c>
      <c r="L848" s="47">
        <f>VLOOKUP($H:$H,型材表!$B$5:$I$245,4,0)</f>
        <v>1.292</v>
      </c>
      <c r="M848" s="46">
        <f t="shared" si="126"/>
        <v>1.6971712000000001</v>
      </c>
      <c r="N848" s="72">
        <f>VLOOKUP($H:$H,型材表!$B$5:$I$245,7,0)</f>
        <v>0</v>
      </c>
      <c r="O848" s="46">
        <f>N848*M848</f>
        <v>0</v>
      </c>
      <c r="P848" s="100">
        <f>VLOOKUP($H:$H,型材表!$B$5:$I$245,5,0)</f>
        <v>0.125</v>
      </c>
      <c r="Q848" s="100" t="str">
        <f>VLOOKUP($H:$H,型材表!$B$5:$I$245,6,0)</f>
        <v>断桥隔热铝型材</v>
      </c>
      <c r="R848" s="49"/>
      <c r="S848" s="50"/>
      <c r="U848" s="374" t="s">
        <v>1129</v>
      </c>
      <c r="V848" s="259">
        <f>22+7</f>
        <v>29</v>
      </c>
      <c r="X848" s="264">
        <f>22+7</f>
        <v>29</v>
      </c>
      <c r="Y848" s="265"/>
      <c r="Z848" s="264">
        <f>22+7</f>
        <v>29</v>
      </c>
      <c r="AA848" s="265"/>
      <c r="AB848" s="264">
        <f>22+7</f>
        <v>29</v>
      </c>
      <c r="AC848" s="265"/>
      <c r="AD848" s="264">
        <f>22+7</f>
        <v>29</v>
      </c>
      <c r="AE848" s="265"/>
      <c r="AF848" s="264">
        <f>22+7</f>
        <v>29</v>
      </c>
      <c r="AG848" s="265"/>
      <c r="AH848" s="264">
        <f>22+7</f>
        <v>29</v>
      </c>
      <c r="AI848" s="265"/>
    </row>
    <row r="849" spans="1:35" x14ac:dyDescent="0.15">
      <c r="A849" s="395">
        <v>5</v>
      </c>
      <c r="B849" s="534"/>
      <c r="C849" s="535"/>
      <c r="D849" s="535"/>
      <c r="E849" s="536"/>
      <c r="F849" s="47" t="str">
        <f>VLOOKUP($H:$H,型材表!$B$5:$I$245,2,0)</f>
        <v>中梃</v>
      </c>
      <c r="G849" s="45" t="s">
        <v>39</v>
      </c>
      <c r="H849" s="116" t="str">
        <f>IF(G830=65,"SN65AT001",IF(G830=55,"SN55T001",IF(G830=551,"SN55BT001",IF(G830=60,"SN60T001",IF(G830=601,"SN60AT001",IF(G830=70,"SN70T001",IF(G830=75,"SN75T001")))))))</f>
        <v>SN65AT001</v>
      </c>
      <c r="I849" s="45" t="s">
        <v>1052</v>
      </c>
      <c r="J849" s="46">
        <f>IF(G830=65,M832-V849,IF(G830=55,M832-X849,IF(G830=551,M832-Z849,IF(G830=60,M832-AB849,IF(G830=601,M832-AD849,IF(G830=70,M832-AF849,IF(G830=75,M832-AH849)))))))</f>
        <v>1654</v>
      </c>
      <c r="K849" s="45">
        <v>1</v>
      </c>
      <c r="L849" s="47">
        <f>VLOOKUP($H:$H,型材表!$B$5:$I$245,4,0)</f>
        <v>1.214</v>
      </c>
      <c r="M849" s="46">
        <f t="shared" si="126"/>
        <v>2.0079560000000001</v>
      </c>
      <c r="N849" s="72">
        <f>VLOOKUP($H:$H,型材表!$B$5:$I$245,7,0)</f>
        <v>0</v>
      </c>
      <c r="O849" s="46">
        <f>N849*M849</f>
        <v>0</v>
      </c>
      <c r="P849" s="100">
        <f>VLOOKUP($H:$H,型材表!$B$5:$I$245,5,0)</f>
        <v>0.125</v>
      </c>
      <c r="Q849" s="100" t="str">
        <f>VLOOKUP($H:$H,型材表!$B$5:$I$245,6,0)</f>
        <v>断桥隔热铝型材</v>
      </c>
      <c r="R849" s="49"/>
      <c r="S849" s="50"/>
      <c r="U849" s="374" t="s">
        <v>1033</v>
      </c>
      <c r="V849" s="259">
        <f>23*2</f>
        <v>46</v>
      </c>
      <c r="X849" s="264">
        <f>23*2</f>
        <v>46</v>
      </c>
      <c r="Y849" s="265"/>
      <c r="Z849" s="264">
        <f>23*2</f>
        <v>46</v>
      </c>
      <c r="AA849" s="265"/>
      <c r="AB849" s="264">
        <f>23*2</f>
        <v>46</v>
      </c>
      <c r="AC849" s="265"/>
      <c r="AD849" s="264">
        <f>23*2</f>
        <v>46</v>
      </c>
      <c r="AE849" s="265"/>
      <c r="AF849" s="264">
        <f>23*2</f>
        <v>46</v>
      </c>
      <c r="AG849" s="265"/>
      <c r="AH849" s="264">
        <f>23*2</f>
        <v>46</v>
      </c>
      <c r="AI849" s="265"/>
    </row>
    <row r="850" spans="1:35" x14ac:dyDescent="0.15">
      <c r="A850" s="395">
        <v>6</v>
      </c>
      <c r="B850" s="537"/>
      <c r="C850" s="538"/>
      <c r="D850" s="538"/>
      <c r="E850" s="539"/>
      <c r="F850" s="47" t="str">
        <f>VLOOKUP($H:$H,型材表!$B$5:$I$245,2,0)</f>
        <v>中梃</v>
      </c>
      <c r="G850" s="45" t="s">
        <v>40</v>
      </c>
      <c r="H850" s="116" t="str">
        <f>IF(G830=65,"SN65AT001",IF(G830=55,"SN55T001",IF(G830=551,"SN55BT001",IF(G830=60,"SN60T001",IF(G830=601,"SN60AT001",IF(G830=70,"SN70T001",IF(G830=75,"SN75T001")))))))</f>
        <v>SN65AT001</v>
      </c>
      <c r="I850" s="45" t="s">
        <v>1461</v>
      </c>
      <c r="J850" s="46">
        <f>IF(G830=65,M837-V850,IF(G830=55,M837-X850,IF(G830=551,M837-Z850,IF(G830=60,M837-AB850,IF(G830=601,M837-AD850,IF(G830=70,M837-AF850,IF(G830=75,M837-AH850)))))))-8</f>
        <v>711</v>
      </c>
      <c r="K850" s="45">
        <v>1</v>
      </c>
      <c r="L850" s="47">
        <f>VLOOKUP($H:$H,型材表!$B$5:$I$245,4,0)</f>
        <v>1.214</v>
      </c>
      <c r="M850" s="46">
        <f t="shared" si="126"/>
        <v>0.86315399999999998</v>
      </c>
      <c r="N850" s="72">
        <f>VLOOKUP($H:$H,型材表!$B$5:$I$245,7,0)</f>
        <v>0</v>
      </c>
      <c r="O850" s="46">
        <f>N850*M850</f>
        <v>0</v>
      </c>
      <c r="P850" s="100">
        <f>VLOOKUP($H:$H,型材表!$B$5:$I$245,5,0)</f>
        <v>0.125</v>
      </c>
      <c r="Q850" s="100" t="str">
        <f>VLOOKUP($H:$H,型材表!$B$5:$I$245,6,0)</f>
        <v>断桥隔热铝型材</v>
      </c>
      <c r="R850" s="49"/>
      <c r="S850" s="50"/>
      <c r="U850" s="374" t="s">
        <v>1131</v>
      </c>
      <c r="V850" s="259">
        <f>23+8</f>
        <v>31</v>
      </c>
      <c r="X850" s="264">
        <f>23+8</f>
        <v>31</v>
      </c>
      <c r="Y850" s="265"/>
      <c r="Z850" s="264">
        <f>23+8</f>
        <v>31</v>
      </c>
      <c r="AA850" s="265"/>
      <c r="AB850" s="264">
        <f>23+8</f>
        <v>31</v>
      </c>
      <c r="AC850" s="265"/>
      <c r="AD850" s="264">
        <f>23+8</f>
        <v>31</v>
      </c>
      <c r="AE850" s="265"/>
      <c r="AF850" s="264">
        <f>23+8</f>
        <v>31</v>
      </c>
      <c r="AG850" s="265"/>
      <c r="AH850" s="264">
        <f>23+8</f>
        <v>31</v>
      </c>
      <c r="AI850" s="265"/>
    </row>
    <row r="851" spans="1:35" x14ac:dyDescent="0.15">
      <c r="A851" s="395">
        <v>7</v>
      </c>
      <c r="B851" s="542" t="s">
        <v>150</v>
      </c>
      <c r="C851" s="543"/>
      <c r="D851" s="543"/>
      <c r="E851" s="544"/>
      <c r="F851" s="47" t="str">
        <f>VLOOKUP($H:$H,型材表!$B$5:$I$245,2,0)</f>
        <v>转角型材</v>
      </c>
      <c r="G851" s="45"/>
      <c r="H851" s="45" t="str">
        <f>IF(G830=65,"SN65AJ001",IF(G830=55,"SN55J001",IF(G830=551,"SN55BJ001",IF(G830=60,"SN60J001",IF(G830=601,"SN60AJ001",IF(G830=70,"SN70J001",IF(G830=75,"SN75J001")))))))</f>
        <v>SN65AJ001</v>
      </c>
      <c r="I851" s="45" t="s">
        <v>901</v>
      </c>
      <c r="J851" s="46">
        <f>M832</f>
        <v>1700</v>
      </c>
      <c r="K851" s="45">
        <v>2</v>
      </c>
      <c r="L851" s="47">
        <f>VLOOKUP($H:$H,型材表!$B$5:$I$245,4,0)</f>
        <v>1.4159999999999999</v>
      </c>
      <c r="M851" s="46">
        <f t="shared" si="126"/>
        <v>4.8144</v>
      </c>
      <c r="N851" s="72">
        <f>VLOOKUP($H:$H,型材表!$B$5:$I$245,7,0)</f>
        <v>0</v>
      </c>
      <c r="O851" s="46">
        <f>N851*M851</f>
        <v>0</v>
      </c>
      <c r="P851" s="100">
        <f>VLOOKUP($H:$H,型材表!$B$5:$I$245,5,0)</f>
        <v>0.125</v>
      </c>
      <c r="Q851" s="100" t="str">
        <f>VLOOKUP($H:$H,型材表!$B$5:$I$245,6,0)</f>
        <v>断桥隔热铝型材</v>
      </c>
      <c r="R851" s="49"/>
      <c r="S851" s="50"/>
      <c r="X851" s="264"/>
      <c r="Y851" s="265"/>
      <c r="Z851" s="264"/>
      <c r="AA851" s="265"/>
      <c r="AB851" s="264"/>
      <c r="AC851" s="265"/>
      <c r="AD851" s="264"/>
      <c r="AE851" s="265"/>
      <c r="AF851" s="264"/>
      <c r="AG851" s="265"/>
      <c r="AH851" s="264"/>
      <c r="AI851" s="265"/>
    </row>
    <row r="852" spans="1:35" x14ac:dyDescent="0.15">
      <c r="A852" s="395">
        <v>8</v>
      </c>
      <c r="B852" s="531" t="s">
        <v>42</v>
      </c>
      <c r="C852" s="532"/>
      <c r="D852" s="532"/>
      <c r="E852" s="533"/>
      <c r="F852" s="47" t="str">
        <f>VLOOKUP($H:$H,型材表!$B$5:$I$245,2,0)</f>
        <v>压线</v>
      </c>
      <c r="G852" s="45" t="s">
        <v>39</v>
      </c>
      <c r="H852" s="45" t="str">
        <f>IF(G830=65,"SN65AY002",IF(G830=55,"SN55Y002",IF(G830=551,"SN55BY002",IF(G830=60,"SN60Y002",IF(G830=601,"SN60Y002",IF(G830=70,"SN70Y002",IF(G830=75,"SN75Y002")))))))</f>
        <v>SN65AY002</v>
      </c>
      <c r="I852" s="45" t="s">
        <v>1042</v>
      </c>
      <c r="J852" s="46">
        <f>IF(G830=65,M834-V852,IF(G830=55,M834-X852,IF(G830=551,M834-Z852,IF(G830=60,M834-AB852,IF(G830=601,M834-AD852,IF(G830=70,M834-AF852,IF(G830=75,M834-AH852)))))))</f>
        <v>1095.4000000000001</v>
      </c>
      <c r="K852" s="45">
        <v>2</v>
      </c>
      <c r="L852" s="47">
        <f>VLOOKUP($H:$H,型材表!$B$5:$I$245,4,0)</f>
        <v>0.20399999999999999</v>
      </c>
      <c r="M852" s="46">
        <f t="shared" si="126"/>
        <v>0.44692320000000002</v>
      </c>
      <c r="N852" s="72">
        <f>VLOOKUP($H:$H,型材表!$B$5:$I$245,7,0)</f>
        <v>0</v>
      </c>
      <c r="O852" s="46">
        <f t="shared" ref="O852:O863" si="128">N852*M852</f>
        <v>0</v>
      </c>
      <c r="P852" s="100">
        <f>VLOOKUP($H:$H,型材表!$B$5:$I$245,5,0)</f>
        <v>0.125</v>
      </c>
      <c r="Q852" s="100" t="str">
        <f>VLOOKUP($H:$H,型材表!$B$5:$I$245,6,0)</f>
        <v>非断桥隔热铝型材</v>
      </c>
      <c r="R852" s="49"/>
      <c r="S852" s="50"/>
      <c r="U852" s="374" t="s">
        <v>1126</v>
      </c>
      <c r="V852" s="269">
        <f>59.8+44.8</f>
        <v>104.6</v>
      </c>
      <c r="W852" s="269"/>
      <c r="X852" s="279">
        <f>59.8+44.8</f>
        <v>104.6</v>
      </c>
      <c r="Y852" s="265"/>
      <c r="Z852" s="279">
        <f>59.8+44.8</f>
        <v>104.6</v>
      </c>
      <c r="AA852" s="265"/>
      <c r="AB852" s="279">
        <f>59.8+44.8</f>
        <v>104.6</v>
      </c>
      <c r="AC852" s="265"/>
      <c r="AD852" s="279">
        <f>59.8+44.8</f>
        <v>104.6</v>
      </c>
      <c r="AE852" s="265"/>
      <c r="AF852" s="279">
        <f>59.8+44.8</f>
        <v>104.6</v>
      </c>
      <c r="AG852" s="265"/>
      <c r="AH852" s="279">
        <f>59.8+44.8</f>
        <v>104.6</v>
      </c>
      <c r="AI852" s="265"/>
    </row>
    <row r="853" spans="1:35" x14ac:dyDescent="0.15">
      <c r="A853" s="395">
        <v>9</v>
      </c>
      <c r="B853" s="534"/>
      <c r="C853" s="535"/>
      <c r="D853" s="535"/>
      <c r="E853" s="536"/>
      <c r="F853" s="47" t="str">
        <f>VLOOKUP($H:$H,型材表!$B$5:$I$245,2,0)</f>
        <v>压线</v>
      </c>
      <c r="G853" s="45" t="s">
        <v>39</v>
      </c>
      <c r="H853" s="207" t="str">
        <f>H852</f>
        <v>SN65AY002</v>
      </c>
      <c r="I853" s="207" t="s">
        <v>1043</v>
      </c>
      <c r="J853" s="208">
        <f>IF(G830=65,M835-V853,IF(G830=55,M835-X853,IF(G830=551,M835-Z853,IF(G830=60,M835-AB853,IF(G830=601,M835-AD853,IF(G830=70,M835-AF853,IF(G830=75,M835-AH853)))))))</f>
        <v>469</v>
      </c>
      <c r="K853" s="207">
        <v>2</v>
      </c>
      <c r="L853" s="47">
        <f>VLOOKUP($H:$H,型材表!$B$5:$I$245,4,0)</f>
        <v>0.20399999999999999</v>
      </c>
      <c r="M853" s="46">
        <f t="shared" si="126"/>
        <v>0.19135199999999997</v>
      </c>
      <c r="N853" s="72">
        <f>VLOOKUP($H:$H,型材表!$B$5:$I$245,7,0)</f>
        <v>0</v>
      </c>
      <c r="O853" s="46">
        <f t="shared" si="128"/>
        <v>0</v>
      </c>
      <c r="P853" s="100">
        <f>VLOOKUP($H:$H,型材表!$B$5:$I$245,5,0)</f>
        <v>0.125</v>
      </c>
      <c r="Q853" s="100" t="str">
        <f>VLOOKUP($H:$H,型材表!$B$5:$I$245,6,0)</f>
        <v>非断桥隔热铝型材</v>
      </c>
      <c r="R853" s="210"/>
      <c r="S853" s="50"/>
      <c r="U853" s="374" t="s">
        <v>1127</v>
      </c>
      <c r="V853" s="269">
        <f>8+23</f>
        <v>31</v>
      </c>
      <c r="W853" s="269"/>
      <c r="X853" s="279">
        <f>8+23</f>
        <v>31</v>
      </c>
      <c r="Y853" s="265"/>
      <c r="Z853" s="279">
        <f>8+23</f>
        <v>31</v>
      </c>
      <c r="AA853" s="265"/>
      <c r="AB853" s="279">
        <f>8+23</f>
        <v>31</v>
      </c>
      <c r="AC853" s="265"/>
      <c r="AD853" s="279">
        <f>8+23</f>
        <v>31</v>
      </c>
      <c r="AE853" s="265"/>
      <c r="AF853" s="279">
        <f>8+23</f>
        <v>31</v>
      </c>
      <c r="AG853" s="265"/>
      <c r="AH853" s="279">
        <f>8+23</f>
        <v>31</v>
      </c>
      <c r="AI853" s="265"/>
    </row>
    <row r="854" spans="1:35" x14ac:dyDescent="0.15">
      <c r="A854" s="395">
        <v>10</v>
      </c>
      <c r="B854" s="534"/>
      <c r="C854" s="535"/>
      <c r="D854" s="535"/>
      <c r="E854" s="536"/>
      <c r="F854" s="47" t="str">
        <f>VLOOKUP($H:$H,型材表!$B$5:$I$245,2,0)</f>
        <v>压线</v>
      </c>
      <c r="G854" s="45" t="s">
        <v>39</v>
      </c>
      <c r="H854" s="207" t="str">
        <f t="shared" ref="H854:H858" si="129">H853</f>
        <v>SN65AY002</v>
      </c>
      <c r="I854" s="207" t="s">
        <v>1054</v>
      </c>
      <c r="J854" s="208">
        <f>IF(G830=65,M832-V854,IF(G830=55,M832-X854,IF(G830=551,M832-Z854,IF(G830=60,M832-AB854,IF(G830=601,M832-AD854,IF(G830=70,M832-AF854,IF(G830=75,M832-AH854)))))))</f>
        <v>1654</v>
      </c>
      <c r="K854" s="45">
        <v>6</v>
      </c>
      <c r="L854" s="47">
        <f>VLOOKUP($H:$H,型材表!$B$5:$I$245,4,0)</f>
        <v>0.20399999999999999</v>
      </c>
      <c r="M854" s="46">
        <f t="shared" si="126"/>
        <v>2.0244960000000001</v>
      </c>
      <c r="N854" s="72">
        <f>VLOOKUP($H:$H,型材表!$B$5:$I$245,7,0)</f>
        <v>0</v>
      </c>
      <c r="O854" s="46">
        <f t="shared" si="128"/>
        <v>0</v>
      </c>
      <c r="P854" s="100">
        <f>VLOOKUP($H:$H,型材表!$B$5:$I$245,5,0)</f>
        <v>0.125</v>
      </c>
      <c r="Q854" s="100" t="str">
        <f>VLOOKUP($H:$H,型材表!$B$5:$I$245,6,0)</f>
        <v>非断桥隔热铝型材</v>
      </c>
      <c r="R854" s="210"/>
      <c r="S854" s="50"/>
      <c r="U854" s="374" t="s">
        <v>1038</v>
      </c>
      <c r="V854" s="269">
        <f>23*2</f>
        <v>46</v>
      </c>
      <c r="W854" s="269"/>
      <c r="X854" s="279">
        <f>23*2</f>
        <v>46</v>
      </c>
      <c r="Y854" s="265"/>
      <c r="Z854" s="279">
        <f>23*2</f>
        <v>46</v>
      </c>
      <c r="AA854" s="265"/>
      <c r="AB854" s="279">
        <f>23*2</f>
        <v>46</v>
      </c>
      <c r="AC854" s="265"/>
      <c r="AD854" s="279">
        <f>23*2</f>
        <v>46</v>
      </c>
      <c r="AE854" s="265"/>
      <c r="AF854" s="279">
        <f>23*2</f>
        <v>46</v>
      </c>
      <c r="AG854" s="265"/>
      <c r="AH854" s="279">
        <f>23*2</f>
        <v>46</v>
      </c>
      <c r="AI854" s="265"/>
    </row>
    <row r="855" spans="1:35" x14ac:dyDescent="0.15">
      <c r="A855" s="395">
        <v>11</v>
      </c>
      <c r="B855" s="534"/>
      <c r="C855" s="535"/>
      <c r="D855" s="535"/>
      <c r="E855" s="536"/>
      <c r="F855" s="47" t="str">
        <f>VLOOKUP($H:$H,型材表!$B$5:$I$245,2,0)</f>
        <v>压线</v>
      </c>
      <c r="G855" s="45" t="s">
        <v>40</v>
      </c>
      <c r="H855" s="207" t="str">
        <f>H854</f>
        <v>SN65AY002</v>
      </c>
      <c r="I855" s="207" t="s">
        <v>1463</v>
      </c>
      <c r="J855" s="208">
        <f>IF(G830=65,M837-V855-V846/2,IF(G830=55,M837-X855-X846/2,IF(G830=551,M837-Z855-Z846/2,IF(G830=60,M837-AB855-AB846/2,IF(G830=601,M837-AD855-AD846/2,IF(G830=70,M837-AF855-AF846/2,IF(G830=75,M837-AH855-AH846/2)))))))-8</f>
        <v>573.19999999999993</v>
      </c>
      <c r="K855" s="45">
        <v>2</v>
      </c>
      <c r="L855" s="47">
        <f>VLOOKUP($H:$H,型材表!$B$5:$I$245,4,0)</f>
        <v>0.20399999999999999</v>
      </c>
      <c r="M855" s="46">
        <f t="shared" si="126"/>
        <v>0.23386559999999995</v>
      </c>
      <c r="N855" s="72">
        <f>VLOOKUP($H:$H,型材表!$B$5:$I$245,7,0)</f>
        <v>0</v>
      </c>
      <c r="O855" s="46">
        <f t="shared" si="128"/>
        <v>0</v>
      </c>
      <c r="P855" s="100">
        <f>VLOOKUP($H:$H,型材表!$B$5:$I$245,5,0)</f>
        <v>0.125</v>
      </c>
      <c r="Q855" s="100" t="str">
        <f>VLOOKUP($H:$H,型材表!$B$5:$I$245,6,0)</f>
        <v>非断桥隔热铝型材</v>
      </c>
      <c r="R855" s="210"/>
      <c r="S855" s="50"/>
      <c r="U855" s="374" t="s">
        <v>1030</v>
      </c>
      <c r="V855" s="269">
        <f>59.8+44.8</f>
        <v>104.6</v>
      </c>
      <c r="W855" s="269"/>
      <c r="X855" s="279">
        <f>59.8+44.8</f>
        <v>104.6</v>
      </c>
      <c r="Y855" s="265"/>
      <c r="Z855" s="279">
        <f>59.8+44.8</f>
        <v>104.6</v>
      </c>
      <c r="AA855" s="265"/>
      <c r="AB855" s="279">
        <f>59.8+44.8</f>
        <v>104.6</v>
      </c>
      <c r="AC855" s="265"/>
      <c r="AD855" s="279">
        <f>59.8+44.8</f>
        <v>104.6</v>
      </c>
      <c r="AE855" s="265"/>
      <c r="AF855" s="279">
        <f>59.8+44.8</f>
        <v>104.6</v>
      </c>
      <c r="AG855" s="265"/>
      <c r="AH855" s="279">
        <f>59.8+44.8</f>
        <v>104.6</v>
      </c>
      <c r="AI855" s="265"/>
    </row>
    <row r="856" spans="1:35" x14ac:dyDescent="0.15">
      <c r="A856" s="395">
        <v>12</v>
      </c>
      <c r="B856" s="534"/>
      <c r="C856" s="535"/>
      <c r="D856" s="535"/>
      <c r="E856" s="536"/>
      <c r="F856" s="47" t="str">
        <f>VLOOKUP($H:$H,型材表!$B$5:$I$245,2,0)</f>
        <v>压线</v>
      </c>
      <c r="G856" s="45" t="s">
        <v>40</v>
      </c>
      <c r="H856" s="207" t="str">
        <f t="shared" si="129"/>
        <v>SN65AY002</v>
      </c>
      <c r="I856" s="207" t="s">
        <v>1464</v>
      </c>
      <c r="J856" s="208">
        <f>IF(G830=65,M837-V856-V846/2,IF(G830=55,M837-X856-X846/2,IF(G830=551,M837-Z856-Z846/2,IF(G830=60,M837-AB856-AB846/2,IF(G830=601,M837-AD856-AD846/2,IF(G830=70,M837-AF856-AF846/2,IF(G830=75,M837-AH856-AH846/2)))))))-8</f>
        <v>646.79999999999995</v>
      </c>
      <c r="K856" s="207">
        <v>2</v>
      </c>
      <c r="L856" s="47">
        <f>VLOOKUP($H:$H,型材表!$B$5:$I$245,4,0)</f>
        <v>0.20399999999999999</v>
      </c>
      <c r="M856" s="46">
        <f t="shared" si="126"/>
        <v>0.26389439999999997</v>
      </c>
      <c r="N856" s="72">
        <f>VLOOKUP($H:$H,型材表!$B$5:$I$245,7,0)</f>
        <v>0</v>
      </c>
      <c r="O856" s="46">
        <f t="shared" si="128"/>
        <v>0</v>
      </c>
      <c r="P856" s="100">
        <f>VLOOKUP($H:$H,型材表!$B$5:$I$245,5,0)</f>
        <v>0.125</v>
      </c>
      <c r="Q856" s="100" t="str">
        <f>VLOOKUP($H:$H,型材表!$B$5:$I$245,6,0)</f>
        <v>非断桥隔热铝型材</v>
      </c>
      <c r="R856" s="210"/>
      <c r="S856" s="50"/>
      <c r="U856" s="374" t="s">
        <v>1058</v>
      </c>
      <c r="V856" s="269">
        <f>23+8</f>
        <v>31</v>
      </c>
      <c r="W856" s="269"/>
      <c r="X856" s="279">
        <f>23+8</f>
        <v>31</v>
      </c>
      <c r="Y856" s="265"/>
      <c r="Z856" s="279">
        <f>23+8</f>
        <v>31</v>
      </c>
      <c r="AA856" s="265"/>
      <c r="AB856" s="279">
        <f>23+8</f>
        <v>31</v>
      </c>
      <c r="AC856" s="265"/>
      <c r="AD856" s="279">
        <f>23+8</f>
        <v>31</v>
      </c>
      <c r="AE856" s="265"/>
      <c r="AF856" s="279">
        <f>23+8</f>
        <v>31</v>
      </c>
      <c r="AG856" s="265"/>
      <c r="AH856" s="279">
        <f>23+8</f>
        <v>31</v>
      </c>
      <c r="AI856" s="265"/>
    </row>
    <row r="857" spans="1:35" x14ac:dyDescent="0.15">
      <c r="A857" s="395">
        <v>13</v>
      </c>
      <c r="B857" s="534"/>
      <c r="C857" s="535"/>
      <c r="D857" s="535"/>
      <c r="E857" s="536"/>
      <c r="F857" s="47" t="str">
        <f>VLOOKUP($H:$H,型材表!$B$5:$I$245,2,0)</f>
        <v>压线</v>
      </c>
      <c r="G857" s="45" t="s">
        <v>40</v>
      </c>
      <c r="H857" s="207" t="str">
        <f t="shared" si="129"/>
        <v>SN65AY002</v>
      </c>
      <c r="I857" s="207" t="s">
        <v>1070</v>
      </c>
      <c r="J857" s="208">
        <f>IF(G830=65,M838-V857,IF(G830=55,M838-X857,IF(G830=551,M838-Z857,IF(G830=60,M838-AB857,IF(G830=601,M838-AD857,IF(G830=70,M838-AF857,IF(G830=75,M838-AH857)))))))</f>
        <v>1054.8</v>
      </c>
      <c r="K857" s="45">
        <v>2</v>
      </c>
      <c r="L857" s="47">
        <f>VLOOKUP($H:$H,型材表!$B$5:$I$245,4,0)</f>
        <v>0.20399999999999999</v>
      </c>
      <c r="M857" s="46">
        <f t="shared" si="126"/>
        <v>0.43035839999999997</v>
      </c>
      <c r="N857" s="72">
        <f>VLOOKUP($H:$H,型材表!$B$5:$I$245,7,0)</f>
        <v>0</v>
      </c>
      <c r="O857" s="46">
        <f t="shared" si="128"/>
        <v>0</v>
      </c>
      <c r="P857" s="100">
        <f>VLOOKUP($H:$H,型材表!$B$5:$I$245,5,0)</f>
        <v>0.125</v>
      </c>
      <c r="Q857" s="100" t="str">
        <f>VLOOKUP($H:$H,型材表!$B$5:$I$245,6,0)</f>
        <v>非断桥隔热铝型材</v>
      </c>
      <c r="R857" s="210"/>
      <c r="S857" s="50"/>
      <c r="U857" s="374" t="s">
        <v>1133</v>
      </c>
      <c r="V857" s="269">
        <f>8+87.2</f>
        <v>95.2</v>
      </c>
      <c r="W857" s="269"/>
      <c r="X857" s="279">
        <f>8+78</f>
        <v>86</v>
      </c>
      <c r="Y857" s="265"/>
      <c r="Z857" s="279">
        <f>8+78</f>
        <v>86</v>
      </c>
      <c r="AA857" s="265"/>
      <c r="AB857" s="279">
        <f>8+83.2</f>
        <v>91.2</v>
      </c>
      <c r="AC857" s="265"/>
      <c r="AD857" s="279">
        <f>8+83.4</f>
        <v>91.4</v>
      </c>
      <c r="AE857" s="265"/>
      <c r="AF857" s="279">
        <f>8+93.2</f>
        <v>101.2</v>
      </c>
      <c r="AG857" s="265"/>
      <c r="AH857" s="279">
        <f>8+97.2</f>
        <v>105.2</v>
      </c>
      <c r="AI857" s="265"/>
    </row>
    <row r="858" spans="1:35" x14ac:dyDescent="0.15">
      <c r="A858" s="395">
        <v>14</v>
      </c>
      <c r="B858" s="537"/>
      <c r="C858" s="538"/>
      <c r="D858" s="538"/>
      <c r="E858" s="539"/>
      <c r="F858" s="47" t="str">
        <f>VLOOKUP($H:$H,型材表!$B$5:$I$245,2,0)</f>
        <v>压线</v>
      </c>
      <c r="G858" s="45" t="s">
        <v>40</v>
      </c>
      <c r="H858" s="207" t="str">
        <f t="shared" si="129"/>
        <v>SN65AY002</v>
      </c>
      <c r="I858" s="207" t="s">
        <v>1071</v>
      </c>
      <c r="J858" s="46">
        <f>IF(G830=65,M839-V858,IF(G830=55,M839-X858,IF(G830=551,M839-Z858,IF(G830=60,M839-AB858,IF(G830=601,M839-AD858,IF(G830=70,M839-AF858,IF(G830=75,M839-AH858)))))))</f>
        <v>389.8</v>
      </c>
      <c r="K858" s="45">
        <v>4</v>
      </c>
      <c r="L858" s="47">
        <f>VLOOKUP($H:$H,型材表!$B$5:$I$245,4,0)</f>
        <v>0.20399999999999999</v>
      </c>
      <c r="M858" s="46">
        <f t="shared" si="126"/>
        <v>0.31807679999999999</v>
      </c>
      <c r="N858" s="72">
        <f>VLOOKUP($H:$H,型材表!$B$5:$I$245,7,0)</f>
        <v>0</v>
      </c>
      <c r="O858" s="46">
        <f t="shared" si="128"/>
        <v>0</v>
      </c>
      <c r="P858" s="100">
        <f>VLOOKUP($H:$H,型材表!$B$5:$I$245,5,0)</f>
        <v>0.125</v>
      </c>
      <c r="Q858" s="100" t="str">
        <f>VLOOKUP($H:$H,型材表!$B$5:$I$245,6,0)</f>
        <v>非断桥隔热铝型材</v>
      </c>
      <c r="R858" s="49"/>
      <c r="S858" s="50"/>
      <c r="U858" s="374" t="s">
        <v>1134</v>
      </c>
      <c r="V858" s="269">
        <f>87.2+23</f>
        <v>110.2</v>
      </c>
      <c r="W858" s="269"/>
      <c r="X858" s="279">
        <f>78+23</f>
        <v>101</v>
      </c>
      <c r="Y858" s="265"/>
      <c r="Z858" s="279">
        <f>78+23</f>
        <v>101</v>
      </c>
      <c r="AA858" s="265"/>
      <c r="AB858" s="279">
        <f>83.2+23</f>
        <v>106.2</v>
      </c>
      <c r="AC858" s="265"/>
      <c r="AD858" s="279">
        <f>83.4+23</f>
        <v>106.4</v>
      </c>
      <c r="AE858" s="265"/>
      <c r="AF858" s="279">
        <f>93.2+23</f>
        <v>116.2</v>
      </c>
      <c r="AG858" s="265"/>
      <c r="AH858" s="279">
        <f>97.2+23</f>
        <v>120.2</v>
      </c>
      <c r="AI858" s="265"/>
    </row>
    <row r="859" spans="1:35" x14ac:dyDescent="0.15">
      <c r="A859" s="395">
        <v>15</v>
      </c>
      <c r="B859" s="531" t="s">
        <v>44</v>
      </c>
      <c r="C859" s="532"/>
      <c r="D859" s="532"/>
      <c r="E859" s="533"/>
      <c r="F859" s="47" t="str">
        <f>VLOOKUP($H:$H,型材表!$B$5:$I$245,2,0)</f>
        <v>角码</v>
      </c>
      <c r="G859" s="51" t="s">
        <v>446</v>
      </c>
      <c r="H859" s="45" t="str">
        <f>IF(G830=65,"SW55F001","SN55F003")</f>
        <v>SW55F001</v>
      </c>
      <c r="I859" s="45" t="s">
        <v>943</v>
      </c>
      <c r="J859" s="52">
        <f>IF(G830=65,V859,IF(G830=55,X859,IF(G830=551,Z859,IF(G830=60,AB859,IF(G830=601,AD859,IF(G830=70,AF859,IF(G830=75,AH859)))))))</f>
        <v>32.200000000000003</v>
      </c>
      <c r="K859" s="45">
        <f>K845*2</f>
        <v>12</v>
      </c>
      <c r="L859" s="47">
        <f>VLOOKUP($H:$H,型材表!$B$5:$I$245,4,0)</f>
        <v>2.0950000000000002</v>
      </c>
      <c r="M859" s="46">
        <f t="shared" si="126"/>
        <v>0.80950800000000012</v>
      </c>
      <c r="N859" s="72">
        <f>VLOOKUP($H:$H,型材表!$B$5:$I$245,7,0)</f>
        <v>0</v>
      </c>
      <c r="O859" s="46">
        <f t="shared" si="128"/>
        <v>0</v>
      </c>
      <c r="P859" s="100">
        <f>VLOOKUP($H:$H,型材表!$B$5:$I$245,5,0)</f>
        <v>0.125</v>
      </c>
      <c r="Q859" s="100" t="str">
        <f>VLOOKUP($H:$H,型材表!$B$5:$I$245,6,0)</f>
        <v>阳极氧化铝型材</v>
      </c>
      <c r="R859" s="49"/>
      <c r="S859" s="50"/>
      <c r="U859" s="374" t="s">
        <v>943</v>
      </c>
      <c r="V859" s="259">
        <f>19.5-1+14.7-1</f>
        <v>32.200000000000003</v>
      </c>
      <c r="X859" s="264">
        <f>19.5-1+14.7-1</f>
        <v>32.200000000000003</v>
      </c>
      <c r="Y859" s="265"/>
      <c r="Z859" s="264">
        <f>19.5-1+10.9-1</f>
        <v>28.4</v>
      </c>
      <c r="AA859" s="277"/>
      <c r="AB859" s="264">
        <f>19.5-1+14.7-1</f>
        <v>32.200000000000003</v>
      </c>
      <c r="AC859" s="277"/>
      <c r="AD859" s="264">
        <f>19.5-1+10.9-1</f>
        <v>28.4</v>
      </c>
      <c r="AE859" s="277"/>
      <c r="AF859" s="264">
        <f>19.5-1+14.7-1</f>
        <v>32.200000000000003</v>
      </c>
      <c r="AG859" s="277"/>
      <c r="AH859" s="264">
        <f>19.5-1+14.7-1</f>
        <v>32.200000000000003</v>
      </c>
      <c r="AI859" s="265"/>
    </row>
    <row r="860" spans="1:35" x14ac:dyDescent="0.15">
      <c r="A860" s="395">
        <v>16</v>
      </c>
      <c r="B860" s="534"/>
      <c r="C860" s="535"/>
      <c r="D860" s="535"/>
      <c r="E860" s="536"/>
      <c r="F860" s="47" t="str">
        <f>VLOOKUP($H:$H,型材表!$B$5:$I$245,2,0)</f>
        <v>角码</v>
      </c>
      <c r="G860" s="51" t="s">
        <v>447</v>
      </c>
      <c r="H860" s="45" t="str">
        <f>IF(G830=65,"SN55F003","SN55F003")</f>
        <v>SN55F003</v>
      </c>
      <c r="I860" s="45" t="s">
        <v>995</v>
      </c>
      <c r="J860" s="52">
        <f>V860</f>
        <v>27.1</v>
      </c>
      <c r="K860" s="45">
        <v>4</v>
      </c>
      <c r="L860" s="47">
        <f>VLOOKUP($H:$H,型材表!$B$5:$I$245,4,0)</f>
        <v>1.7490000000000001</v>
      </c>
      <c r="M860" s="46">
        <f t="shared" si="126"/>
        <v>0.18959160000000003</v>
      </c>
      <c r="N860" s="72">
        <f>VLOOKUP($H:$H,型材表!$B$5:$I$245,7,0)</f>
        <v>0</v>
      </c>
      <c r="O860" s="46">
        <f t="shared" si="128"/>
        <v>0</v>
      </c>
      <c r="P860" s="100">
        <f>VLOOKUP($H:$H,型材表!$B$5:$I$245,5,0)</f>
        <v>0.125</v>
      </c>
      <c r="Q860" s="100" t="str">
        <f>VLOOKUP($H:$H,型材表!$B$5:$I$245,6,0)</f>
        <v>阳极氧化铝型材</v>
      </c>
      <c r="R860" s="49"/>
      <c r="S860" s="50"/>
      <c r="U860" s="374" t="s">
        <v>995</v>
      </c>
      <c r="V860" s="259">
        <f>28.1-1</f>
        <v>27.1</v>
      </c>
      <c r="X860" s="264"/>
      <c r="Y860" s="265"/>
      <c r="Z860" s="264"/>
      <c r="AA860" s="265"/>
      <c r="AB860" s="264"/>
      <c r="AC860" s="265"/>
      <c r="AD860" s="264"/>
      <c r="AE860" s="265"/>
      <c r="AF860" s="264"/>
      <c r="AG860" s="265"/>
      <c r="AH860" s="264"/>
      <c r="AI860" s="265"/>
    </row>
    <row r="861" spans="1:35" x14ac:dyDescent="0.15">
      <c r="A861" s="395">
        <v>17</v>
      </c>
      <c r="B861" s="534"/>
      <c r="C861" s="535"/>
      <c r="D861" s="535"/>
      <c r="E861" s="536"/>
      <c r="F861" s="47" t="str">
        <f>VLOOKUP($H:$H,型材表!$B$5:$I$245,2,0)</f>
        <v>角码</v>
      </c>
      <c r="G861" s="51" t="s">
        <v>447</v>
      </c>
      <c r="H861" s="45" t="str">
        <f>IF(G830=70,"SW50F002",IF(G830=75,"SW50F002","SN55F003"))</f>
        <v>SN55F003</v>
      </c>
      <c r="I861" s="45" t="s">
        <v>996</v>
      </c>
      <c r="J861" s="52">
        <f>IF(G830=65,V861,IF(G830=55,X861,IF(G830=551,Z861,IF(G830=60,AB861,IF(G830=601,AD861,IF(G830=70,AF861,IF(G830=75,AH861)))))))</f>
        <v>8</v>
      </c>
      <c r="K861" s="45">
        <v>4</v>
      </c>
      <c r="L861" s="47">
        <f>VLOOKUP($H:$H,型材表!$B$5:$I$245,4,0)</f>
        <v>1.7490000000000001</v>
      </c>
      <c r="M861" s="46">
        <f t="shared" si="126"/>
        <v>5.5968000000000004E-2</v>
      </c>
      <c r="N861" s="72">
        <f>VLOOKUP($H:$H,型材表!$B$5:$I$245,7,0)</f>
        <v>0</v>
      </c>
      <c r="O861" s="46">
        <f t="shared" si="128"/>
        <v>0</v>
      </c>
      <c r="P861" s="100">
        <f>VLOOKUP($H:$H,型材表!$B$5:$I$245,5,0)</f>
        <v>0.125</v>
      </c>
      <c r="Q861" s="100" t="str">
        <f>VLOOKUP($H:$H,型材表!$B$5:$I$245,6,0)</f>
        <v>阳极氧化铝型材</v>
      </c>
      <c r="R861" s="49"/>
      <c r="S861" s="50"/>
      <c r="U861" s="374" t="s">
        <v>996</v>
      </c>
      <c r="V861" s="259">
        <f>9-1</f>
        <v>8</v>
      </c>
      <c r="X861" s="264">
        <f>9-1</f>
        <v>8</v>
      </c>
      <c r="Y861" s="265"/>
      <c r="Z861" s="264">
        <f>5.2-1</f>
        <v>4.2</v>
      </c>
      <c r="AA861" s="277"/>
      <c r="AB861" s="264">
        <f>9-1</f>
        <v>8</v>
      </c>
      <c r="AC861" s="277"/>
      <c r="AD861" s="264">
        <f>5.2-1</f>
        <v>4.2</v>
      </c>
      <c r="AE861" s="277"/>
      <c r="AF861" s="264">
        <f>9-1</f>
        <v>8</v>
      </c>
      <c r="AG861" s="277"/>
      <c r="AH861" s="264">
        <f>9-1</f>
        <v>8</v>
      </c>
      <c r="AI861" s="265"/>
    </row>
    <row r="862" spans="1:35" x14ac:dyDescent="0.15">
      <c r="A862" s="395">
        <v>18</v>
      </c>
      <c r="B862" s="534"/>
      <c r="C862" s="535"/>
      <c r="D862" s="535"/>
      <c r="E862" s="536"/>
      <c r="F862" s="47" t="str">
        <f>VLOOKUP($H:$H,型材表!$B$5:$I$245,2,0)</f>
        <v>中梃角码</v>
      </c>
      <c r="G862" s="51"/>
      <c r="H862" s="45" t="str">
        <f>IF(G830=65,"SN55F001","SN55F001")</f>
        <v>SN55F001</v>
      </c>
      <c r="I862" s="45" t="s">
        <v>997</v>
      </c>
      <c r="J862" s="52">
        <f>V862</f>
        <v>18.5</v>
      </c>
      <c r="K862" s="45">
        <v>4</v>
      </c>
      <c r="L862" s="47">
        <f>VLOOKUP($H:$H,型材表!$B$5:$I$245,4,0)</f>
        <v>1.4730000000000001</v>
      </c>
      <c r="M862" s="46">
        <f t="shared" si="126"/>
        <v>0.10900200000000002</v>
      </c>
      <c r="N862" s="72">
        <f>VLOOKUP($H:$H,型材表!$B$5:$I$245,7,0)</f>
        <v>0</v>
      </c>
      <c r="O862" s="46">
        <f t="shared" si="128"/>
        <v>0</v>
      </c>
      <c r="P862" s="100">
        <f>VLOOKUP($H:$H,型材表!$B$5:$I$245,5,0)</f>
        <v>0.125</v>
      </c>
      <c r="Q862" s="100" t="str">
        <f>VLOOKUP($H:$H,型材表!$B$5:$I$245,6,0)</f>
        <v>阳极氧化铝型材</v>
      </c>
      <c r="R862" s="49"/>
      <c r="S862" s="50"/>
      <c r="U862" s="374" t="s">
        <v>997</v>
      </c>
      <c r="V862" s="259">
        <f>19.5-1</f>
        <v>18.5</v>
      </c>
      <c r="X862" s="264"/>
      <c r="Y862" s="265"/>
      <c r="Z862" s="264"/>
      <c r="AA862" s="265"/>
      <c r="AB862" s="264"/>
      <c r="AC862" s="265"/>
      <c r="AD862" s="264"/>
      <c r="AE862" s="265"/>
      <c r="AF862" s="264"/>
      <c r="AG862" s="265"/>
      <c r="AH862" s="264"/>
      <c r="AI862" s="265"/>
    </row>
    <row r="863" spans="1:35" x14ac:dyDescent="0.15">
      <c r="A863" s="395">
        <v>19</v>
      </c>
      <c r="B863" s="534"/>
      <c r="C863" s="535"/>
      <c r="D863" s="535"/>
      <c r="E863" s="536"/>
      <c r="F863" s="47" t="str">
        <f>VLOOKUP($H:$H,型材表!$B$5:$I$245,2,0)</f>
        <v>中梃角码</v>
      </c>
      <c r="G863" s="53"/>
      <c r="H863" s="45" t="str">
        <f>IF(G830=70,"SN70F001",IF(G830=75,"SN70F001",IF(G830=551,"SN55BF001",IF(G830=601,"SN55BF001","SN55F002"))))</f>
        <v>SN55F002</v>
      </c>
      <c r="I863" s="45" t="s">
        <v>939</v>
      </c>
      <c r="J863" s="52">
        <f>V863</f>
        <v>13.5</v>
      </c>
      <c r="K863" s="55">
        <v>4</v>
      </c>
      <c r="L863" s="47">
        <f>VLOOKUP($H:$H,型材表!$B$5:$I$245,4,0)</f>
        <v>0.90400000000000003</v>
      </c>
      <c r="M863" s="46">
        <f t="shared" si="126"/>
        <v>4.8816000000000005E-2</v>
      </c>
      <c r="N863" s="72">
        <f>VLOOKUP($H:$H,型材表!$B$5:$I$245,7,0)</f>
        <v>0</v>
      </c>
      <c r="O863" s="46">
        <f t="shared" si="128"/>
        <v>0</v>
      </c>
      <c r="P863" s="100">
        <f>VLOOKUP($H:$H,型材表!$B$5:$I$245,5,0)</f>
        <v>0.125</v>
      </c>
      <c r="Q863" s="100" t="str">
        <f>VLOOKUP($H:$H,型材表!$B$5:$I$245,6,0)</f>
        <v>阳极氧化铝型材</v>
      </c>
      <c r="R863" s="49"/>
      <c r="S863" s="50"/>
      <c r="U863" s="374" t="s">
        <v>939</v>
      </c>
      <c r="V863" s="259">
        <f>14.5-1</f>
        <v>13.5</v>
      </c>
      <c r="X863" s="264"/>
      <c r="Y863" s="265"/>
      <c r="Z863" s="264"/>
      <c r="AA863" s="265"/>
      <c r="AB863" s="264"/>
      <c r="AC863" s="265"/>
      <c r="AD863" s="264"/>
      <c r="AE863" s="265"/>
      <c r="AF863" s="264"/>
      <c r="AG863" s="265"/>
      <c r="AH863" s="264"/>
      <c r="AI863" s="265"/>
    </row>
    <row r="864" spans="1:35" x14ac:dyDescent="0.15">
      <c r="A864" s="395">
        <v>20</v>
      </c>
      <c r="B864" s="534"/>
      <c r="C864" s="535"/>
      <c r="D864" s="535"/>
      <c r="E864" s="536"/>
      <c r="F864" s="306"/>
      <c r="G864" s="53"/>
      <c r="H864" s="207"/>
      <c r="I864" s="207"/>
      <c r="J864" s="214"/>
      <c r="K864" s="55"/>
      <c r="L864" s="306"/>
      <c r="M864" s="208"/>
      <c r="N864" s="432"/>
      <c r="O864" s="208"/>
      <c r="P864" s="433"/>
      <c r="Q864" s="360"/>
      <c r="R864" s="60"/>
      <c r="S864" s="50"/>
      <c r="X864" s="264"/>
      <c r="Y864" s="265"/>
      <c r="Z864" s="264"/>
      <c r="AA864" s="265"/>
      <c r="AB864" s="264"/>
      <c r="AC864" s="265"/>
      <c r="AD864" s="264"/>
      <c r="AE864" s="265"/>
      <c r="AF864" s="264"/>
      <c r="AG864" s="265"/>
      <c r="AH864" s="264"/>
      <c r="AI864" s="265"/>
    </row>
    <row r="865" spans="1:35" x14ac:dyDescent="0.15">
      <c r="A865" s="395">
        <v>21</v>
      </c>
      <c r="B865" s="537"/>
      <c r="C865" s="538"/>
      <c r="D865" s="538"/>
      <c r="E865" s="539"/>
      <c r="F865" s="306"/>
      <c r="G865" s="53"/>
      <c r="H865" s="207"/>
      <c r="I865" s="207"/>
      <c r="J865" s="214"/>
      <c r="K865" s="55"/>
      <c r="L865" s="306"/>
      <c r="M865" s="208"/>
      <c r="N865" s="432"/>
      <c r="O865" s="208"/>
      <c r="P865" s="433"/>
      <c r="Q865" s="360"/>
      <c r="R865" s="60"/>
      <c r="S865" s="50"/>
      <c r="X865" s="264"/>
      <c r="Y865" s="265"/>
      <c r="Z865" s="264"/>
      <c r="AA865" s="265"/>
      <c r="AB865" s="264"/>
      <c r="AC865" s="265"/>
      <c r="AD865" s="264"/>
      <c r="AE865" s="265"/>
      <c r="AF865" s="264"/>
      <c r="AG865" s="265"/>
      <c r="AH865" s="264"/>
      <c r="AI865" s="265"/>
    </row>
    <row r="866" spans="1:35" x14ac:dyDescent="0.15">
      <c r="A866" s="563" t="s">
        <v>877</v>
      </c>
      <c r="B866" s="563"/>
      <c r="C866" s="563"/>
      <c r="D866" s="564"/>
      <c r="E866" s="564"/>
      <c r="F866" s="563"/>
      <c r="G866" s="563"/>
      <c r="H866" s="563"/>
      <c r="I866" s="563"/>
      <c r="J866" s="563"/>
      <c r="K866" s="563"/>
      <c r="L866" s="563"/>
      <c r="M866" s="46">
        <f>SUMIF($Q$707:$Q$725,A866,$M$707:$M$725)</f>
        <v>21.747014</v>
      </c>
      <c r="N866" s="58"/>
      <c r="O866" s="46"/>
      <c r="P866" s="59"/>
      <c r="Q866" s="336"/>
      <c r="R866" s="60"/>
      <c r="S866" s="50"/>
      <c r="X866" s="264"/>
      <c r="Y866" s="265"/>
      <c r="Z866" s="264"/>
      <c r="AA866" s="265"/>
      <c r="AB866" s="264"/>
      <c r="AC866" s="265"/>
      <c r="AD866" s="264"/>
      <c r="AE866" s="265"/>
      <c r="AF866" s="264"/>
      <c r="AG866" s="265"/>
      <c r="AH866" s="264"/>
      <c r="AI866" s="265"/>
    </row>
    <row r="867" spans="1:35" x14ac:dyDescent="0.15">
      <c r="A867" s="563" t="s">
        <v>879</v>
      </c>
      <c r="B867" s="563"/>
      <c r="C867" s="563"/>
      <c r="D867" s="564"/>
      <c r="E867" s="564"/>
      <c r="F867" s="563"/>
      <c r="G867" s="563"/>
      <c r="H867" s="563"/>
      <c r="I867" s="563"/>
      <c r="J867" s="563"/>
      <c r="K867" s="563"/>
      <c r="L867" s="563"/>
      <c r="M867" s="46">
        <f>SUMIF($Q$707:$Q$725,A867,$M$707:$M$725)</f>
        <v>3.1340111999999998</v>
      </c>
      <c r="N867" s="58"/>
      <c r="O867" s="46"/>
      <c r="P867" s="59"/>
      <c r="Q867" s="336"/>
      <c r="R867" s="60"/>
      <c r="S867" s="50"/>
      <c r="X867" s="264"/>
      <c r="Y867" s="265"/>
      <c r="Z867" s="264"/>
      <c r="AA867" s="265"/>
      <c r="AB867" s="264"/>
      <c r="AC867" s="265"/>
      <c r="AD867" s="264"/>
      <c r="AE867" s="265"/>
      <c r="AF867" s="264"/>
      <c r="AG867" s="265"/>
      <c r="AH867" s="264"/>
      <c r="AI867" s="265"/>
    </row>
    <row r="868" spans="1:35" x14ac:dyDescent="0.15">
      <c r="A868" s="563" t="s">
        <v>880</v>
      </c>
      <c r="B868" s="563"/>
      <c r="C868" s="563"/>
      <c r="D868" s="564"/>
      <c r="E868" s="564"/>
      <c r="F868" s="563"/>
      <c r="G868" s="563"/>
      <c r="H868" s="563"/>
      <c r="I868" s="563"/>
      <c r="J868" s="563"/>
      <c r="K868" s="563"/>
      <c r="L868" s="563"/>
      <c r="M868" s="46">
        <f>SUMIF($Q$707:$Q$725,A868,$M$707:$M$725)</f>
        <v>0.94304960000000015</v>
      </c>
      <c r="N868" s="58"/>
      <c r="O868" s="46"/>
      <c r="P868" s="59"/>
      <c r="Q868" s="336"/>
      <c r="R868" s="60"/>
      <c r="S868" s="50"/>
      <c r="X868" s="264"/>
      <c r="Y868" s="265"/>
      <c r="Z868" s="264"/>
      <c r="AA868" s="265"/>
      <c r="AB868" s="264"/>
      <c r="AC868" s="265"/>
      <c r="AD868" s="264"/>
      <c r="AE868" s="265"/>
      <c r="AF868" s="264"/>
      <c r="AG868" s="265"/>
      <c r="AH868" s="264"/>
      <c r="AI868" s="265"/>
    </row>
    <row r="869" spans="1:35" x14ac:dyDescent="0.15">
      <c r="A869" s="61"/>
      <c r="B869" s="552"/>
      <c r="C869" s="557"/>
      <c r="D869" s="557"/>
      <c r="E869" s="553"/>
      <c r="F869" s="552" t="s">
        <v>48</v>
      </c>
      <c r="G869" s="557"/>
      <c r="H869" s="557"/>
      <c r="I869" s="557"/>
      <c r="J869" s="557"/>
      <c r="K869" s="557"/>
      <c r="L869" s="553"/>
      <c r="M869" s="62">
        <f>SUM(M866:M868)</f>
        <v>25.824074799999998</v>
      </c>
      <c r="N869" s="63"/>
      <c r="O869" s="62">
        <f>SUM(O845:O863)</f>
        <v>0</v>
      </c>
      <c r="P869" s="63"/>
      <c r="Q869" s="337"/>
      <c r="R869" s="64"/>
      <c r="S869" s="64"/>
      <c r="X869" s="264"/>
      <c r="Y869" s="265"/>
      <c r="Z869" s="264"/>
      <c r="AA869" s="265"/>
      <c r="AB869" s="264"/>
      <c r="AC869" s="265"/>
      <c r="AD869" s="264"/>
      <c r="AE869" s="265"/>
      <c r="AF869" s="264"/>
      <c r="AG869" s="265"/>
      <c r="AH869" s="264"/>
      <c r="AI869" s="265"/>
    </row>
    <row r="870" spans="1:35" ht="24" x14ac:dyDescent="0.15">
      <c r="A870" s="65"/>
      <c r="B870" s="560" t="s">
        <v>49</v>
      </c>
      <c r="C870" s="561"/>
      <c r="D870" s="561"/>
      <c r="E870" s="562"/>
      <c r="F870" s="565" t="s">
        <v>26</v>
      </c>
      <c r="G870" s="566"/>
      <c r="H870" s="66" t="s">
        <v>948</v>
      </c>
      <c r="I870" s="66" t="s">
        <v>949</v>
      </c>
      <c r="J870" s="66" t="s">
        <v>50</v>
      </c>
      <c r="K870" s="66" t="s">
        <v>51</v>
      </c>
      <c r="L870" s="67" t="s">
        <v>30</v>
      </c>
      <c r="M870" s="66" t="s">
        <v>52</v>
      </c>
      <c r="N870" s="68" t="s">
        <v>53</v>
      </c>
      <c r="O870" s="68" t="s">
        <v>34</v>
      </c>
      <c r="P870" s="69" t="s">
        <v>35</v>
      </c>
      <c r="Q870" s="42"/>
      <c r="R870" s="67"/>
      <c r="S870" s="67"/>
      <c r="V870" s="270" t="s">
        <v>352</v>
      </c>
      <c r="W870" s="270" t="s">
        <v>353</v>
      </c>
      <c r="X870" s="271" t="s">
        <v>352</v>
      </c>
      <c r="Y870" s="272" t="s">
        <v>353</v>
      </c>
      <c r="Z870" s="271" t="s">
        <v>352</v>
      </c>
      <c r="AA870" s="272" t="s">
        <v>353</v>
      </c>
      <c r="AB870" s="271" t="s">
        <v>352</v>
      </c>
      <c r="AC870" s="272" t="s">
        <v>353</v>
      </c>
      <c r="AD870" s="271" t="s">
        <v>352</v>
      </c>
      <c r="AE870" s="272" t="s">
        <v>353</v>
      </c>
      <c r="AF870" s="271" t="s">
        <v>352</v>
      </c>
      <c r="AG870" s="272" t="s">
        <v>353</v>
      </c>
      <c r="AH870" s="271" t="s">
        <v>352</v>
      </c>
      <c r="AI870" s="272" t="s">
        <v>353</v>
      </c>
    </row>
    <row r="871" spans="1:35" ht="16.5" customHeight="1" x14ac:dyDescent="0.15">
      <c r="A871" s="382">
        <v>1</v>
      </c>
      <c r="B871" s="545" t="s">
        <v>133</v>
      </c>
      <c r="C871" s="546"/>
      <c r="D871" s="546"/>
      <c r="E871" s="547"/>
      <c r="F871" s="545" t="s">
        <v>55</v>
      </c>
      <c r="G871" s="547"/>
      <c r="H871" s="45" t="s">
        <v>1466</v>
      </c>
      <c r="I871" s="45" t="s">
        <v>1046</v>
      </c>
      <c r="J871" s="46">
        <f>IF(G830=65,M837-V871-V846/2,IF(G830=55,M837-X871-X846/2,IF(G830=551,M837-Z871-Z846/2,IF(G830=60,M837-AB871-AB846/2,IF(G830=601,M837-AD871-AD846/2,IF(G830=70,M837-AF871-AF846/2,IF(G830=75,M837-AH871-AH846/2)))))))</f>
        <v>560.79999999999995</v>
      </c>
      <c r="K871" s="70">
        <f>IF(G830=65,M834-W871,IF(G830=55,M834-Y871,IF(G830=551,M837-AA871,IF(G830=60,M837-AC871,IF(G830=601,M837-AE871,IF(G830=70,M837-AG871,IF(G830=75,M837-AI871)))))))</f>
        <v>1075</v>
      </c>
      <c r="L871" s="70">
        <v>1</v>
      </c>
      <c r="M871" s="46">
        <f>J871*K871*L871/1000000</f>
        <v>0.60285999999999995</v>
      </c>
      <c r="N871" s="46"/>
      <c r="O871" s="46">
        <f>N871*M871</f>
        <v>0</v>
      </c>
      <c r="P871" s="71"/>
      <c r="Q871" s="240"/>
      <c r="R871" s="72"/>
      <c r="S871" s="72"/>
      <c r="T871" s="456" t="s">
        <v>1595</v>
      </c>
      <c r="U871" s="374" t="s">
        <v>1600</v>
      </c>
      <c r="V871" s="259">
        <f>70+55</f>
        <v>125</v>
      </c>
      <c r="W871" s="259">
        <f>70+55</f>
        <v>125</v>
      </c>
      <c r="X871" s="264">
        <f t="shared" ref="X871:AI871" si="130">72+57</f>
        <v>129</v>
      </c>
      <c r="Y871" s="265">
        <f t="shared" si="130"/>
        <v>129</v>
      </c>
      <c r="Z871" s="264">
        <f t="shared" si="130"/>
        <v>129</v>
      </c>
      <c r="AA871" s="265">
        <f t="shared" si="130"/>
        <v>129</v>
      </c>
      <c r="AB871" s="264">
        <f t="shared" si="130"/>
        <v>129</v>
      </c>
      <c r="AC871" s="265">
        <f t="shared" si="130"/>
        <v>129</v>
      </c>
      <c r="AD871" s="264">
        <f t="shared" si="130"/>
        <v>129</v>
      </c>
      <c r="AE871" s="265">
        <f t="shared" si="130"/>
        <v>129</v>
      </c>
      <c r="AF871" s="264">
        <f t="shared" si="130"/>
        <v>129</v>
      </c>
      <c r="AG871" s="265">
        <f t="shared" si="130"/>
        <v>129</v>
      </c>
      <c r="AH871" s="264">
        <f t="shared" si="130"/>
        <v>129</v>
      </c>
      <c r="AI871" s="265">
        <f t="shared" si="130"/>
        <v>129</v>
      </c>
    </row>
    <row r="872" spans="1:35" x14ac:dyDescent="0.15">
      <c r="A872" s="382">
        <v>2</v>
      </c>
      <c r="B872" s="545" t="s">
        <v>824</v>
      </c>
      <c r="C872" s="546"/>
      <c r="D872" s="546"/>
      <c r="E872" s="547"/>
      <c r="F872" s="545" t="s">
        <v>135</v>
      </c>
      <c r="G872" s="547"/>
      <c r="H872" s="45" t="s">
        <v>1465</v>
      </c>
      <c r="I872" s="45" t="s">
        <v>1047</v>
      </c>
      <c r="J872" s="46">
        <f>IF(G830=65,M837-V872-V846/2,IF(G830=55,M837-X872-X846/2,IF(G830=551,M837-Z872-Z846/2,IF(G830=60,M837-AB872-AB846/2,IF(G830=601,M837-AD872-AD846/2,IF(G830=70,M837-AF872-AF846/2,IF(G830=75,M837-AH872-AH846/2)))))))</f>
        <v>634.79999999999995</v>
      </c>
      <c r="K872" s="70">
        <f>IF(G830=65,M835-W872,IF(G830=55,M835-Y872,IF(G830=551,M835-AA872,IF(G830=60,M835-AC872,IF(G830=601,M835-AE872,IF(G830=70,M835-AG872,IF(G830=75,M835-AI872)))))))</f>
        <v>449</v>
      </c>
      <c r="L872" s="70">
        <v>1</v>
      </c>
      <c r="M872" s="46">
        <f>J872*K872*L872/1000000</f>
        <v>0.28502519999999998</v>
      </c>
      <c r="N872" s="46"/>
      <c r="O872" s="46">
        <f>N872*M872</f>
        <v>0</v>
      </c>
      <c r="P872" s="71"/>
      <c r="Q872" s="240"/>
      <c r="R872" s="72"/>
      <c r="S872" s="72"/>
      <c r="T872" s="456" t="s">
        <v>1602</v>
      </c>
      <c r="U872" s="374" t="s">
        <v>1601</v>
      </c>
      <c r="V872" s="259">
        <f>33+18</f>
        <v>51</v>
      </c>
      <c r="W872" s="259">
        <f>33+18</f>
        <v>51</v>
      </c>
      <c r="X872" s="264">
        <f t="shared" ref="X872:AI872" si="131">35+20</f>
        <v>55</v>
      </c>
      <c r="Y872" s="265">
        <f t="shared" si="131"/>
        <v>55</v>
      </c>
      <c r="Z872" s="264">
        <f t="shared" si="131"/>
        <v>55</v>
      </c>
      <c r="AA872" s="265">
        <f t="shared" si="131"/>
        <v>55</v>
      </c>
      <c r="AB872" s="264">
        <f t="shared" si="131"/>
        <v>55</v>
      </c>
      <c r="AC872" s="265">
        <f t="shared" si="131"/>
        <v>55</v>
      </c>
      <c r="AD872" s="264">
        <f t="shared" si="131"/>
        <v>55</v>
      </c>
      <c r="AE872" s="265">
        <f t="shared" si="131"/>
        <v>55</v>
      </c>
      <c r="AF872" s="264">
        <f t="shared" si="131"/>
        <v>55</v>
      </c>
      <c r="AG872" s="265">
        <f t="shared" si="131"/>
        <v>55</v>
      </c>
      <c r="AH872" s="264">
        <f t="shared" si="131"/>
        <v>55</v>
      </c>
      <c r="AI872" s="265">
        <f t="shared" si="131"/>
        <v>55</v>
      </c>
    </row>
    <row r="873" spans="1:35" x14ac:dyDescent="0.15">
      <c r="A873" s="382">
        <v>3</v>
      </c>
      <c r="B873" s="545" t="s">
        <v>824</v>
      </c>
      <c r="C873" s="546"/>
      <c r="D873" s="546"/>
      <c r="E873" s="547"/>
      <c r="F873" s="545" t="s">
        <v>145</v>
      </c>
      <c r="G873" s="547"/>
      <c r="H873" s="45" t="s">
        <v>1072</v>
      </c>
      <c r="I873" s="45" t="s">
        <v>1065</v>
      </c>
      <c r="J873" s="46">
        <f>IF(G830=65,M838-V873,IF(G830=55,M838-X873,IF(G830=551,M838-Z873,IF(G830=60,M838-AB873,IF(G830=601,M838-AD873,IF(G830=70,M838-AF873,IF(G830=75,M838-AH873)))))))</f>
        <v>1034.8</v>
      </c>
      <c r="K873" s="70">
        <f>IF(G830=65,M832-W873,IF(G830=55,M832-Y873,IF(G830=551,M832-AA873,IF(G830=60,M832-AC873,IF(G830=601,M832-AE873,IF(G830=70,M832-AG873,IF(G830=75,M832-AI873)))))))</f>
        <v>1634</v>
      </c>
      <c r="L873" s="70">
        <v>1</v>
      </c>
      <c r="M873" s="46">
        <f>J873*K873*L873/1000000</f>
        <v>1.6908631999999999</v>
      </c>
      <c r="N873" s="46"/>
      <c r="O873" s="46">
        <f>N873*M873</f>
        <v>0</v>
      </c>
      <c r="P873" s="48"/>
      <c r="Q873" s="211"/>
      <c r="R873" s="73"/>
      <c r="S873" s="73"/>
      <c r="T873" s="456" t="s">
        <v>1608</v>
      </c>
      <c r="U873" s="374" t="s">
        <v>1604</v>
      </c>
      <c r="V873" s="259">
        <f>18+97.2</f>
        <v>115.2</v>
      </c>
      <c r="W873" s="259">
        <f>33*2</f>
        <v>66</v>
      </c>
      <c r="X873" s="264">
        <f>20+90</f>
        <v>110</v>
      </c>
      <c r="Y873" s="265">
        <f>35*2</f>
        <v>70</v>
      </c>
      <c r="Z873" s="264">
        <f>20+90</f>
        <v>110</v>
      </c>
      <c r="AA873" s="265">
        <f>35*2</f>
        <v>70</v>
      </c>
      <c r="AB873" s="264">
        <f>20+95.2</f>
        <v>115.2</v>
      </c>
      <c r="AC873" s="265">
        <f>35*2</f>
        <v>70</v>
      </c>
      <c r="AD873" s="264">
        <f>20+95.4</f>
        <v>115.4</v>
      </c>
      <c r="AE873" s="265">
        <f>35*2</f>
        <v>70</v>
      </c>
      <c r="AF873" s="264">
        <f>20+105.2</f>
        <v>125.2</v>
      </c>
      <c r="AG873" s="265">
        <f>35*2</f>
        <v>70</v>
      </c>
      <c r="AH873" s="264">
        <f>20+109.2</f>
        <v>129.19999999999999</v>
      </c>
      <c r="AI873" s="265">
        <f>35*2</f>
        <v>70</v>
      </c>
    </row>
    <row r="874" spans="1:35" x14ac:dyDescent="0.15">
      <c r="A874" s="382">
        <v>4</v>
      </c>
      <c r="B874" s="545" t="s">
        <v>824</v>
      </c>
      <c r="C874" s="546"/>
      <c r="D874" s="546"/>
      <c r="E874" s="547"/>
      <c r="F874" s="545" t="s">
        <v>147</v>
      </c>
      <c r="G874" s="547"/>
      <c r="H874" s="45" t="s">
        <v>1073</v>
      </c>
      <c r="I874" s="45" t="s">
        <v>1065</v>
      </c>
      <c r="J874" s="46">
        <f>IF(G830=65,M839-V874,IF(G830=55,M839-X874,IF(G830=551,M839-Z874,IF(G830=60,M839-AB874,IF(G830=601,M839-AD874,IF(G830=70,M839-AF874,IF(G830=75,M839-AH874)))))))</f>
        <v>369.8</v>
      </c>
      <c r="K874" s="70">
        <f>IF(G830=65,M832-W874,IF(G830=55,M832-Y874,IF(G830=551,M832-AA874,IF(G830=60,M832-AC874,IF(G830=601,M832-AE874,IF(G830=70,M832-AG874,IF(G830=75,M832-AI874)))))))</f>
        <v>1634</v>
      </c>
      <c r="L874" s="70">
        <v>2</v>
      </c>
      <c r="M874" s="46">
        <f>J874*K874*L874/1000000</f>
        <v>1.2085064000000001</v>
      </c>
      <c r="N874" s="46"/>
      <c r="O874" s="46">
        <f>N874*M874</f>
        <v>0</v>
      </c>
      <c r="P874" s="59"/>
      <c r="Q874" s="336"/>
      <c r="R874" s="117"/>
      <c r="S874" s="117"/>
      <c r="T874" s="456" t="s">
        <v>1609</v>
      </c>
      <c r="U874" s="374" t="s">
        <v>1604</v>
      </c>
      <c r="V874" s="259">
        <f>33+97.2</f>
        <v>130.19999999999999</v>
      </c>
      <c r="W874" s="259">
        <f>33*2</f>
        <v>66</v>
      </c>
      <c r="X874" s="264">
        <f>90+35</f>
        <v>125</v>
      </c>
      <c r="Y874" s="265">
        <f>35*2</f>
        <v>70</v>
      </c>
      <c r="Z874" s="264">
        <f>90+35</f>
        <v>125</v>
      </c>
      <c r="AA874" s="265">
        <f>35*2</f>
        <v>70</v>
      </c>
      <c r="AB874" s="264">
        <f>95.2+35</f>
        <v>130.19999999999999</v>
      </c>
      <c r="AC874" s="265">
        <f>35*2</f>
        <v>70</v>
      </c>
      <c r="AD874" s="264">
        <f>95.4+35</f>
        <v>130.4</v>
      </c>
      <c r="AE874" s="265">
        <f>35*2</f>
        <v>70</v>
      </c>
      <c r="AF874" s="264">
        <f>105.2+35</f>
        <v>140.19999999999999</v>
      </c>
      <c r="AG874" s="265">
        <f>35*2</f>
        <v>70</v>
      </c>
      <c r="AH874" s="264">
        <f>109.2+35</f>
        <v>144.19999999999999</v>
      </c>
      <c r="AI874" s="265">
        <f>35*2</f>
        <v>70</v>
      </c>
    </row>
    <row r="875" spans="1:35" x14ac:dyDescent="0.15">
      <c r="A875" s="396"/>
      <c r="B875" s="545"/>
      <c r="C875" s="546"/>
      <c r="D875" s="546"/>
      <c r="E875" s="547"/>
      <c r="F875" s="434"/>
      <c r="G875" s="436"/>
      <c r="H875" s="207"/>
      <c r="I875" s="207"/>
      <c r="J875" s="208"/>
      <c r="K875" s="239"/>
      <c r="L875" s="239"/>
      <c r="M875" s="208"/>
      <c r="N875" s="208"/>
      <c r="O875" s="208"/>
      <c r="P875" s="437"/>
      <c r="Q875" s="336"/>
      <c r="R875" s="117"/>
      <c r="S875" s="117"/>
      <c r="X875" s="265"/>
      <c r="Y875" s="265"/>
      <c r="Z875" s="265"/>
      <c r="AA875" s="265"/>
      <c r="AB875" s="265"/>
      <c r="AC875" s="265"/>
      <c r="AD875" s="265"/>
      <c r="AE875" s="265"/>
      <c r="AF875" s="265"/>
      <c r="AG875" s="265"/>
      <c r="AH875" s="265"/>
      <c r="AI875" s="265"/>
    </row>
    <row r="876" spans="1:35" x14ac:dyDescent="0.15">
      <c r="A876" s="396"/>
      <c r="B876" s="545"/>
      <c r="C876" s="546"/>
      <c r="D876" s="546"/>
      <c r="E876" s="547"/>
      <c r="F876" s="434"/>
      <c r="G876" s="436"/>
      <c r="H876" s="207"/>
      <c r="I876" s="207"/>
      <c r="J876" s="208"/>
      <c r="K876" s="239"/>
      <c r="L876" s="239"/>
      <c r="M876" s="208"/>
      <c r="N876" s="208"/>
      <c r="O876" s="208"/>
      <c r="P876" s="437"/>
      <c r="Q876" s="336"/>
      <c r="R876" s="117"/>
      <c r="S876" s="117"/>
      <c r="X876" s="265"/>
      <c r="Y876" s="265"/>
      <c r="Z876" s="265"/>
      <c r="AA876" s="265"/>
      <c r="AB876" s="265"/>
      <c r="AC876" s="265"/>
      <c r="AD876" s="265"/>
      <c r="AE876" s="265"/>
      <c r="AF876" s="265"/>
      <c r="AG876" s="265"/>
      <c r="AH876" s="265"/>
      <c r="AI876" s="265"/>
    </row>
    <row r="877" spans="1:35" x14ac:dyDescent="0.15">
      <c r="A877" s="74"/>
      <c r="B877" s="552"/>
      <c r="C877" s="557"/>
      <c r="D877" s="557"/>
      <c r="E877" s="553"/>
      <c r="F877" s="554" t="s">
        <v>56</v>
      </c>
      <c r="G877" s="554"/>
      <c r="H877" s="554"/>
      <c r="I877" s="554"/>
      <c r="J877" s="570"/>
      <c r="K877" s="570"/>
      <c r="L877" s="554"/>
      <c r="M877" s="62">
        <f>SUM(M871:M876)</f>
        <v>3.7872547999999999</v>
      </c>
      <c r="N877" s="380"/>
      <c r="O877" s="62">
        <f>SUM(O871:O876)</f>
        <v>0</v>
      </c>
      <c r="P877" s="63" t="s">
        <v>57</v>
      </c>
      <c r="Q877" s="337"/>
      <c r="R877" s="64"/>
      <c r="S877" s="64"/>
    </row>
    <row r="878" spans="1:35" ht="24" x14ac:dyDescent="0.15">
      <c r="A878" s="65"/>
      <c r="B878" s="560" t="s">
        <v>58</v>
      </c>
      <c r="C878" s="561"/>
      <c r="D878" s="561"/>
      <c r="E878" s="562"/>
      <c r="F878" s="565" t="s">
        <v>26</v>
      </c>
      <c r="G878" s="566"/>
      <c r="H878" s="66" t="s">
        <v>59</v>
      </c>
      <c r="I878" s="66"/>
      <c r="J878" s="66" t="s">
        <v>60</v>
      </c>
      <c r="K878" s="66" t="s">
        <v>6</v>
      </c>
      <c r="L878" s="67" t="s">
        <v>61</v>
      </c>
      <c r="M878" s="66" t="s">
        <v>30</v>
      </c>
      <c r="N878" s="68" t="s">
        <v>62</v>
      </c>
      <c r="O878" s="68" t="s">
        <v>34</v>
      </c>
      <c r="P878" s="69" t="s">
        <v>57</v>
      </c>
      <c r="Q878" s="42"/>
      <c r="R878" s="67"/>
      <c r="S878" s="67"/>
    </row>
    <row r="879" spans="1:35" ht="25.5" customHeight="1" x14ac:dyDescent="0.15">
      <c r="A879" s="382">
        <v>1</v>
      </c>
      <c r="B879" s="545"/>
      <c r="C879" s="546"/>
      <c r="D879" s="546"/>
      <c r="E879" s="547"/>
      <c r="F879" s="545" t="s">
        <v>63</v>
      </c>
      <c r="G879" s="547"/>
      <c r="H879" s="45"/>
      <c r="I879" s="45"/>
      <c r="J879" s="45"/>
      <c r="K879" s="46" t="str">
        <f>VLOOKUP($F:$F,材料单价表!$B$3:$G$42,4,0)</f>
        <v>套</v>
      </c>
      <c r="L879" s="72"/>
      <c r="M879" s="46">
        <v>1</v>
      </c>
      <c r="N879" s="46">
        <f>VLOOKUP($F:$F,材料单价表!$B$3:$G$42,5,0)</f>
        <v>0</v>
      </c>
      <c r="O879" s="46">
        <f t="shared" ref="O879" si="132">N879*M879</f>
        <v>0</v>
      </c>
      <c r="P879" s="48"/>
      <c r="Q879" s="211"/>
      <c r="R879" s="73"/>
      <c r="S879" s="73"/>
    </row>
    <row r="880" spans="1:35" x14ac:dyDescent="0.15">
      <c r="A880" s="74"/>
      <c r="B880" s="552"/>
      <c r="C880" s="557"/>
      <c r="D880" s="557"/>
      <c r="E880" s="553"/>
      <c r="F880" s="554" t="s">
        <v>64</v>
      </c>
      <c r="G880" s="554"/>
      <c r="H880" s="554"/>
      <c r="I880" s="554"/>
      <c r="J880" s="570"/>
      <c r="K880" s="570"/>
      <c r="L880" s="554"/>
      <c r="M880" s="62">
        <f>M879</f>
        <v>1</v>
      </c>
      <c r="N880" s="380"/>
      <c r="O880" s="62">
        <f>SUM(O879:O879)</f>
        <v>0</v>
      </c>
      <c r="P880" s="63" t="s">
        <v>57</v>
      </c>
      <c r="Q880" s="337"/>
      <c r="R880" s="64"/>
      <c r="S880" s="64"/>
    </row>
    <row r="881" spans="1:23" ht="24" x14ac:dyDescent="0.15">
      <c r="A881" s="65"/>
      <c r="B881" s="560" t="s">
        <v>65</v>
      </c>
      <c r="C881" s="561"/>
      <c r="D881" s="561"/>
      <c r="E881" s="562"/>
      <c r="F881" s="565" t="s">
        <v>26</v>
      </c>
      <c r="G881" s="566"/>
      <c r="H881" s="66" t="s">
        <v>59</v>
      </c>
      <c r="I881" s="66"/>
      <c r="J881" s="66" t="s">
        <v>60</v>
      </c>
      <c r="K881" s="66" t="s">
        <v>6</v>
      </c>
      <c r="L881" s="67" t="s">
        <v>61</v>
      </c>
      <c r="M881" s="66" t="s">
        <v>30</v>
      </c>
      <c r="N881" s="68" t="s">
        <v>62</v>
      </c>
      <c r="O881" s="68" t="s">
        <v>34</v>
      </c>
      <c r="P881" s="69" t="s">
        <v>57</v>
      </c>
      <c r="Q881" s="42"/>
      <c r="R881" s="67"/>
      <c r="S881" s="67"/>
    </row>
    <row r="882" spans="1:23" ht="13.5" customHeight="1" x14ac:dyDescent="0.15">
      <c r="A882" s="76">
        <v>1</v>
      </c>
      <c r="B882" s="545"/>
      <c r="C882" s="546"/>
      <c r="D882" s="546"/>
      <c r="E882" s="547"/>
      <c r="F882" s="558" t="s">
        <v>66</v>
      </c>
      <c r="G882" s="559"/>
      <c r="H882" s="78"/>
      <c r="I882" s="78"/>
      <c r="J882" s="77"/>
      <c r="K882" s="46" t="str">
        <f>VLOOKUP($F:$F,材料单价表!$B$3:$G$42,4,0)</f>
        <v>m</v>
      </c>
      <c r="L882" s="46"/>
      <c r="M882" s="80">
        <f>M843</f>
        <v>9.6</v>
      </c>
      <c r="N882" s="46">
        <f>VLOOKUP($F:$F,材料单价表!$B$3:$G$42,5,0)</f>
        <v>0</v>
      </c>
      <c r="O882" s="46">
        <f>N882*M882</f>
        <v>0</v>
      </c>
      <c r="P882" s="48"/>
      <c r="Q882" s="59"/>
      <c r="R882" s="81"/>
      <c r="S882" s="79"/>
    </row>
    <row r="883" spans="1:23" ht="15.75" customHeight="1" x14ac:dyDescent="0.15">
      <c r="A883" s="76">
        <v>2</v>
      </c>
      <c r="B883" s="545"/>
      <c r="C883" s="546"/>
      <c r="D883" s="546"/>
      <c r="E883" s="547"/>
      <c r="F883" s="558" t="s">
        <v>68</v>
      </c>
      <c r="G883" s="559"/>
      <c r="H883" s="78" t="s">
        <v>67</v>
      </c>
      <c r="I883" s="78"/>
      <c r="J883" s="77"/>
      <c r="K883" s="46" t="str">
        <f>VLOOKUP($F:$F,材料单价表!$B$3:$G$42,4,0)</f>
        <v>m</v>
      </c>
      <c r="L883" s="46"/>
      <c r="M883" s="80">
        <f>(J852*K852+J858*K858+J853*K853+J854*K854+J855*K855+J856*K856+J857*K857)/1000*2</f>
        <v>38.3232</v>
      </c>
      <c r="N883" s="46">
        <f>VLOOKUP($F:$F,材料单价表!$B$3:$G$42,5,0)</f>
        <v>0</v>
      </c>
      <c r="O883" s="46">
        <f t="shared" ref="O883:O889" si="133">N883*M883</f>
        <v>0</v>
      </c>
      <c r="P883" s="48"/>
      <c r="Q883" s="59"/>
      <c r="R883" s="81"/>
      <c r="S883" s="79"/>
      <c r="V883" s="104"/>
      <c r="W883" s="104"/>
    </row>
    <row r="884" spans="1:23" ht="13.5" customHeight="1" x14ac:dyDescent="0.15">
      <c r="A884" s="76">
        <v>3</v>
      </c>
      <c r="B884" s="545"/>
      <c r="C884" s="546"/>
      <c r="D884" s="546"/>
      <c r="E884" s="547"/>
      <c r="F884" s="558" t="s">
        <v>68</v>
      </c>
      <c r="G884" s="559"/>
      <c r="H884" s="78" t="s">
        <v>69</v>
      </c>
      <c r="I884" s="78"/>
      <c r="J884" s="77"/>
      <c r="K884" s="46" t="str">
        <f>VLOOKUP($F:$F,材料单价表!$B$3:$G$42,4,0)</f>
        <v>m</v>
      </c>
      <c r="L884" s="46"/>
      <c r="M884" s="80">
        <f>M843</f>
        <v>9.6</v>
      </c>
      <c r="N884" s="46">
        <f>VLOOKUP($F:$F,材料单价表!$B$3:$G$42,5,0)</f>
        <v>0</v>
      </c>
      <c r="O884" s="46">
        <f t="shared" si="133"/>
        <v>0</v>
      </c>
      <c r="P884" s="48"/>
      <c r="Q884" s="59"/>
      <c r="R884" s="81"/>
      <c r="S884" s="79"/>
      <c r="V884" s="104"/>
      <c r="W884" s="104"/>
    </row>
    <row r="885" spans="1:23" ht="13.5" customHeight="1" x14ac:dyDescent="0.15">
      <c r="A885" s="76">
        <v>4</v>
      </c>
      <c r="B885" s="545"/>
      <c r="C885" s="546"/>
      <c r="D885" s="546"/>
      <c r="E885" s="547"/>
      <c r="F885" s="558" t="s">
        <v>68</v>
      </c>
      <c r="G885" s="559"/>
      <c r="H885" s="78" t="s">
        <v>70</v>
      </c>
      <c r="I885" s="78"/>
      <c r="J885" s="77"/>
      <c r="K885" s="46" t="str">
        <f>VLOOKUP($F:$F,材料单价表!$B$3:$G$42,4,0)</f>
        <v>m</v>
      </c>
      <c r="L885" s="46"/>
      <c r="M885" s="80">
        <f>M843</f>
        <v>9.6</v>
      </c>
      <c r="N885" s="46">
        <f>VLOOKUP($F:$F,材料单价表!$B$3:$G$42,5,0)</f>
        <v>0</v>
      </c>
      <c r="O885" s="46">
        <f t="shared" si="133"/>
        <v>0</v>
      </c>
      <c r="P885" s="48"/>
      <c r="Q885" s="59"/>
      <c r="R885" s="81"/>
      <c r="S885" s="79"/>
      <c r="V885" s="104"/>
      <c r="W885" s="104"/>
    </row>
    <row r="886" spans="1:23" ht="13.5" customHeight="1" x14ac:dyDescent="0.15">
      <c r="A886" s="76">
        <v>5</v>
      </c>
      <c r="B886" s="545"/>
      <c r="C886" s="546"/>
      <c r="D886" s="546"/>
      <c r="E886" s="547"/>
      <c r="F886" s="558" t="s">
        <v>71</v>
      </c>
      <c r="G886" s="559"/>
      <c r="H886" s="78"/>
      <c r="I886" s="78"/>
      <c r="J886" s="77"/>
      <c r="K886" s="46" t="str">
        <f>VLOOKUP($F:$F,材料单价表!$B$3:$G$42,4,0)</f>
        <v>个</v>
      </c>
      <c r="L886" s="79"/>
      <c r="M886" s="80">
        <f>K859+K860+K862</f>
        <v>20</v>
      </c>
      <c r="N886" s="46">
        <f>VLOOKUP($F:$F,材料单价表!$B$3:$G$42,5,0)</f>
        <v>0</v>
      </c>
      <c r="O886" s="46">
        <f t="shared" si="133"/>
        <v>0</v>
      </c>
      <c r="P886" s="48"/>
      <c r="Q886" s="59"/>
      <c r="R886" s="81"/>
      <c r="S886" s="79"/>
    </row>
    <row r="887" spans="1:23" ht="13.5" customHeight="1" x14ac:dyDescent="0.15">
      <c r="A887" s="76">
        <v>6</v>
      </c>
      <c r="B887" s="545"/>
      <c r="C887" s="546"/>
      <c r="D887" s="546"/>
      <c r="E887" s="547"/>
      <c r="F887" s="558" t="s">
        <v>121</v>
      </c>
      <c r="G887" s="559"/>
      <c r="H887" s="78"/>
      <c r="I887" s="78"/>
      <c r="J887" s="77"/>
      <c r="K887" s="46" t="str">
        <f>VLOOKUP($F:$F,材料单价表!$B$3:$G$42,4,0)</f>
        <v>m</v>
      </c>
      <c r="L887" s="79"/>
      <c r="M887" s="80">
        <f>(J847*K847+J848*K848)/1000*2</f>
        <v>7.3111999999999995</v>
      </c>
      <c r="N887" s="46">
        <f>VLOOKUP($F:$F,材料单价表!$B$3:$G$42,5,0)</f>
        <v>0</v>
      </c>
      <c r="O887" s="46">
        <f t="shared" si="133"/>
        <v>0</v>
      </c>
      <c r="P887" s="48"/>
      <c r="Q887" s="59"/>
      <c r="R887" s="81"/>
      <c r="S887" s="46"/>
    </row>
    <row r="888" spans="1:23" ht="13.5" customHeight="1" x14ac:dyDescent="0.15">
      <c r="A888" s="76">
        <v>7</v>
      </c>
      <c r="B888" s="545"/>
      <c r="C888" s="546"/>
      <c r="D888" s="546"/>
      <c r="E888" s="547"/>
      <c r="F888" s="558" t="s">
        <v>121</v>
      </c>
      <c r="G888" s="559"/>
      <c r="H888" s="78"/>
      <c r="I888" s="78"/>
      <c r="J888" s="77"/>
      <c r="K888" s="46" t="str">
        <f>VLOOKUP($F:$F,材料单价表!$B$3:$G$42,4,0)</f>
        <v>m</v>
      </c>
      <c r="L888" s="79"/>
      <c r="M888" s="80">
        <f>(J848*K848+J847*K847)/1000*1</f>
        <v>3.6555999999999997</v>
      </c>
      <c r="N888" s="46">
        <f>VLOOKUP($F:$F,材料单价表!$B$3:$G$42,5,0)</f>
        <v>0</v>
      </c>
      <c r="O888" s="46">
        <f t="shared" si="133"/>
        <v>0</v>
      </c>
      <c r="P888" s="48"/>
      <c r="Q888" s="59"/>
      <c r="R888" s="81"/>
      <c r="S888" s="46"/>
    </row>
    <row r="889" spans="1:23" x14ac:dyDescent="0.15">
      <c r="A889" s="76">
        <v>8</v>
      </c>
      <c r="B889" s="545"/>
      <c r="C889" s="546"/>
      <c r="D889" s="546"/>
      <c r="E889" s="547"/>
      <c r="F889" s="558" t="s">
        <v>72</v>
      </c>
      <c r="G889" s="559"/>
      <c r="H889" s="45"/>
      <c r="I889" s="45"/>
      <c r="J889" s="45"/>
      <c r="K889" s="46" t="str">
        <f>VLOOKUP($F:$F,材料单价表!$B$3:$G$42,4,0)</f>
        <v>m2</v>
      </c>
      <c r="L889" s="72"/>
      <c r="M889" s="46">
        <f>M894</f>
        <v>5.4</v>
      </c>
      <c r="N889" s="46">
        <f>VLOOKUP($F:$F,材料单价表!$B$3:$G$42,5,0)</f>
        <v>0</v>
      </c>
      <c r="O889" s="46">
        <f t="shared" si="133"/>
        <v>0</v>
      </c>
      <c r="P889" s="48"/>
      <c r="Q889" s="211"/>
      <c r="R889" s="73"/>
      <c r="S889" s="73"/>
    </row>
    <row r="890" spans="1:23" x14ac:dyDescent="0.15">
      <c r="A890" s="76">
        <v>9</v>
      </c>
      <c r="B890" s="545"/>
      <c r="C890" s="546"/>
      <c r="D890" s="546"/>
      <c r="E890" s="547"/>
      <c r="F890" s="558"/>
      <c r="G890" s="559"/>
      <c r="H890" s="45"/>
      <c r="I890" s="45"/>
      <c r="J890" s="45"/>
      <c r="K890" s="45"/>
      <c r="L890" s="72"/>
      <c r="M890" s="46"/>
      <c r="N890" s="46"/>
      <c r="O890" s="82"/>
      <c r="P890" s="48"/>
      <c r="Q890" s="211"/>
      <c r="R890" s="73"/>
      <c r="S890" s="73"/>
    </row>
    <row r="891" spans="1:23" x14ac:dyDescent="0.15">
      <c r="A891" s="74"/>
      <c r="B891" s="552"/>
      <c r="C891" s="557"/>
      <c r="D891" s="557"/>
      <c r="E891" s="553"/>
      <c r="F891" s="552" t="s">
        <v>73</v>
      </c>
      <c r="G891" s="557"/>
      <c r="H891" s="557"/>
      <c r="I891" s="557"/>
      <c r="J891" s="557"/>
      <c r="K891" s="557"/>
      <c r="L891" s="557"/>
      <c r="M891" s="61"/>
      <c r="N891" s="61"/>
      <c r="O891" s="62">
        <f>SUM(O882:O890)</f>
        <v>0</v>
      </c>
      <c r="P891" s="63" t="s">
        <v>57</v>
      </c>
      <c r="Q891" s="337"/>
      <c r="R891" s="64"/>
      <c r="S891" s="64"/>
    </row>
    <row r="892" spans="1:23" x14ac:dyDescent="0.15">
      <c r="A892" s="74"/>
      <c r="B892" s="552"/>
      <c r="C892" s="557"/>
      <c r="D892" s="557"/>
      <c r="E892" s="553"/>
      <c r="F892" s="552" t="s">
        <v>74</v>
      </c>
      <c r="G892" s="557"/>
      <c r="H892" s="557"/>
      <c r="I892" s="557"/>
      <c r="J892" s="557"/>
      <c r="K892" s="557"/>
      <c r="L892" s="557"/>
      <c r="M892" s="557"/>
      <c r="N892" s="553"/>
      <c r="O892" s="62">
        <f>O891+O880+O877+O869</f>
        <v>0</v>
      </c>
      <c r="P892" s="63" t="s">
        <v>57</v>
      </c>
      <c r="Q892" s="337"/>
      <c r="R892" s="64"/>
      <c r="S892" s="64"/>
    </row>
    <row r="893" spans="1:23" ht="24" x14ac:dyDescent="0.15">
      <c r="A893" s="65"/>
      <c r="B893" s="560" t="s">
        <v>75</v>
      </c>
      <c r="C893" s="561"/>
      <c r="D893" s="561"/>
      <c r="E893" s="562"/>
      <c r="F893" s="565" t="s">
        <v>26</v>
      </c>
      <c r="G893" s="566"/>
      <c r="H893" s="66"/>
      <c r="I893" s="66"/>
      <c r="J893" s="66"/>
      <c r="K893" s="66" t="s">
        <v>6</v>
      </c>
      <c r="L893" s="83" t="s">
        <v>61</v>
      </c>
      <c r="M893" s="66" t="s">
        <v>76</v>
      </c>
      <c r="N893" s="68" t="s">
        <v>62</v>
      </c>
      <c r="O893" s="68" t="s">
        <v>34</v>
      </c>
      <c r="P893" s="84" t="s">
        <v>57</v>
      </c>
      <c r="Q893" s="84"/>
      <c r="R893" s="67"/>
      <c r="S893" s="67"/>
    </row>
    <row r="894" spans="1:23" x14ac:dyDescent="0.15">
      <c r="A894" s="382">
        <v>1</v>
      </c>
      <c r="B894" s="545"/>
      <c r="C894" s="546"/>
      <c r="D894" s="546"/>
      <c r="E894" s="547"/>
      <c r="F894" s="545" t="s">
        <v>77</v>
      </c>
      <c r="G894" s="547"/>
      <c r="H894" s="45"/>
      <c r="I894" s="45"/>
      <c r="J894" s="46"/>
      <c r="K894" s="45" t="s">
        <v>78</v>
      </c>
      <c r="L894" s="72"/>
      <c r="M894" s="85">
        <f>O830</f>
        <v>5.4</v>
      </c>
      <c r="N894" s="46">
        <f>VLOOKUP($F:$F,材料单价表!$B$3:$G$42,5,0)</f>
        <v>0</v>
      </c>
      <c r="O894" s="46">
        <f>N894*M894</f>
        <v>0</v>
      </c>
      <c r="P894" s="48"/>
      <c r="Q894" s="211"/>
      <c r="R894" s="72"/>
      <c r="S894" s="72"/>
    </row>
    <row r="895" spans="1:23" x14ac:dyDescent="0.15">
      <c r="A895" s="382">
        <v>2</v>
      </c>
      <c r="B895" s="545"/>
      <c r="C895" s="546"/>
      <c r="D895" s="546"/>
      <c r="E895" s="547"/>
      <c r="F895" s="545" t="s">
        <v>79</v>
      </c>
      <c r="G895" s="547"/>
      <c r="H895" s="45"/>
      <c r="I895" s="45"/>
      <c r="J895" s="46"/>
      <c r="K895" s="45" t="s">
        <v>78</v>
      </c>
      <c r="L895" s="72"/>
      <c r="M895" s="85">
        <f>M894</f>
        <v>5.4</v>
      </c>
      <c r="N895" s="46">
        <f>VLOOKUP($F:$F,材料单价表!$B$3:$G$42,5,0)</f>
        <v>0</v>
      </c>
      <c r="O895" s="46">
        <f>N895*M895</f>
        <v>0</v>
      </c>
      <c r="P895" s="48"/>
      <c r="Q895" s="211"/>
      <c r="R895" s="72"/>
      <c r="S895" s="72"/>
    </row>
    <row r="896" spans="1:23" ht="24.75" customHeight="1" x14ac:dyDescent="0.15">
      <c r="A896" s="74"/>
      <c r="B896" s="552"/>
      <c r="C896" s="557"/>
      <c r="D896" s="557"/>
      <c r="E896" s="553"/>
      <c r="F896" s="552" t="s">
        <v>80</v>
      </c>
      <c r="G896" s="553"/>
      <c r="H896" s="379"/>
      <c r="I896" s="379"/>
      <c r="J896" s="554" t="s">
        <v>81</v>
      </c>
      <c r="K896" s="554"/>
      <c r="L896" s="554"/>
      <c r="M896" s="554"/>
      <c r="N896" s="87"/>
      <c r="O896" s="62">
        <f>O892+O894+O895</f>
        <v>0</v>
      </c>
      <c r="P896" s="63" t="s">
        <v>57</v>
      </c>
      <c r="Q896" s="337"/>
      <c r="R896" s="64"/>
      <c r="S896" s="64"/>
    </row>
    <row r="897" spans="1:19" ht="24" customHeight="1" x14ac:dyDescent="0.15">
      <c r="A897" s="74"/>
      <c r="B897" s="552"/>
      <c r="C897" s="557"/>
      <c r="D897" s="557"/>
      <c r="E897" s="553"/>
      <c r="F897" s="555" t="s">
        <v>82</v>
      </c>
      <c r="G897" s="556"/>
      <c r="H897" s="381"/>
      <c r="I897" s="381"/>
      <c r="J897" s="552" t="s">
        <v>81</v>
      </c>
      <c r="K897" s="557"/>
      <c r="L897" s="557"/>
      <c r="M897" s="557"/>
      <c r="N897" s="62"/>
      <c r="O897" s="62">
        <f>O896/O830</f>
        <v>0</v>
      </c>
      <c r="P897" s="89" t="s">
        <v>57</v>
      </c>
      <c r="Q897" s="89"/>
      <c r="R897" s="90"/>
      <c r="S897" s="90"/>
    </row>
    <row r="898" spans="1:19" ht="18.75" customHeight="1" x14ac:dyDescent="0.15">
      <c r="A898" s="549" t="s">
        <v>0</v>
      </c>
      <c r="B898" s="549"/>
      <c r="C898" s="549"/>
      <c r="D898" s="549"/>
      <c r="E898" s="549"/>
      <c r="F898" s="549"/>
      <c r="G898" s="549"/>
      <c r="H898" s="549"/>
      <c r="I898" s="549"/>
      <c r="J898" s="549"/>
      <c r="K898" s="549"/>
      <c r="L898" s="550"/>
      <c r="M898" s="549"/>
      <c r="N898" s="549"/>
      <c r="O898" s="549"/>
      <c r="P898" s="549"/>
      <c r="Q898" s="549"/>
      <c r="R898" s="551"/>
      <c r="S898" s="551"/>
    </row>
    <row r="899" spans="1:19" x14ac:dyDescent="0.15">
      <c r="A899" s="2" t="s">
        <v>1</v>
      </c>
      <c r="B899" s="339" t="str">
        <f>$B$692</f>
        <v>NZC</v>
      </c>
      <c r="C899" s="3">
        <v>4</v>
      </c>
      <c r="D899" s="3"/>
      <c r="E899" s="3"/>
      <c r="F899" s="4" t="s">
        <v>2</v>
      </c>
      <c r="G899" s="5">
        <v>65</v>
      </c>
      <c r="H899" s="106" t="s">
        <v>86</v>
      </c>
      <c r="I899" s="106"/>
      <c r="J899" s="4" t="s">
        <v>3</v>
      </c>
      <c r="K899" s="6">
        <f>L902</f>
        <v>3400</v>
      </c>
      <c r="L899" s="7" t="s">
        <v>83</v>
      </c>
      <c r="M899" s="6">
        <f>L901</f>
        <v>1800</v>
      </c>
      <c r="N899" s="8" t="s">
        <v>4</v>
      </c>
      <c r="O899" s="9">
        <f>M911</f>
        <v>6.12</v>
      </c>
      <c r="P899" s="10"/>
      <c r="Q899" s="10"/>
      <c r="R899" s="10" t="s">
        <v>5</v>
      </c>
      <c r="S899" s="11"/>
    </row>
    <row r="900" spans="1:19" ht="14.25" x14ac:dyDescent="0.2">
      <c r="A900" s="12"/>
      <c r="B900" s="13"/>
      <c r="C900" s="13"/>
      <c r="D900" s="13"/>
      <c r="E900" s="13"/>
      <c r="F900" s="14"/>
      <c r="G900" s="14"/>
      <c r="H900" s="15"/>
      <c r="I900" s="15"/>
      <c r="J900" s="16"/>
      <c r="K900" s="16" t="s">
        <v>6</v>
      </c>
      <c r="L900" s="17" t="s">
        <v>7</v>
      </c>
      <c r="M900" s="16" t="s">
        <v>8</v>
      </c>
      <c r="N900" s="18"/>
      <c r="O900" s="548" t="s">
        <v>940</v>
      </c>
      <c r="P900" s="548"/>
      <c r="Q900" s="16" t="s">
        <v>1018</v>
      </c>
      <c r="R900" s="529" t="s">
        <v>1066</v>
      </c>
      <c r="S900" s="530" t="s">
        <v>1592</v>
      </c>
    </row>
    <row r="901" spans="1:19" ht="14.25" x14ac:dyDescent="0.2">
      <c r="A901" s="398" t="s">
        <v>884</v>
      </c>
      <c r="B901" s="404" t="s">
        <v>895</v>
      </c>
      <c r="C901" s="22"/>
      <c r="D901"/>
      <c r="E901" s="22"/>
      <c r="F901" s="23"/>
      <c r="G901" s="23"/>
      <c r="H901" s="107"/>
      <c r="I901" s="107"/>
      <c r="J901" s="24" t="s">
        <v>9</v>
      </c>
      <c r="K901" s="16" t="s">
        <v>10</v>
      </c>
      <c r="L901" s="25">
        <v>1800</v>
      </c>
      <c r="M901" s="113">
        <f>L901-M910*2</f>
        <v>1700</v>
      </c>
      <c r="N901" s="18"/>
      <c r="O901" s="356" t="s">
        <v>941</v>
      </c>
      <c r="P901" s="357"/>
      <c r="Q901" s="16" t="s">
        <v>1019</v>
      </c>
      <c r="R901" s="529"/>
      <c r="S901" s="530"/>
    </row>
    <row r="902" spans="1:19" ht="14.25" x14ac:dyDescent="0.2">
      <c r="A902" s="21"/>
      <c r="B902" s="22"/>
      <c r="C902" s="22"/>
      <c r="D902" s="22"/>
      <c r="E902" s="22"/>
      <c r="F902" s="23"/>
      <c r="G902" s="23"/>
      <c r="H902" s="18"/>
      <c r="I902" s="18"/>
      <c r="J902" s="24" t="s">
        <v>11</v>
      </c>
      <c r="K902" s="16" t="s">
        <v>10</v>
      </c>
      <c r="L902" s="25">
        <v>3400</v>
      </c>
      <c r="M902" s="113">
        <f>L902-M910*2</f>
        <v>3300</v>
      </c>
      <c r="N902" s="18"/>
      <c r="O902" s="356" t="s">
        <v>924</v>
      </c>
      <c r="P902" s="357"/>
      <c r="Q902" s="16" t="s">
        <v>1020</v>
      </c>
      <c r="R902" s="529" t="s">
        <v>1067</v>
      </c>
      <c r="S902" s="530" t="s">
        <v>1086</v>
      </c>
    </row>
    <row r="903" spans="1:19" ht="14.25" x14ac:dyDescent="0.2">
      <c r="A903" s="21"/>
      <c r="B903" s="22"/>
      <c r="C903" s="22"/>
      <c r="D903" s="22"/>
      <c r="E903" s="22"/>
      <c r="F903" s="23"/>
      <c r="G903" s="23"/>
      <c r="H903" s="18"/>
      <c r="I903" s="18"/>
      <c r="J903" s="24" t="s">
        <v>12</v>
      </c>
      <c r="K903" s="16" t="s">
        <v>10</v>
      </c>
      <c r="L903" s="26"/>
      <c r="M903" s="113">
        <f>M901-M904</f>
        <v>1200</v>
      </c>
      <c r="N903" s="18"/>
      <c r="O903" s="356" t="s">
        <v>925</v>
      </c>
      <c r="P903" s="357"/>
      <c r="Q903" s="16" t="s">
        <v>1021</v>
      </c>
      <c r="R903" s="529"/>
      <c r="S903" s="530"/>
    </row>
    <row r="904" spans="1:19" ht="14.25" x14ac:dyDescent="0.2">
      <c r="A904" s="21"/>
      <c r="B904" s="22"/>
      <c r="C904" s="22"/>
      <c r="D904" s="22"/>
      <c r="E904" s="22"/>
      <c r="F904" s="23"/>
      <c r="G904" s="23"/>
      <c r="H904" s="18"/>
      <c r="I904" s="18"/>
      <c r="J904" s="24" t="s">
        <v>13</v>
      </c>
      <c r="K904" s="16" t="s">
        <v>10</v>
      </c>
      <c r="L904" s="26"/>
      <c r="M904" s="25">
        <v>500</v>
      </c>
      <c r="N904" s="540" t="s">
        <v>146</v>
      </c>
      <c r="O904" s="356" t="s">
        <v>926</v>
      </c>
      <c r="P904" s="357"/>
      <c r="Q904" s="16" t="s">
        <v>1022</v>
      </c>
      <c r="R904" s="27"/>
      <c r="S904" s="28"/>
    </row>
    <row r="905" spans="1:19" ht="14.25" x14ac:dyDescent="0.2">
      <c r="A905" s="21"/>
      <c r="B905" s="22"/>
      <c r="C905" s="22"/>
      <c r="D905" s="22"/>
      <c r="E905" s="22"/>
      <c r="F905" s="23"/>
      <c r="G905" s="23"/>
      <c r="H905" s="18"/>
      <c r="I905" s="18"/>
      <c r="J905" s="24" t="s">
        <v>14</v>
      </c>
      <c r="K905" s="16" t="s">
        <v>10</v>
      </c>
      <c r="L905" s="26"/>
      <c r="M905" s="113"/>
      <c r="N905" s="540"/>
      <c r="O905" s="356" t="s">
        <v>927</v>
      </c>
      <c r="P905" s="357"/>
      <c r="Q905" s="16" t="s">
        <v>1023</v>
      </c>
      <c r="R905" s="27"/>
      <c r="S905" s="28"/>
    </row>
    <row r="906" spans="1:19" ht="14.25" x14ac:dyDescent="0.2">
      <c r="A906" s="21"/>
      <c r="B906" s="22"/>
      <c r="C906" s="22"/>
      <c r="D906" s="22"/>
      <c r="E906" s="22"/>
      <c r="F906" s="23"/>
      <c r="G906" s="23"/>
      <c r="H906" s="18"/>
      <c r="I906" s="18"/>
      <c r="J906" s="24" t="s">
        <v>15</v>
      </c>
      <c r="K906" s="16" t="s">
        <v>10</v>
      </c>
      <c r="L906" s="26"/>
      <c r="M906" s="113">
        <f>IF(AND(L902&gt;2999,L902&lt;3201),600,IF(AND(L902&gt;3399,L902&lt;3801),750))</f>
        <v>750</v>
      </c>
      <c r="N906" s="540"/>
      <c r="O906" s="356" t="s">
        <v>928</v>
      </c>
      <c r="P906" s="357"/>
      <c r="Q906" s="16" t="s">
        <v>1005</v>
      </c>
      <c r="R906" s="27"/>
      <c r="S906" s="28"/>
    </row>
    <row r="907" spans="1:19" ht="14.25" x14ac:dyDescent="0.2">
      <c r="A907" s="21"/>
      <c r="B907" s="22"/>
      <c r="C907" s="22"/>
      <c r="D907" s="22"/>
      <c r="E907" s="22"/>
      <c r="F907" s="23"/>
      <c r="G907" s="23"/>
      <c r="H907" s="18"/>
      <c r="I907" s="18"/>
      <c r="J907" s="24" t="s">
        <v>16</v>
      </c>
      <c r="K907" s="16" t="s">
        <v>10</v>
      </c>
      <c r="L907" s="26"/>
      <c r="M907" s="113">
        <f>M902-M906*2-M908*2</f>
        <v>800</v>
      </c>
      <c r="N907" s="540"/>
      <c r="O907" s="356" t="s">
        <v>929</v>
      </c>
      <c r="P907" s="357"/>
      <c r="Q907" s="16" t="s">
        <v>1024</v>
      </c>
      <c r="R907" s="27"/>
      <c r="S907" s="28"/>
    </row>
    <row r="908" spans="1:19" ht="14.25" x14ac:dyDescent="0.2">
      <c r="A908" s="21"/>
      <c r="B908" s="22"/>
      <c r="C908" s="22"/>
      <c r="D908" s="22"/>
      <c r="E908" s="22"/>
      <c r="F908" s="23"/>
      <c r="G908" s="23"/>
      <c r="H908" s="18"/>
      <c r="I908" s="18"/>
      <c r="J908" s="24" t="s">
        <v>17</v>
      </c>
      <c r="K908" s="16" t="s">
        <v>10</v>
      </c>
      <c r="L908" s="26"/>
      <c r="M908" s="113">
        <v>500</v>
      </c>
      <c r="N908" s="540"/>
      <c r="O908" s="356" t="s">
        <v>930</v>
      </c>
      <c r="P908" s="357"/>
      <c r="Q908" s="16" t="s">
        <v>931</v>
      </c>
      <c r="R908" s="27"/>
      <c r="S908" s="28"/>
    </row>
    <row r="909" spans="1:19" ht="14.25" x14ac:dyDescent="0.2">
      <c r="A909" s="21"/>
      <c r="B909" s="22"/>
      <c r="C909" s="22"/>
      <c r="D909" s="22"/>
      <c r="E909" s="22"/>
      <c r="F909" s="23"/>
      <c r="G909" s="23"/>
      <c r="H909" s="18"/>
      <c r="I909" s="18"/>
      <c r="J909" s="24" t="s">
        <v>18</v>
      </c>
      <c r="K909" s="16" t="s">
        <v>10</v>
      </c>
      <c r="L909" s="26"/>
      <c r="M909" s="113"/>
      <c r="N909" s="540"/>
      <c r="O909" s="356" t="s">
        <v>932</v>
      </c>
      <c r="P909" s="357"/>
      <c r="Q909" s="16" t="s">
        <v>933</v>
      </c>
      <c r="R909" s="27"/>
      <c r="S909" s="28"/>
    </row>
    <row r="910" spans="1:19" ht="14.25" x14ac:dyDescent="0.2">
      <c r="A910" s="21"/>
      <c r="B910" s="22"/>
      <c r="C910" s="22"/>
      <c r="D910" s="22"/>
      <c r="E910" s="22"/>
      <c r="F910" s="23"/>
      <c r="G910" s="23"/>
      <c r="H910" s="18"/>
      <c r="I910" s="18"/>
      <c r="J910" s="24" t="s">
        <v>19</v>
      </c>
      <c r="K910" s="16" t="s">
        <v>10</v>
      </c>
      <c r="L910" s="26"/>
      <c r="M910" s="25">
        <v>50</v>
      </c>
      <c r="N910" s="540"/>
      <c r="O910" s="356" t="s">
        <v>934</v>
      </c>
      <c r="P910" s="357"/>
      <c r="Q910" s="16" t="s">
        <v>935</v>
      </c>
      <c r="R910" s="27"/>
      <c r="S910" s="28"/>
    </row>
    <row r="911" spans="1:19" ht="14.25" x14ac:dyDescent="0.2">
      <c r="A911" s="21"/>
      <c r="B911" s="22"/>
      <c r="C911" s="22"/>
      <c r="D911" s="22"/>
      <c r="E911" s="22"/>
      <c r="F911" s="23"/>
      <c r="G911" s="23"/>
      <c r="H911" s="18"/>
      <c r="I911" s="18"/>
      <c r="J911" s="29" t="s">
        <v>20</v>
      </c>
      <c r="K911" s="16" t="s">
        <v>21</v>
      </c>
      <c r="L911" s="30"/>
      <c r="M911" s="31">
        <f>L901*L902/1000000</f>
        <v>6.12</v>
      </c>
      <c r="N911" s="540"/>
      <c r="O911" s="356" t="s">
        <v>936</v>
      </c>
      <c r="P911" s="357"/>
      <c r="Q911" s="16" t="s">
        <v>937</v>
      </c>
      <c r="R911" s="27"/>
      <c r="S911" s="28"/>
    </row>
    <row r="912" spans="1:19" ht="14.25" x14ac:dyDescent="0.2">
      <c r="A912" s="32"/>
      <c r="B912" s="33"/>
      <c r="C912" s="33"/>
      <c r="D912" s="33"/>
      <c r="E912" s="33"/>
      <c r="F912" s="34"/>
      <c r="G912" s="34"/>
      <c r="H912" s="35"/>
      <c r="I912" s="35"/>
      <c r="J912" s="29" t="s">
        <v>22</v>
      </c>
      <c r="K912" s="16" t="s">
        <v>23</v>
      </c>
      <c r="L912" s="30"/>
      <c r="M912" s="36">
        <f>(L901+L902)*2/1000</f>
        <v>10.4</v>
      </c>
      <c r="N912" s="541"/>
      <c r="O912" s="356" t="s">
        <v>938</v>
      </c>
      <c r="P912" s="357"/>
      <c r="Q912" s="16" t="s">
        <v>939</v>
      </c>
      <c r="R912" s="37"/>
      <c r="S912" s="38"/>
    </row>
    <row r="913" spans="1:35" ht="36" x14ac:dyDescent="0.15">
      <c r="A913" s="39" t="s">
        <v>24</v>
      </c>
      <c r="B913" s="560" t="s">
        <v>25</v>
      </c>
      <c r="C913" s="561"/>
      <c r="D913" s="561"/>
      <c r="E913" s="562"/>
      <c r="F913" s="40" t="s">
        <v>26</v>
      </c>
      <c r="G913" s="40" t="s">
        <v>27</v>
      </c>
      <c r="H913" s="40" t="s">
        <v>28</v>
      </c>
      <c r="I913" s="40" t="s">
        <v>898</v>
      </c>
      <c r="J913" s="40" t="s">
        <v>29</v>
      </c>
      <c r="K913" s="40" t="s">
        <v>30</v>
      </c>
      <c r="L913" s="41" t="s">
        <v>31</v>
      </c>
      <c r="M913" s="40" t="s">
        <v>32</v>
      </c>
      <c r="N913" s="40" t="s">
        <v>33</v>
      </c>
      <c r="O913" s="40" t="s">
        <v>34</v>
      </c>
      <c r="P913" s="42" t="s">
        <v>35</v>
      </c>
      <c r="Q913" s="338" t="s">
        <v>875</v>
      </c>
      <c r="R913" s="43" t="s">
        <v>36</v>
      </c>
      <c r="S913" s="43" t="s">
        <v>37</v>
      </c>
      <c r="V913" s="261" t="s">
        <v>127</v>
      </c>
      <c r="W913" s="261"/>
      <c r="X913" s="273" t="s">
        <v>128</v>
      </c>
      <c r="Y913" s="261"/>
      <c r="Z913" s="273" t="s">
        <v>359</v>
      </c>
      <c r="AA913" s="261"/>
      <c r="AB913" s="273" t="s">
        <v>355</v>
      </c>
      <c r="AC913" s="261"/>
      <c r="AD913" s="273" t="s">
        <v>360</v>
      </c>
      <c r="AE913" s="261"/>
      <c r="AF913" s="273" t="s">
        <v>357</v>
      </c>
      <c r="AG913" s="261"/>
      <c r="AH913" s="273" t="s">
        <v>358</v>
      </c>
      <c r="AI913" s="261"/>
    </row>
    <row r="914" spans="1:35" x14ac:dyDescent="0.15">
      <c r="A914" s="382">
        <v>1</v>
      </c>
      <c r="B914" s="531" t="s">
        <v>38</v>
      </c>
      <c r="C914" s="532"/>
      <c r="D914" s="532"/>
      <c r="E914" s="533"/>
      <c r="F914" s="47" t="str">
        <f>VLOOKUP($H:$H,型材表!$B$5:$I$45,2,0)</f>
        <v>窗框</v>
      </c>
      <c r="G914" s="45" t="s">
        <v>39</v>
      </c>
      <c r="H914" s="45" t="str">
        <f>IF(G899=65,"SN65AK001",IF(G899=55,"SN55K001",IF(G899=551,"SN55BK001",IF(G899=60,"SN60K001",IF(G899=601,"SN60AK001",IF(G899=70,"SN70K001",IF(G899=75,"SN75K001")))))))</f>
        <v>SN65AK001</v>
      </c>
      <c r="I914" s="45" t="s">
        <v>901</v>
      </c>
      <c r="J914" s="46">
        <f>M901</f>
        <v>1700</v>
      </c>
      <c r="K914" s="45">
        <v>6</v>
      </c>
      <c r="L914" s="47">
        <f>VLOOKUP($H:$H,型材表!$B$5:$I$45,4,0)</f>
        <v>1.02</v>
      </c>
      <c r="M914" s="46">
        <f>J914*K914*L914/1000</f>
        <v>10.404</v>
      </c>
      <c r="N914" s="72">
        <f>VLOOKUP($H:$H,型材表!$B$5:$I$45,7,0)</f>
        <v>0</v>
      </c>
      <c r="O914" s="46">
        <f>N914*M914</f>
        <v>0</v>
      </c>
      <c r="P914" s="100">
        <f>VLOOKUP($H:$H,型材表!$B$5:$I$45,5,0)</f>
        <v>0.125</v>
      </c>
      <c r="Q914" s="100" t="str">
        <f>VLOOKUP($H:$H,型材表!$B$5:$I$423,6,0)</f>
        <v>断桥隔热铝型材</v>
      </c>
      <c r="R914" s="49"/>
      <c r="S914" s="50"/>
      <c r="X914" s="264"/>
      <c r="Z914" s="264"/>
      <c r="AA914" s="259"/>
      <c r="AB914" s="264"/>
      <c r="AC914" s="259"/>
      <c r="AD914" s="264"/>
      <c r="AE914" s="259"/>
      <c r="AF914" s="264"/>
      <c r="AG914" s="259"/>
      <c r="AH914" s="264"/>
      <c r="AI914" s="259"/>
    </row>
    <row r="915" spans="1:35" x14ac:dyDescent="0.15">
      <c r="A915" s="382">
        <v>2</v>
      </c>
      <c r="B915" s="537"/>
      <c r="C915" s="538"/>
      <c r="D915" s="538"/>
      <c r="E915" s="539"/>
      <c r="F915" s="47" t="str">
        <f>VLOOKUP($H:$H,型材表!$B$5:$I$45,2,0)</f>
        <v>窗框</v>
      </c>
      <c r="G915" s="45" t="s">
        <v>40</v>
      </c>
      <c r="H915" s="45" t="str">
        <f>H914</f>
        <v>SN65AK001</v>
      </c>
      <c r="I915" s="45" t="s">
        <v>1460</v>
      </c>
      <c r="J915" s="46">
        <f>IF(G899=65,M902-V915*2,IF(G899=55,M902-X915*2,IF(G899=551,M902-Z915*2,IF(G899=60,M902-AB915*2,IF(G899=601,M902-AD915*2,IF(G899=70,M902-AF915*2,IF(G899=75,M902-AH915*2)))))))</f>
        <v>3043.2</v>
      </c>
      <c r="K915" s="45">
        <v>2</v>
      </c>
      <c r="L915" s="47">
        <f>VLOOKUP($H:$H,型材表!$B$5:$I$45,4,0)</f>
        <v>1.02</v>
      </c>
      <c r="M915" s="46">
        <f t="shared" ref="M915:M932" si="134">J915*K915*L915/1000</f>
        <v>6.2081279999999994</v>
      </c>
      <c r="N915" s="72">
        <f>VLOOKUP($H:$H,型材表!$B$5:$I$45,7,0)</f>
        <v>0</v>
      </c>
      <c r="O915" s="46">
        <f t="shared" ref="O915:O916" si="135">N915*M915</f>
        <v>0</v>
      </c>
      <c r="P915" s="100">
        <f>VLOOKUP($H:$H,型材表!$B$5:$I$45,5,0)</f>
        <v>0.125</v>
      </c>
      <c r="Q915" s="100" t="str">
        <f>VLOOKUP($H:$H,型材表!$B$5:$I$423,6,0)</f>
        <v>断桥隔热铝型材</v>
      </c>
      <c r="R915" s="49"/>
      <c r="S915" s="50"/>
      <c r="U915" s="374" t="s">
        <v>1132</v>
      </c>
      <c r="V915" s="259">
        <f>64.2*2</f>
        <v>128.4</v>
      </c>
      <c r="X915" s="264">
        <f>55*2</f>
        <v>110</v>
      </c>
      <c r="Y915" s="265"/>
      <c r="Z915" s="264">
        <f>55*2</f>
        <v>110</v>
      </c>
      <c r="AA915" s="265"/>
      <c r="AB915" s="264">
        <f>60.2*2</f>
        <v>120.4</v>
      </c>
      <c r="AC915" s="265"/>
      <c r="AD915" s="264">
        <f>60.4*2</f>
        <v>120.8</v>
      </c>
      <c r="AE915" s="265"/>
      <c r="AF915" s="264">
        <f>70.2*2</f>
        <v>140.4</v>
      </c>
      <c r="AG915" s="265"/>
      <c r="AH915" s="264">
        <f>74.2*2</f>
        <v>148.4</v>
      </c>
      <c r="AI915" s="259"/>
    </row>
    <row r="916" spans="1:35" x14ac:dyDescent="0.15">
      <c r="A916" s="395">
        <v>3</v>
      </c>
      <c r="B916" s="531" t="s">
        <v>41</v>
      </c>
      <c r="C916" s="532"/>
      <c r="D916" s="532"/>
      <c r="E916" s="533"/>
      <c r="F916" s="47" t="str">
        <f>VLOOKUP($H:$H,型材表!$B$5:$I$45,2,0)</f>
        <v>窗扇</v>
      </c>
      <c r="G916" s="45" t="s">
        <v>39</v>
      </c>
      <c r="H916" s="45" t="str">
        <f>IF(G899=65,"SN65AS001",IF(G899=55,"SN55S001",IF(G899=551,"SN55BS001",IF(G899=60,"SN60S001",IF(G899=601,"SN60AS001",IF(G899=70,"SN70S001",IF(G899=75,"SN75S001")))))))</f>
        <v>SN65AS001</v>
      </c>
      <c r="I916" s="45" t="s">
        <v>1040</v>
      </c>
      <c r="J916" s="46">
        <f>IF(G899=65,M903-V916,IF(G899=55,M903-X916,IF(G899=551,M903-Z916,IF(G899=60,M903-AB916,IF(G899=601,M903-AD916,IF(G899=70,M903-AF916,IF(G899=75,M903-AH916)))))))</f>
        <v>1171</v>
      </c>
      <c r="K916" s="45">
        <v>4</v>
      </c>
      <c r="L916" s="47">
        <f>VLOOKUP($H:$H,型材表!$B$5:$I$45,4,0)</f>
        <v>1.292</v>
      </c>
      <c r="M916" s="46">
        <f t="shared" si="134"/>
        <v>6.0517279999999998</v>
      </c>
      <c r="N916" s="72">
        <f>VLOOKUP($H:$H,型材表!$B$5:$I$45,7,0)</f>
        <v>0</v>
      </c>
      <c r="O916" s="46">
        <f t="shared" si="135"/>
        <v>0</v>
      </c>
      <c r="P916" s="100">
        <f>VLOOKUP($H:$H,型材表!$B$5:$I$45,5,0)</f>
        <v>0.125</v>
      </c>
      <c r="Q916" s="100" t="str">
        <f>VLOOKUP($H:$H,型材表!$B$5:$I$423,6,0)</f>
        <v>断桥隔热铝型材</v>
      </c>
      <c r="R916" s="49"/>
      <c r="S916" s="50"/>
      <c r="U916" s="374" t="s">
        <v>1123</v>
      </c>
      <c r="V916" s="259">
        <f>22+7</f>
        <v>29</v>
      </c>
      <c r="X916" s="264">
        <f>22+7</f>
        <v>29</v>
      </c>
      <c r="Z916" s="264">
        <f>22+7</f>
        <v>29</v>
      </c>
      <c r="AA916" s="259"/>
      <c r="AB916" s="264">
        <f>22+7</f>
        <v>29</v>
      </c>
      <c r="AC916" s="259"/>
      <c r="AD916" s="264">
        <f>22+7</f>
        <v>29</v>
      </c>
      <c r="AE916" s="259"/>
      <c r="AF916" s="264">
        <f>22+7</f>
        <v>29</v>
      </c>
      <c r="AG916" s="259"/>
      <c r="AH916" s="264">
        <f>22+7</f>
        <v>29</v>
      </c>
      <c r="AI916" s="259"/>
    </row>
    <row r="917" spans="1:35" x14ac:dyDescent="0.15">
      <c r="A917" s="395">
        <v>4</v>
      </c>
      <c r="B917" s="534"/>
      <c r="C917" s="535"/>
      <c r="D917" s="535"/>
      <c r="E917" s="536"/>
      <c r="F917" s="47" t="str">
        <f>VLOOKUP($H:$H,型材表!$B$5:$I$45,2,0)</f>
        <v>窗扇</v>
      </c>
      <c r="G917" s="45" t="s">
        <v>40</v>
      </c>
      <c r="H917" s="45" t="str">
        <f>H916</f>
        <v>SN65AS001</v>
      </c>
      <c r="I917" s="45" t="s">
        <v>1462</v>
      </c>
      <c r="J917" s="46">
        <f>IF(G899=65,M906-V917-V915/2,IF(G899=55,M906-X917-X915/2,IF(G899=551,M906-Z917-Z915/2,IF(G899=60,M906-AB917-AB915/2,IF(G899=601,M906-AD917-AD915/2,IF(G899=70,M906-AF917-AF915/2,IF(G899=75,M906-AH917-AH915/2)))))))</f>
        <v>656.8</v>
      </c>
      <c r="K917" s="45">
        <v>4</v>
      </c>
      <c r="L917" s="47">
        <f>VLOOKUP($H:$H,型材表!$B$5:$I$45,4,0)</f>
        <v>1.292</v>
      </c>
      <c r="M917" s="46">
        <f t="shared" si="134"/>
        <v>3.3943424000000002</v>
      </c>
      <c r="N917" s="72">
        <f>VLOOKUP($H:$H,型材表!$B$5:$I$45,7,0)</f>
        <v>0</v>
      </c>
      <c r="O917" s="46">
        <f>N917*M917</f>
        <v>0</v>
      </c>
      <c r="P917" s="100">
        <f>VLOOKUP($H:$H,型材表!$B$5:$I$45,5,0)</f>
        <v>0.125</v>
      </c>
      <c r="Q917" s="100" t="str">
        <f>VLOOKUP($H:$H,型材表!$B$5:$I$423,6,0)</f>
        <v>断桥隔热铝型材</v>
      </c>
      <c r="R917" s="49"/>
      <c r="S917" s="50"/>
      <c r="U917" s="374" t="s">
        <v>1129</v>
      </c>
      <c r="V917" s="259">
        <f>22+7</f>
        <v>29</v>
      </c>
      <c r="X917" s="264">
        <f>22+7</f>
        <v>29</v>
      </c>
      <c r="Z917" s="264">
        <f>22+7</f>
        <v>29</v>
      </c>
      <c r="AA917" s="259"/>
      <c r="AB917" s="264">
        <f>22+7</f>
        <v>29</v>
      </c>
      <c r="AC917" s="259"/>
      <c r="AD917" s="264">
        <f>22+7</f>
        <v>29</v>
      </c>
      <c r="AE917" s="259"/>
      <c r="AF917" s="264">
        <f>22+7</f>
        <v>29</v>
      </c>
      <c r="AG917" s="259"/>
      <c r="AH917" s="264">
        <f>22+7</f>
        <v>29</v>
      </c>
      <c r="AI917" s="259"/>
    </row>
    <row r="918" spans="1:35" x14ac:dyDescent="0.15">
      <c r="A918" s="395">
        <v>5</v>
      </c>
      <c r="B918" s="534"/>
      <c r="C918" s="535"/>
      <c r="D918" s="535"/>
      <c r="E918" s="536"/>
      <c r="F918" s="47" t="str">
        <f>VLOOKUP($H:$H,型材表!$B$5:$I$45,2,0)</f>
        <v>中梃</v>
      </c>
      <c r="G918" s="45" t="s">
        <v>39</v>
      </c>
      <c r="H918" s="116" t="str">
        <f>IF(G899=65,"SN65AT001",IF(G899=55,"SN55T001",IF(G899=551,"SN55BT001",IF(G899=60,"SN60T001",IF(G899=601,"SN60AT001",IF(G899=70,"SN70T001",IF(G899=75,"SN75T001")))))))</f>
        <v>SN65AT001</v>
      </c>
      <c r="I918" s="45" t="s">
        <v>1052</v>
      </c>
      <c r="J918" s="46">
        <f>IF(G899=65,M901-V918,IF(G899=55,M901-X918,IF(G899=551,M901-Z918,IF(G899=60,M901-AB918,IF(G899=601,M901-AD918,IF(G899=70,M901-AF918,IF(G899=75,M901-AH918)))))))</f>
        <v>1654</v>
      </c>
      <c r="K918" s="45">
        <v>2</v>
      </c>
      <c r="L918" s="47">
        <f>VLOOKUP($H:$H,型材表!$B$5:$I$45,4,0)</f>
        <v>1.214</v>
      </c>
      <c r="M918" s="46">
        <f t="shared" si="134"/>
        <v>4.0159120000000001</v>
      </c>
      <c r="N918" s="72">
        <f>VLOOKUP($H:$H,型材表!$B$5:$I$45,7,0)</f>
        <v>0</v>
      </c>
      <c r="O918" s="46">
        <f>N918*M918</f>
        <v>0</v>
      </c>
      <c r="P918" s="100">
        <f>VLOOKUP($H:$H,型材表!$B$5:$I$45,5,0)</f>
        <v>0.125</v>
      </c>
      <c r="Q918" s="100" t="str">
        <f>VLOOKUP($H:$H,型材表!$B$5:$I$423,6,0)</f>
        <v>断桥隔热铝型材</v>
      </c>
      <c r="R918" s="49"/>
      <c r="S918" s="50"/>
      <c r="U918" s="374" t="s">
        <v>1033</v>
      </c>
      <c r="V918" s="259">
        <f>23*2</f>
        <v>46</v>
      </c>
      <c r="X918" s="264">
        <f>23*2</f>
        <v>46</v>
      </c>
      <c r="Y918" s="265"/>
      <c r="Z918" s="264">
        <f>23*2</f>
        <v>46</v>
      </c>
      <c r="AA918" s="265"/>
      <c r="AB918" s="264">
        <f>23*2</f>
        <v>46</v>
      </c>
      <c r="AC918" s="265"/>
      <c r="AD918" s="264">
        <f>23*2</f>
        <v>46</v>
      </c>
      <c r="AE918" s="265"/>
      <c r="AF918" s="264">
        <f>23*2</f>
        <v>46</v>
      </c>
      <c r="AG918" s="265"/>
      <c r="AH918" s="264">
        <f>23*2</f>
        <v>46</v>
      </c>
      <c r="AI918" s="259"/>
    </row>
    <row r="919" spans="1:35" x14ac:dyDescent="0.15">
      <c r="A919" s="395">
        <v>6</v>
      </c>
      <c r="B919" s="537"/>
      <c r="C919" s="538"/>
      <c r="D919" s="538"/>
      <c r="E919" s="539"/>
      <c r="F919" s="47" t="str">
        <f>VLOOKUP($H:$H,型材表!$B$5:$I$45,2,0)</f>
        <v>中梃</v>
      </c>
      <c r="G919" s="45" t="s">
        <v>40</v>
      </c>
      <c r="H919" s="116" t="str">
        <f>IF(G899=65,"SN65AT001",IF(G899=55,"SN55T001",IF(G899=551,"SN55BT001",IF(G899=60,"SN60T001",IF(G899=601,"SN60AT001",IF(G899=70,"SN70T001",IF(G899=75,"SN75T001")))))))</f>
        <v>SN65AT001</v>
      </c>
      <c r="I919" s="233" t="s">
        <v>1467</v>
      </c>
      <c r="J919" s="46">
        <f>IF(G899=65,M906-V919-V915/2,IF(G899=55,M906-X919-X915/2,IF(G899=551,M906-Z919-Z915/2,IF(G899=60,M906-AB919-AB915/2,IF(G899=601,M906-AD919-AD915/2,IF(G899=70,M906-AF919-AF915/2,IF(G899=75,M906-AH919-AH915/2)))))))</f>
        <v>654.79999999999995</v>
      </c>
      <c r="K919" s="45">
        <v>2</v>
      </c>
      <c r="L919" s="47">
        <f>VLOOKUP($H:$H,型材表!$B$5:$I$45,4,0)</f>
        <v>1.214</v>
      </c>
      <c r="M919" s="46">
        <f t="shared" si="134"/>
        <v>1.5898543999999999</v>
      </c>
      <c r="N919" s="72">
        <f>VLOOKUP($H:$H,型材表!$B$5:$I$45,7,0)</f>
        <v>0</v>
      </c>
      <c r="O919" s="46">
        <f>N919*M919</f>
        <v>0</v>
      </c>
      <c r="P919" s="100">
        <f>VLOOKUP($H:$H,型材表!$B$5:$I$45,5,0)</f>
        <v>0.125</v>
      </c>
      <c r="Q919" s="100" t="str">
        <f>VLOOKUP($H:$H,型材表!$B$5:$I$423,6,0)</f>
        <v>断桥隔热铝型材</v>
      </c>
      <c r="R919" s="49"/>
      <c r="S919" s="50"/>
      <c r="U919" s="374" t="s">
        <v>1131</v>
      </c>
      <c r="V919" s="259">
        <f>23+8</f>
        <v>31</v>
      </c>
      <c r="X919" s="264">
        <f>23+8</f>
        <v>31</v>
      </c>
      <c r="Z919" s="264">
        <f>23+8</f>
        <v>31</v>
      </c>
      <c r="AA919" s="259"/>
      <c r="AB919" s="264">
        <f>23+8</f>
        <v>31</v>
      </c>
      <c r="AC919" s="259"/>
      <c r="AD919" s="264">
        <f>23+8</f>
        <v>31</v>
      </c>
      <c r="AE919" s="259"/>
      <c r="AF919" s="264">
        <f>23+8</f>
        <v>31</v>
      </c>
      <c r="AG919" s="259"/>
      <c r="AH919" s="264">
        <f>23+8</f>
        <v>31</v>
      </c>
      <c r="AI919" s="259"/>
    </row>
    <row r="920" spans="1:35" x14ac:dyDescent="0.15">
      <c r="A920" s="395">
        <v>7</v>
      </c>
      <c r="B920" s="542" t="s">
        <v>150</v>
      </c>
      <c r="C920" s="543"/>
      <c r="D920" s="543"/>
      <c r="E920" s="544"/>
      <c r="F920" s="47" t="str">
        <f>VLOOKUP($H:$H,型材表!$B$5:$I$45,2,0)</f>
        <v>转角型材</v>
      </c>
      <c r="G920" s="45"/>
      <c r="H920" s="45" t="str">
        <f>IF(G899=65,"SN65AJ001",IF(G899=55,"SN55J001",IF(G899=551,"SN55BJ001",IF(G899=60,"SN60J001",IF(G899=601,"SN60AJ001",IF(G899=70,"SN70J001",IF(G899=75,"SN75J001")))))))</f>
        <v>SN65AJ001</v>
      </c>
      <c r="I920" s="45" t="s">
        <v>901</v>
      </c>
      <c r="J920" s="46">
        <f>M901</f>
        <v>1700</v>
      </c>
      <c r="K920" s="45">
        <v>2</v>
      </c>
      <c r="L920" s="47">
        <f>VLOOKUP($H:$H,型材表!$B$5:$I$45,4,0)</f>
        <v>1.4159999999999999</v>
      </c>
      <c r="M920" s="46">
        <f t="shared" si="134"/>
        <v>4.8144</v>
      </c>
      <c r="N920" s="72">
        <f>VLOOKUP($H:$H,型材表!$B$5:$I$45,7,0)</f>
        <v>0</v>
      </c>
      <c r="O920" s="46">
        <f>N920*M920</f>
        <v>0</v>
      </c>
      <c r="P920" s="100">
        <f>VLOOKUP($H:$H,型材表!$B$5:$I$45,5,0)</f>
        <v>0.125</v>
      </c>
      <c r="Q920" s="100" t="str">
        <f>VLOOKUP($H:$H,型材表!$B$5:$I$423,6,0)</f>
        <v>断桥隔热铝型材</v>
      </c>
      <c r="R920" s="49"/>
      <c r="S920" s="50"/>
      <c r="X920" s="264"/>
      <c r="Z920" s="264"/>
      <c r="AA920" s="259"/>
      <c r="AB920" s="264"/>
      <c r="AC920" s="259"/>
      <c r="AD920" s="264"/>
      <c r="AE920" s="259"/>
      <c r="AF920" s="264"/>
      <c r="AG920" s="259"/>
      <c r="AH920" s="264"/>
      <c r="AI920" s="259"/>
    </row>
    <row r="921" spans="1:35" x14ac:dyDescent="0.15">
      <c r="A921" s="395">
        <v>8</v>
      </c>
      <c r="B921" s="531" t="s">
        <v>42</v>
      </c>
      <c r="C921" s="532"/>
      <c r="D921" s="532"/>
      <c r="E921" s="533"/>
      <c r="F921" s="47" t="str">
        <f>VLOOKUP($H:$H,型材表!$B$5:$I$45,2,0)</f>
        <v>压线</v>
      </c>
      <c r="G921" s="45" t="s">
        <v>39</v>
      </c>
      <c r="H921" s="45" t="str">
        <f>IF(G899=65,"SN65AY002",IF(G899=55,"SN55Y002",IF(G899=551,"SN55BY002",IF(G899=60,"SN60Y002",IF(G899=601,"SN60Y002",IF(G899=70,"SN70Y002",IF(G899=75,"SN75Y002")))))))</f>
        <v>SN65AY002</v>
      </c>
      <c r="I921" s="45" t="s">
        <v>1042</v>
      </c>
      <c r="J921" s="46">
        <f>IF(G899=65,M903-V921,IF(G899=55,M903-X921,IF(G899=551,M903-Z921,IF(G899=60,M903-AB921,IF(G899=601,M903-AD921,IF(G899=70,M903-AF921,IF(G899=75,M903-AH921)))))))</f>
        <v>1095.4000000000001</v>
      </c>
      <c r="K921" s="45">
        <v>4</v>
      </c>
      <c r="L921" s="47">
        <f>VLOOKUP($H:$H,型材表!$B$5:$I$45,4,0)</f>
        <v>0.20399999999999999</v>
      </c>
      <c r="M921" s="46">
        <f t="shared" si="134"/>
        <v>0.89384640000000004</v>
      </c>
      <c r="N921" s="72">
        <f>VLOOKUP($H:$H,型材表!$B$5:$I$45,7,0)</f>
        <v>0</v>
      </c>
      <c r="O921" s="46">
        <f t="shared" ref="O921:O932" si="136">N921*M921</f>
        <v>0</v>
      </c>
      <c r="P921" s="100">
        <f>VLOOKUP($H:$H,型材表!$B$5:$I$45,5,0)</f>
        <v>0.125</v>
      </c>
      <c r="Q921" s="100" t="str">
        <f>VLOOKUP($H:$H,型材表!$B$5:$I$423,6,0)</f>
        <v>非断桥隔热铝型材</v>
      </c>
      <c r="R921" s="49"/>
      <c r="S921" s="50"/>
      <c r="U921" s="374" t="s">
        <v>1126</v>
      </c>
      <c r="V921" s="269">
        <f>59.8+44.8</f>
        <v>104.6</v>
      </c>
      <c r="W921" s="269"/>
      <c r="X921" s="279">
        <f>59.8+44.8</f>
        <v>104.6</v>
      </c>
      <c r="Z921" s="279">
        <f>59.8+44.8</f>
        <v>104.6</v>
      </c>
      <c r="AA921" s="259"/>
      <c r="AB921" s="279">
        <f>59.8+44.8</f>
        <v>104.6</v>
      </c>
      <c r="AC921" s="259"/>
      <c r="AD921" s="279">
        <f>59.8+44.8</f>
        <v>104.6</v>
      </c>
      <c r="AE921" s="259"/>
      <c r="AF921" s="279">
        <f>59.8+44.8</f>
        <v>104.6</v>
      </c>
      <c r="AG921" s="259"/>
      <c r="AH921" s="279">
        <f>59.8+44.8</f>
        <v>104.6</v>
      </c>
      <c r="AI921" s="259"/>
    </row>
    <row r="922" spans="1:35" x14ac:dyDescent="0.15">
      <c r="A922" s="395">
        <v>9</v>
      </c>
      <c r="B922" s="534"/>
      <c r="C922" s="535"/>
      <c r="D922" s="535"/>
      <c r="E922" s="536"/>
      <c r="F922" s="47" t="str">
        <f>VLOOKUP($H:$H,型材表!$B$5:$I$45,2,0)</f>
        <v>压线</v>
      </c>
      <c r="G922" s="45" t="s">
        <v>39</v>
      </c>
      <c r="H922" s="45" t="str">
        <f>H921</f>
        <v>SN65AY002</v>
      </c>
      <c r="I922" s="45" t="s">
        <v>1055</v>
      </c>
      <c r="J922" s="46">
        <f>IF(G899=65,M904-V922,IF(G899=55,M904-X922,IF(G899=551,M904-Z922,IF(G899=60,M904-AB922,IF(G899=601,M904-AD922,IF(G899=70,M904-AF922,IF(G899=75,M904-AH922)))))))</f>
        <v>469</v>
      </c>
      <c r="K922" s="45">
        <v>4</v>
      </c>
      <c r="L922" s="47">
        <f>VLOOKUP($H:$H,型材表!$B$5:$I$45,4,0)</f>
        <v>0.20399999999999999</v>
      </c>
      <c r="M922" s="46">
        <f t="shared" si="134"/>
        <v>0.38270399999999993</v>
      </c>
      <c r="N922" s="72">
        <f>VLOOKUP($H:$H,型材表!$B$5:$I$45,7,0)</f>
        <v>0</v>
      </c>
      <c r="O922" s="46">
        <f t="shared" si="136"/>
        <v>0</v>
      </c>
      <c r="P922" s="100">
        <f>VLOOKUP($H:$H,型材表!$B$5:$I$45,5,0)</f>
        <v>0.125</v>
      </c>
      <c r="Q922" s="100" t="str">
        <f>VLOOKUP($H:$H,型材表!$B$5:$I$423,6,0)</f>
        <v>非断桥隔热铝型材</v>
      </c>
      <c r="R922" s="49"/>
      <c r="S922" s="50"/>
      <c r="U922" s="374" t="s">
        <v>1127</v>
      </c>
      <c r="V922" s="269">
        <f>8+23</f>
        <v>31</v>
      </c>
      <c r="W922" s="269"/>
      <c r="X922" s="279">
        <f>8+23</f>
        <v>31</v>
      </c>
      <c r="Z922" s="279">
        <f>8+23</f>
        <v>31</v>
      </c>
      <c r="AA922" s="259"/>
      <c r="AB922" s="279">
        <f>8+23</f>
        <v>31</v>
      </c>
      <c r="AC922" s="259"/>
      <c r="AD922" s="279">
        <f>8+23</f>
        <v>31</v>
      </c>
      <c r="AE922" s="259"/>
      <c r="AF922" s="279">
        <f>8+23</f>
        <v>31</v>
      </c>
      <c r="AG922" s="259"/>
      <c r="AH922" s="279">
        <f>8+23</f>
        <v>31</v>
      </c>
      <c r="AI922" s="259"/>
    </row>
    <row r="923" spans="1:35" x14ac:dyDescent="0.15">
      <c r="A923" s="395">
        <v>10</v>
      </c>
      <c r="B923" s="534"/>
      <c r="C923" s="535"/>
      <c r="D923" s="535"/>
      <c r="E923" s="536"/>
      <c r="F923" s="47" t="str">
        <f>VLOOKUP($H:$H,型材表!$B$5:$I$45,2,0)</f>
        <v>压线</v>
      </c>
      <c r="G923" s="45" t="s">
        <v>39</v>
      </c>
      <c r="H923" s="45" t="str">
        <f t="shared" ref="H923" si="137">H922</f>
        <v>SN65AY002</v>
      </c>
      <c r="I923" s="207" t="s">
        <v>1054</v>
      </c>
      <c r="J923" s="208">
        <f>IF(G899=65,M901-V923,IF(G899=55,M901-X923,IF(G899=551,M901-Z923,IF(G899=60,M901-AB923,IF(G899=601,M901-AD923,IF(G899=70,M901-AF923,IF(G899=75,M901-AH923)))))))</f>
        <v>1654</v>
      </c>
      <c r="K923" s="45">
        <v>6</v>
      </c>
      <c r="L923" s="47">
        <f>VLOOKUP($H:$H,型材表!$B$5:$I$45,4,0)</f>
        <v>0.20399999999999999</v>
      </c>
      <c r="M923" s="46">
        <f t="shared" si="134"/>
        <v>2.0244960000000001</v>
      </c>
      <c r="N923" s="72">
        <f>VLOOKUP($H:$H,型材表!$B$5:$I$45,7,0)</f>
        <v>0</v>
      </c>
      <c r="O923" s="46">
        <f t="shared" si="136"/>
        <v>0</v>
      </c>
      <c r="P923" s="100">
        <f>VLOOKUP($H:$H,型材表!$B$5:$I$45,5,0)</f>
        <v>0.125</v>
      </c>
      <c r="Q923" s="100" t="str">
        <f>VLOOKUP($H:$H,型材表!$B$5:$I$423,6,0)</f>
        <v>非断桥隔热铝型材</v>
      </c>
      <c r="R923" s="210"/>
      <c r="S923" s="50"/>
      <c r="U923" s="374" t="s">
        <v>1038</v>
      </c>
      <c r="V923" s="269">
        <f>23*2</f>
        <v>46</v>
      </c>
      <c r="W923" s="269"/>
      <c r="X923" s="279">
        <f>23*2</f>
        <v>46</v>
      </c>
      <c r="Z923" s="279">
        <f>23*2</f>
        <v>46</v>
      </c>
      <c r="AA923" s="259"/>
      <c r="AB923" s="279">
        <f>23*2</f>
        <v>46</v>
      </c>
      <c r="AC923" s="259"/>
      <c r="AD923" s="279">
        <f>23*2</f>
        <v>46</v>
      </c>
      <c r="AE923" s="259"/>
      <c r="AF923" s="279">
        <f>23*2</f>
        <v>46</v>
      </c>
      <c r="AG923" s="259"/>
      <c r="AH923" s="279">
        <f>23*2</f>
        <v>46</v>
      </c>
      <c r="AI923" s="259"/>
    </row>
    <row r="924" spans="1:35" x14ac:dyDescent="0.15">
      <c r="A924" s="395">
        <v>11</v>
      </c>
      <c r="B924" s="534"/>
      <c r="C924" s="535"/>
      <c r="D924" s="535"/>
      <c r="E924" s="536"/>
      <c r="F924" s="47" t="str">
        <f>VLOOKUP($H:$H,型材表!$B$5:$I$45,2,0)</f>
        <v>压线</v>
      </c>
      <c r="G924" s="45" t="s">
        <v>40</v>
      </c>
      <c r="H924" s="45" t="str">
        <f>H923</f>
        <v>SN65AY002</v>
      </c>
      <c r="I924" s="207" t="s">
        <v>1063</v>
      </c>
      <c r="J924" s="208">
        <f>IF(G899=65,M907-V924,IF(G899=55,M907-X924,IF(G899=551,M907-Z924,IF(G899=60,M907-AB924,IF(G899=601,M907-AD924,IF(G899=70,M907-AF924,IF(G899=75,M907-AH924)))))))</f>
        <v>784</v>
      </c>
      <c r="K924" s="45">
        <v>2</v>
      </c>
      <c r="L924" s="47">
        <f>VLOOKUP($H:$H,型材表!$B$5:$I$45,4,0)</f>
        <v>0.20399999999999999</v>
      </c>
      <c r="M924" s="46">
        <f t="shared" si="134"/>
        <v>0.31987199999999993</v>
      </c>
      <c r="N924" s="72">
        <f>VLOOKUP($H:$H,型材表!$B$5:$I$45,7,0)</f>
        <v>0</v>
      </c>
      <c r="O924" s="46">
        <f t="shared" si="136"/>
        <v>0</v>
      </c>
      <c r="P924" s="100">
        <f>VLOOKUP($H:$H,型材表!$B$5:$I$45,5,0)</f>
        <v>0.125</v>
      </c>
      <c r="Q924" s="100" t="str">
        <f>VLOOKUP($H:$H,型材表!$B$5:$I$423,6,0)</f>
        <v>非断桥隔热铝型材</v>
      </c>
      <c r="R924" s="210"/>
      <c r="S924" s="50"/>
      <c r="U924" s="374" t="s">
        <v>1034</v>
      </c>
      <c r="V924" s="269">
        <f>8*2</f>
        <v>16</v>
      </c>
      <c r="W924" s="269"/>
      <c r="X924" s="279">
        <f>8*2</f>
        <v>16</v>
      </c>
      <c r="Z924" s="279">
        <f>8*2</f>
        <v>16</v>
      </c>
      <c r="AA924" s="259"/>
      <c r="AB924" s="279">
        <f>8*2</f>
        <v>16</v>
      </c>
      <c r="AC924" s="259"/>
      <c r="AD924" s="279">
        <f>8*2</f>
        <v>16</v>
      </c>
      <c r="AE924" s="259"/>
      <c r="AF924" s="279">
        <f>8*2</f>
        <v>16</v>
      </c>
      <c r="AG924" s="259"/>
      <c r="AH924" s="279">
        <f>8*2</f>
        <v>16</v>
      </c>
      <c r="AI924" s="259"/>
    </row>
    <row r="925" spans="1:35" x14ac:dyDescent="0.15">
      <c r="A925" s="395">
        <v>12</v>
      </c>
      <c r="B925" s="534"/>
      <c r="C925" s="535"/>
      <c r="D925" s="535"/>
      <c r="E925" s="536"/>
      <c r="F925" s="47" t="str">
        <f>VLOOKUP($H:$H,型材表!$B$5:$I$45,2,0)</f>
        <v>压线</v>
      </c>
      <c r="G925" s="45" t="s">
        <v>40</v>
      </c>
      <c r="H925" s="45" t="str">
        <f t="shared" ref="H925:H927" si="138">H924</f>
        <v>SN65AY002</v>
      </c>
      <c r="I925" s="207" t="s">
        <v>1075</v>
      </c>
      <c r="J925" s="208">
        <f>IF(G899=65,M906-V925,IF(G899=55,M906-X925,IF(G899=551,M906-Z925,IF(G899=60,M906-AB925,IF(G899=601,M906-AD925,IF(G899=70,M906-AF925,IF(G899=75,M906-AH925)))))))</f>
        <v>581.20000000000005</v>
      </c>
      <c r="K925" s="45">
        <v>4</v>
      </c>
      <c r="L925" s="47">
        <f>VLOOKUP($H:$H,型材表!$B$5:$I$45,4,0)</f>
        <v>0.20399999999999999</v>
      </c>
      <c r="M925" s="46">
        <f t="shared" si="134"/>
        <v>0.47425920000000005</v>
      </c>
      <c r="N925" s="72">
        <f>VLOOKUP($H:$H,型材表!$B$5:$I$45,7,0)</f>
        <v>0</v>
      </c>
      <c r="O925" s="46">
        <f t="shared" si="136"/>
        <v>0</v>
      </c>
      <c r="P925" s="100">
        <f>VLOOKUP($H:$H,型材表!$B$5:$I$45,5,0)</f>
        <v>0.125</v>
      </c>
      <c r="Q925" s="100" t="str">
        <f>VLOOKUP($H:$H,型材表!$B$5:$I$423,6,0)</f>
        <v>非断桥隔热铝型材</v>
      </c>
      <c r="R925" s="210"/>
      <c r="S925" s="50"/>
      <c r="U925" s="374" t="s">
        <v>1135</v>
      </c>
      <c r="V925" s="269">
        <f>59.8+44.8+64.2</f>
        <v>168.8</v>
      </c>
      <c r="W925" s="269"/>
      <c r="X925" s="279">
        <f>59.8+44.8+55</f>
        <v>159.6</v>
      </c>
      <c r="Z925" s="279">
        <f>59.8+44.8+55</f>
        <v>159.6</v>
      </c>
      <c r="AA925" s="259"/>
      <c r="AB925" s="279">
        <f>59.8+44.8+60.2</f>
        <v>164.8</v>
      </c>
      <c r="AC925" s="259"/>
      <c r="AD925" s="279">
        <f>59.8+44.8+60.4</f>
        <v>165</v>
      </c>
      <c r="AE925" s="259"/>
      <c r="AF925" s="279">
        <f>59.8+44.8+70.2</f>
        <v>174.8</v>
      </c>
      <c r="AG925" s="259"/>
      <c r="AH925" s="279">
        <f>59.8+44.8+74.2</f>
        <v>178.8</v>
      </c>
      <c r="AI925" s="259"/>
    </row>
    <row r="926" spans="1:35" x14ac:dyDescent="0.15">
      <c r="A926" s="395">
        <v>13</v>
      </c>
      <c r="B926" s="534"/>
      <c r="C926" s="535"/>
      <c r="D926" s="535"/>
      <c r="E926" s="536"/>
      <c r="F926" s="47" t="str">
        <f>VLOOKUP($H:$H,型材表!$B$5:$I$45,2,0)</f>
        <v>压线</v>
      </c>
      <c r="G926" s="45" t="s">
        <v>40</v>
      </c>
      <c r="H926" s="45" t="str">
        <f t="shared" si="138"/>
        <v>SN65AY002</v>
      </c>
      <c r="I926" s="207" t="s">
        <v>1074</v>
      </c>
      <c r="J926" s="208">
        <f>IF(G899=65,M906-V926,IF(G899=55,M906-X926,IF(G899=551,M906-Z926,IF(G899=60,M906-AB926,IF(G899=601,M906-AD926,IF(G899=70,M906-AF926,IF(G899=75,M906-AH926)))))))</f>
        <v>654.79999999999995</v>
      </c>
      <c r="K926" s="45">
        <v>4</v>
      </c>
      <c r="L926" s="47">
        <f>VLOOKUP($H:$H,型材表!$B$5:$I$45,4,0)</f>
        <v>0.20399999999999999</v>
      </c>
      <c r="M926" s="46">
        <f t="shared" si="134"/>
        <v>0.53431679999999993</v>
      </c>
      <c r="N926" s="72">
        <f>VLOOKUP($H:$H,型材表!$B$5:$I$45,7,0)</f>
        <v>0</v>
      </c>
      <c r="O926" s="46">
        <f t="shared" si="136"/>
        <v>0</v>
      </c>
      <c r="P926" s="100">
        <f>VLOOKUP($H:$H,型材表!$B$5:$I$45,5,0)</f>
        <v>0.125</v>
      </c>
      <c r="Q926" s="100" t="str">
        <f>VLOOKUP($H:$H,型材表!$B$5:$I$423,6,0)</f>
        <v>非断桥隔热铝型材</v>
      </c>
      <c r="R926" s="210"/>
      <c r="S926" s="50"/>
      <c r="U926" s="374" t="s">
        <v>1133</v>
      </c>
      <c r="V926" s="269">
        <f>8+87.2</f>
        <v>95.2</v>
      </c>
      <c r="W926" s="269"/>
      <c r="X926" s="279">
        <f>8+78</f>
        <v>86</v>
      </c>
      <c r="Y926" s="265"/>
      <c r="Z926" s="279">
        <f>8+78</f>
        <v>86</v>
      </c>
      <c r="AA926" s="265"/>
      <c r="AB926" s="279">
        <f>8+83.2</f>
        <v>91.2</v>
      </c>
      <c r="AC926" s="265"/>
      <c r="AD926" s="279">
        <f>8+83.4</f>
        <v>91.4</v>
      </c>
      <c r="AE926" s="265"/>
      <c r="AF926" s="279">
        <f>8+93.2</f>
        <v>101.2</v>
      </c>
      <c r="AG926" s="265"/>
      <c r="AH926" s="279">
        <f>8+97.2</f>
        <v>105.2</v>
      </c>
      <c r="AI926" s="259"/>
    </row>
    <row r="927" spans="1:35" x14ac:dyDescent="0.15">
      <c r="A927" s="395">
        <v>14</v>
      </c>
      <c r="B927" s="537"/>
      <c r="C927" s="538"/>
      <c r="D927" s="538"/>
      <c r="E927" s="539"/>
      <c r="F927" s="47" t="str">
        <f>VLOOKUP($H:$H,型材表!$B$5:$I$45,2,0)</f>
        <v>压线</v>
      </c>
      <c r="G927" s="45" t="s">
        <v>40</v>
      </c>
      <c r="H927" s="45" t="str">
        <f t="shared" si="138"/>
        <v>SN65AY002</v>
      </c>
      <c r="I927" s="207" t="s">
        <v>1071</v>
      </c>
      <c r="J927" s="208">
        <f>IF(G899=65,M908-V927,IF(G899=55,M908-X927,IF(G899=551,M908-Z927,IF(G899=60,M908-AB927,IF(G899=601,M908-AD927,IF(G899=70,M908-AF927,IF(G899=75,M908-AH927)))))))</f>
        <v>389.8</v>
      </c>
      <c r="K927" s="45">
        <v>4</v>
      </c>
      <c r="L927" s="47">
        <f>VLOOKUP($H:$H,型材表!$B$5:$I$45,4,0)</f>
        <v>0.20399999999999999</v>
      </c>
      <c r="M927" s="46">
        <f t="shared" si="134"/>
        <v>0.31807679999999999</v>
      </c>
      <c r="N927" s="72">
        <f>VLOOKUP($H:$H,型材表!$B$5:$I$45,7,0)</f>
        <v>0</v>
      </c>
      <c r="O927" s="46">
        <f t="shared" si="136"/>
        <v>0</v>
      </c>
      <c r="P927" s="100">
        <f>VLOOKUP($H:$H,型材表!$B$5:$I$45,5,0)</f>
        <v>0.125</v>
      </c>
      <c r="Q927" s="100" t="str">
        <f>VLOOKUP($H:$H,型材表!$B$5:$I$423,6,0)</f>
        <v>非断桥隔热铝型材</v>
      </c>
      <c r="R927" s="210"/>
      <c r="S927" s="50"/>
      <c r="U927" s="374" t="s">
        <v>1134</v>
      </c>
      <c r="V927" s="269">
        <f>87.2+23</f>
        <v>110.2</v>
      </c>
      <c r="W927" s="269"/>
      <c r="X927" s="279">
        <f>78+23</f>
        <v>101</v>
      </c>
      <c r="Y927" s="265"/>
      <c r="Z927" s="279">
        <f>78+23</f>
        <v>101</v>
      </c>
      <c r="AA927" s="265"/>
      <c r="AB927" s="279">
        <f>83.2+23</f>
        <v>106.2</v>
      </c>
      <c r="AC927" s="265"/>
      <c r="AD927" s="279">
        <f>83.4+23</f>
        <v>106.4</v>
      </c>
      <c r="AE927" s="265"/>
      <c r="AF927" s="279">
        <f>93.2+23</f>
        <v>116.2</v>
      </c>
      <c r="AG927" s="265"/>
      <c r="AH927" s="279">
        <f>97.2+23</f>
        <v>120.2</v>
      </c>
      <c r="AI927" s="259"/>
    </row>
    <row r="928" spans="1:35" x14ac:dyDescent="0.15">
      <c r="A928" s="395">
        <v>15</v>
      </c>
      <c r="B928" s="531" t="s">
        <v>44</v>
      </c>
      <c r="C928" s="532"/>
      <c r="D928" s="532"/>
      <c r="E928" s="533"/>
      <c r="F928" s="47" t="str">
        <f>VLOOKUP($H:$H,型材表!$B$5:$I$45,2,0)</f>
        <v>角码</v>
      </c>
      <c r="G928" s="51" t="s">
        <v>446</v>
      </c>
      <c r="H928" s="45" t="str">
        <f>IF(G899=65,"SW55F001","SN55F003")</f>
        <v>SW55F001</v>
      </c>
      <c r="I928" s="45" t="s">
        <v>943</v>
      </c>
      <c r="J928" s="52">
        <f>IF(G899=65,V928,IF(G899=55,X928,IF(G899=551,Z928,IF(G899=60,AB928,IF(G899=601,AD928,IF(G899=70,AF928,IF(G899=75,AH928)))))))</f>
        <v>32.200000000000003</v>
      </c>
      <c r="K928" s="45">
        <f>K914*2</f>
        <v>12</v>
      </c>
      <c r="L928" s="47">
        <f>VLOOKUP($H:$H,型材表!$B$5:$I$45,4,0)</f>
        <v>2.0950000000000002</v>
      </c>
      <c r="M928" s="46">
        <f t="shared" si="134"/>
        <v>0.80950800000000012</v>
      </c>
      <c r="N928" s="72">
        <f>VLOOKUP($H:$H,型材表!$B$5:$I$45,7,0)</f>
        <v>0</v>
      </c>
      <c r="O928" s="46">
        <f t="shared" si="136"/>
        <v>0</v>
      </c>
      <c r="P928" s="100">
        <f>VLOOKUP($H:$H,型材表!$B$5:$I$45,5,0)</f>
        <v>0.125</v>
      </c>
      <c r="Q928" s="100" t="str">
        <f>VLOOKUP($H:$H,型材表!$B$5:$I$423,6,0)</f>
        <v>阳极氧化铝型材</v>
      </c>
      <c r="R928" s="49"/>
      <c r="S928" s="50"/>
      <c r="U928" s="374" t="s">
        <v>943</v>
      </c>
      <c r="V928" s="259">
        <f>19.5-1+14.7-1</f>
        <v>32.200000000000003</v>
      </c>
      <c r="X928" s="264">
        <f>19.5-1+14.7-1</f>
        <v>32.200000000000003</v>
      </c>
      <c r="Y928" s="265"/>
      <c r="Z928" s="264">
        <f>19.5-1+10.9-1</f>
        <v>28.4</v>
      </c>
      <c r="AA928" s="277"/>
      <c r="AB928" s="264">
        <f>19.5-1+14.7-1</f>
        <v>32.200000000000003</v>
      </c>
      <c r="AC928" s="277"/>
      <c r="AD928" s="264">
        <f>19.5-1+10.9-1</f>
        <v>28.4</v>
      </c>
      <c r="AE928" s="277"/>
      <c r="AF928" s="264">
        <f>19.5-1+14.7-1</f>
        <v>32.200000000000003</v>
      </c>
      <c r="AG928" s="277"/>
      <c r="AH928" s="264">
        <f>19.5-1+14.7-1</f>
        <v>32.200000000000003</v>
      </c>
      <c r="AI928" s="259"/>
    </row>
    <row r="929" spans="1:35" x14ac:dyDescent="0.15">
      <c r="A929" s="395">
        <v>16</v>
      </c>
      <c r="B929" s="534"/>
      <c r="C929" s="535"/>
      <c r="D929" s="535"/>
      <c r="E929" s="536"/>
      <c r="F929" s="47" t="str">
        <f>VLOOKUP($H:$H,型材表!$B$5:$I$45,2,0)</f>
        <v>角码</v>
      </c>
      <c r="G929" s="51" t="s">
        <v>447</v>
      </c>
      <c r="H929" s="45" t="str">
        <f>IF(G899=65,"SN55F003","SN55F003")</f>
        <v>SN55F003</v>
      </c>
      <c r="I929" s="45" t="s">
        <v>995</v>
      </c>
      <c r="J929" s="52">
        <f>V929</f>
        <v>27.1</v>
      </c>
      <c r="K929" s="45">
        <v>8</v>
      </c>
      <c r="L929" s="47">
        <f>VLOOKUP($H:$H,型材表!$B$5:$I$45,4,0)</f>
        <v>1.7490000000000001</v>
      </c>
      <c r="M929" s="46">
        <f t="shared" si="134"/>
        <v>0.37918320000000005</v>
      </c>
      <c r="N929" s="72">
        <f>VLOOKUP($H:$H,型材表!$B$5:$I$45,7,0)</f>
        <v>0</v>
      </c>
      <c r="O929" s="46">
        <f t="shared" si="136"/>
        <v>0</v>
      </c>
      <c r="P929" s="100">
        <f>VLOOKUP($H:$H,型材表!$B$5:$I$45,5,0)</f>
        <v>0.125</v>
      </c>
      <c r="Q929" s="100" t="str">
        <f>VLOOKUP($H:$H,型材表!$B$5:$I$423,6,0)</f>
        <v>阳极氧化铝型材</v>
      </c>
      <c r="R929" s="49"/>
      <c r="S929" s="50"/>
      <c r="U929" s="374" t="s">
        <v>995</v>
      </c>
      <c r="V929" s="259">
        <f>28.1-1</f>
        <v>27.1</v>
      </c>
      <c r="X929" s="264"/>
      <c r="Z929" s="264"/>
      <c r="AA929" s="259"/>
      <c r="AB929" s="264"/>
      <c r="AC929" s="259"/>
      <c r="AD929" s="264"/>
      <c r="AE929" s="259"/>
      <c r="AF929" s="264"/>
      <c r="AG929" s="259"/>
      <c r="AH929" s="264"/>
      <c r="AI929" s="259"/>
    </row>
    <row r="930" spans="1:35" x14ac:dyDescent="0.15">
      <c r="A930" s="395">
        <v>17</v>
      </c>
      <c r="B930" s="534"/>
      <c r="C930" s="535"/>
      <c r="D930" s="535"/>
      <c r="E930" s="536"/>
      <c r="F930" s="47" t="str">
        <f>VLOOKUP($H:$H,型材表!$B$5:$I$45,2,0)</f>
        <v>角码</v>
      </c>
      <c r="G930" s="51" t="s">
        <v>447</v>
      </c>
      <c r="H930" s="45" t="str">
        <f>IF(G899=70,"SW50F002",IF(G899=75,"SW50F002","SN55F003"))</f>
        <v>SN55F003</v>
      </c>
      <c r="I930" s="45" t="s">
        <v>996</v>
      </c>
      <c r="J930" s="52">
        <f>IF(G899=65,V930,IF(G899=55,X930,IF(G899=551,Z930,IF(G899=60,AB930,IF(G899=601,AD930,IF(G899=70,AF930,IF(G899=75,AH930)))))))</f>
        <v>8</v>
      </c>
      <c r="K930" s="45">
        <v>8</v>
      </c>
      <c r="L930" s="47">
        <f>VLOOKUP($H:$H,型材表!$B$5:$I$45,4,0)</f>
        <v>1.7490000000000001</v>
      </c>
      <c r="M930" s="46">
        <f t="shared" si="134"/>
        <v>0.11193600000000001</v>
      </c>
      <c r="N930" s="72">
        <f>VLOOKUP($H:$H,型材表!$B$5:$I$45,7,0)</f>
        <v>0</v>
      </c>
      <c r="O930" s="46">
        <f t="shared" si="136"/>
        <v>0</v>
      </c>
      <c r="P930" s="100">
        <f>VLOOKUP($H:$H,型材表!$B$5:$I$45,5,0)</f>
        <v>0.125</v>
      </c>
      <c r="Q930" s="100" t="str">
        <f>VLOOKUP($H:$H,型材表!$B$5:$I$423,6,0)</f>
        <v>阳极氧化铝型材</v>
      </c>
      <c r="R930" s="49"/>
      <c r="S930" s="50"/>
      <c r="U930" s="374" t="s">
        <v>996</v>
      </c>
      <c r="V930" s="259">
        <f>9-1</f>
        <v>8</v>
      </c>
      <c r="X930" s="264">
        <f>9-1</f>
        <v>8</v>
      </c>
      <c r="Y930" s="265"/>
      <c r="Z930" s="264">
        <f>5.2-1</f>
        <v>4.2</v>
      </c>
      <c r="AA930" s="277"/>
      <c r="AB930" s="264">
        <f>9-1</f>
        <v>8</v>
      </c>
      <c r="AC930" s="277"/>
      <c r="AD930" s="264">
        <f>5.2-1</f>
        <v>4.2</v>
      </c>
      <c r="AE930" s="277"/>
      <c r="AF930" s="264">
        <f>9-1</f>
        <v>8</v>
      </c>
      <c r="AG930" s="277"/>
      <c r="AH930" s="264">
        <f>9-1</f>
        <v>8</v>
      </c>
      <c r="AI930" s="259"/>
    </row>
    <row r="931" spans="1:35" x14ac:dyDescent="0.15">
      <c r="A931" s="395">
        <v>18</v>
      </c>
      <c r="B931" s="534"/>
      <c r="C931" s="535"/>
      <c r="D931" s="535"/>
      <c r="E931" s="536"/>
      <c r="F931" s="47" t="str">
        <f>VLOOKUP($H:$H,型材表!$B$5:$I$45,2,0)</f>
        <v>中梃角码</v>
      </c>
      <c r="G931" s="51"/>
      <c r="H931" s="45" t="str">
        <f>IF(G899=65,"SN55F001","SN55F001")</f>
        <v>SN55F001</v>
      </c>
      <c r="I931" s="45" t="s">
        <v>997</v>
      </c>
      <c r="J931" s="52">
        <f>V931</f>
        <v>18.5</v>
      </c>
      <c r="K931" s="45">
        <v>8</v>
      </c>
      <c r="L931" s="47">
        <f>VLOOKUP($H:$H,型材表!$B$5:$I$45,4,0)</f>
        <v>1.4730000000000001</v>
      </c>
      <c r="M931" s="46">
        <f t="shared" si="134"/>
        <v>0.21800400000000003</v>
      </c>
      <c r="N931" s="72">
        <f>VLOOKUP($H:$H,型材表!$B$5:$I$45,7,0)</f>
        <v>0</v>
      </c>
      <c r="O931" s="46">
        <f t="shared" si="136"/>
        <v>0</v>
      </c>
      <c r="P931" s="100">
        <f>VLOOKUP($H:$H,型材表!$B$5:$I$45,5,0)</f>
        <v>0.125</v>
      </c>
      <c r="Q931" s="100" t="str">
        <f>VLOOKUP($H:$H,型材表!$B$5:$I$423,6,0)</f>
        <v>阳极氧化铝型材</v>
      </c>
      <c r="R931" s="49"/>
      <c r="S931" s="50"/>
      <c r="U931" s="374" t="s">
        <v>997</v>
      </c>
      <c r="V931" s="259">
        <f>19.5-1</f>
        <v>18.5</v>
      </c>
      <c r="X931" s="264"/>
      <c r="Z931" s="264"/>
      <c r="AA931" s="259"/>
      <c r="AB931" s="264"/>
      <c r="AC931" s="259"/>
      <c r="AD931" s="264"/>
      <c r="AE931" s="259"/>
      <c r="AF931" s="264"/>
      <c r="AG931" s="259"/>
      <c r="AH931" s="264"/>
      <c r="AI931" s="259"/>
    </row>
    <row r="932" spans="1:35" x14ac:dyDescent="0.15">
      <c r="A932" s="395">
        <v>19</v>
      </c>
      <c r="B932" s="534"/>
      <c r="C932" s="535"/>
      <c r="D932" s="535"/>
      <c r="E932" s="536"/>
      <c r="F932" s="47" t="str">
        <f>VLOOKUP($H:$H,型材表!$B$5:$I$45,2,0)</f>
        <v>中梃角码</v>
      </c>
      <c r="G932" s="53"/>
      <c r="H932" s="45" t="str">
        <f>IF(G899=70,"SN70F001",IF(G899=75,"SN70F001",IF(G899=551,"SN55BF001",IF(G899=601,"SN55BF001","SN55F002"))))</f>
        <v>SN55F002</v>
      </c>
      <c r="I932" s="45" t="s">
        <v>939</v>
      </c>
      <c r="J932" s="52">
        <f>V932</f>
        <v>13.5</v>
      </c>
      <c r="K932" s="55">
        <f>K931</f>
        <v>8</v>
      </c>
      <c r="L932" s="47">
        <f>VLOOKUP($H:$H,型材表!$B$5:$I$45,4,0)</f>
        <v>0.90400000000000003</v>
      </c>
      <c r="M932" s="46">
        <f t="shared" si="134"/>
        <v>9.763200000000001E-2</v>
      </c>
      <c r="N932" s="72">
        <f>VLOOKUP($H:$H,型材表!$B$5:$I$45,7,0)</f>
        <v>0</v>
      </c>
      <c r="O932" s="46">
        <f t="shared" si="136"/>
        <v>0</v>
      </c>
      <c r="P932" s="100">
        <f>VLOOKUP($H:$H,型材表!$B$5:$I$45,5,0)</f>
        <v>0.125</v>
      </c>
      <c r="Q932" s="100" t="str">
        <f>VLOOKUP($H:$H,型材表!$B$5:$I$423,6,0)</f>
        <v>阳极氧化铝型材</v>
      </c>
      <c r="R932" s="49"/>
      <c r="S932" s="50"/>
      <c r="U932" s="374" t="s">
        <v>939</v>
      </c>
      <c r="V932" s="259">
        <f>14.5-1</f>
        <v>13.5</v>
      </c>
      <c r="X932" s="264"/>
      <c r="Z932" s="264"/>
      <c r="AA932" s="259"/>
      <c r="AB932" s="264"/>
      <c r="AC932" s="259"/>
      <c r="AD932" s="264"/>
      <c r="AE932" s="259"/>
      <c r="AF932" s="264"/>
      <c r="AG932" s="259"/>
      <c r="AH932" s="264"/>
      <c r="AI932" s="259"/>
    </row>
    <row r="933" spans="1:35" x14ac:dyDescent="0.15">
      <c r="A933" s="395">
        <v>20</v>
      </c>
      <c r="B933" s="534"/>
      <c r="C933" s="535"/>
      <c r="D933" s="535"/>
      <c r="E933" s="536"/>
      <c r="F933" s="306"/>
      <c r="G933" s="53"/>
      <c r="H933" s="207"/>
      <c r="I933" s="207"/>
      <c r="J933" s="214"/>
      <c r="K933" s="55"/>
      <c r="L933" s="306"/>
      <c r="M933" s="208"/>
      <c r="N933" s="432"/>
      <c r="O933" s="208"/>
      <c r="P933" s="433"/>
      <c r="Q933" s="360"/>
      <c r="R933" s="60"/>
      <c r="S933" s="50"/>
      <c r="X933" s="264"/>
      <c r="Z933" s="264"/>
      <c r="AA933" s="259"/>
      <c r="AB933" s="264"/>
      <c r="AC933" s="259"/>
      <c r="AD933" s="264"/>
      <c r="AE933" s="259"/>
      <c r="AF933" s="264"/>
      <c r="AG933" s="259"/>
      <c r="AH933" s="264"/>
      <c r="AI933" s="259"/>
    </row>
    <row r="934" spans="1:35" x14ac:dyDescent="0.15">
      <c r="A934" s="395">
        <v>21</v>
      </c>
      <c r="B934" s="537"/>
      <c r="C934" s="538"/>
      <c r="D934" s="538"/>
      <c r="E934" s="539"/>
      <c r="F934" s="306"/>
      <c r="G934" s="53"/>
      <c r="H934" s="207"/>
      <c r="I934" s="207"/>
      <c r="J934" s="214"/>
      <c r="K934" s="55"/>
      <c r="L934" s="306"/>
      <c r="M934" s="208"/>
      <c r="N934" s="432"/>
      <c r="O934" s="208"/>
      <c r="P934" s="433"/>
      <c r="Q934" s="360"/>
      <c r="R934" s="60"/>
      <c r="S934" s="50"/>
      <c r="X934" s="264"/>
      <c r="Z934" s="264"/>
      <c r="AA934" s="259"/>
      <c r="AB934" s="264"/>
      <c r="AC934" s="259"/>
      <c r="AD934" s="264"/>
      <c r="AE934" s="259"/>
      <c r="AF934" s="264"/>
      <c r="AG934" s="259"/>
      <c r="AH934" s="264"/>
      <c r="AI934" s="259"/>
    </row>
    <row r="935" spans="1:35" x14ac:dyDescent="0.15">
      <c r="A935" s="563" t="s">
        <v>877</v>
      </c>
      <c r="B935" s="563"/>
      <c r="C935" s="563"/>
      <c r="D935" s="564"/>
      <c r="E935" s="564"/>
      <c r="F935" s="563"/>
      <c r="G935" s="563"/>
      <c r="H935" s="563"/>
      <c r="I935" s="563"/>
      <c r="J935" s="563"/>
      <c r="K935" s="563"/>
      <c r="L935" s="563"/>
      <c r="M935" s="46">
        <f>SUMIF($Q$776:$Q$796,A935,$M$776:$M$796)</f>
        <v>28.581364000000001</v>
      </c>
      <c r="N935" s="58"/>
      <c r="O935" s="46"/>
      <c r="P935" s="59"/>
      <c r="Q935" s="336"/>
      <c r="R935" s="60"/>
      <c r="S935" s="50"/>
      <c r="X935" s="264"/>
      <c r="Z935" s="264"/>
      <c r="AA935" s="259"/>
      <c r="AB935" s="264"/>
      <c r="AC935" s="259"/>
      <c r="AD935" s="264"/>
      <c r="AE935" s="259"/>
      <c r="AF935" s="264"/>
      <c r="AG935" s="259"/>
      <c r="AH935" s="264"/>
      <c r="AI935" s="259"/>
    </row>
    <row r="936" spans="1:35" x14ac:dyDescent="0.15">
      <c r="A936" s="563" t="s">
        <v>879</v>
      </c>
      <c r="B936" s="563"/>
      <c r="C936" s="563"/>
      <c r="D936" s="564"/>
      <c r="E936" s="564"/>
      <c r="F936" s="563"/>
      <c r="G936" s="563"/>
      <c r="H936" s="563"/>
      <c r="I936" s="563"/>
      <c r="J936" s="563"/>
      <c r="K936" s="563"/>
      <c r="L936" s="563"/>
      <c r="M936" s="46">
        <f>SUMIF($Q$776:$Q$796,A936,$M$776:$M$796)</f>
        <v>4.2411599999999998</v>
      </c>
      <c r="N936" s="58"/>
      <c r="O936" s="46"/>
      <c r="P936" s="59"/>
      <c r="Q936" s="336"/>
      <c r="R936" s="60"/>
      <c r="S936" s="50"/>
      <c r="X936" s="264"/>
      <c r="Z936" s="264"/>
      <c r="AA936" s="259"/>
      <c r="AB936" s="264"/>
      <c r="AC936" s="259"/>
      <c r="AD936" s="264"/>
      <c r="AE936" s="259"/>
      <c r="AF936" s="264"/>
      <c r="AG936" s="259"/>
      <c r="AH936" s="264"/>
      <c r="AI936" s="259"/>
    </row>
    <row r="937" spans="1:35" x14ac:dyDescent="0.15">
      <c r="A937" s="563" t="s">
        <v>880</v>
      </c>
      <c r="B937" s="563"/>
      <c r="C937" s="563"/>
      <c r="D937" s="564"/>
      <c r="E937" s="564"/>
      <c r="F937" s="563"/>
      <c r="G937" s="563"/>
      <c r="H937" s="563"/>
      <c r="I937" s="563"/>
      <c r="J937" s="563"/>
      <c r="K937" s="563"/>
      <c r="L937" s="563"/>
      <c r="M937" s="46">
        <f>SUMIF($Q$776:$Q$796,A937,$M$776:$M$796)</f>
        <v>1.3464272000000002</v>
      </c>
      <c r="N937" s="58"/>
      <c r="O937" s="46"/>
      <c r="P937" s="59"/>
      <c r="Q937" s="336"/>
      <c r="R937" s="60"/>
      <c r="S937" s="50"/>
      <c r="X937" s="264"/>
      <c r="Z937" s="264"/>
      <c r="AA937" s="259"/>
      <c r="AB937" s="264"/>
      <c r="AC937" s="259"/>
      <c r="AD937" s="264"/>
      <c r="AE937" s="259"/>
      <c r="AF937" s="264"/>
      <c r="AG937" s="259"/>
      <c r="AH937" s="264"/>
      <c r="AI937" s="259"/>
    </row>
    <row r="938" spans="1:35" x14ac:dyDescent="0.15">
      <c r="A938" s="61"/>
      <c r="B938" s="552"/>
      <c r="C938" s="557"/>
      <c r="D938" s="557"/>
      <c r="E938" s="553"/>
      <c r="F938" s="552" t="s">
        <v>48</v>
      </c>
      <c r="G938" s="557"/>
      <c r="H938" s="557"/>
      <c r="I938" s="557"/>
      <c r="J938" s="557"/>
      <c r="K938" s="557"/>
      <c r="L938" s="553"/>
      <c r="M938" s="62">
        <f>SUM(M935:M937)</f>
        <v>34.168951200000002</v>
      </c>
      <c r="N938" s="63"/>
      <c r="O938" s="62">
        <f>SUM(O914:O932)</f>
        <v>0</v>
      </c>
      <c r="P938" s="63"/>
      <c r="Q938" s="337"/>
      <c r="R938" s="64"/>
      <c r="S938" s="64"/>
      <c r="X938" s="264"/>
      <c r="Z938" s="264"/>
      <c r="AA938" s="259"/>
      <c r="AB938" s="264"/>
      <c r="AC938" s="259"/>
      <c r="AD938" s="264"/>
      <c r="AE938" s="259"/>
      <c r="AF938" s="264"/>
      <c r="AG938" s="259"/>
      <c r="AH938" s="264"/>
      <c r="AI938" s="259"/>
    </row>
    <row r="939" spans="1:35" ht="24" x14ac:dyDescent="0.15">
      <c r="A939" s="65"/>
      <c r="B939" s="560" t="s">
        <v>49</v>
      </c>
      <c r="C939" s="561"/>
      <c r="D939" s="561"/>
      <c r="E939" s="562"/>
      <c r="F939" s="565" t="s">
        <v>26</v>
      </c>
      <c r="G939" s="566"/>
      <c r="H939" s="66" t="s">
        <v>948</v>
      </c>
      <c r="I939" s="66" t="s">
        <v>949</v>
      </c>
      <c r="J939" s="66" t="s">
        <v>50</v>
      </c>
      <c r="K939" s="66" t="s">
        <v>51</v>
      </c>
      <c r="L939" s="67" t="s">
        <v>30</v>
      </c>
      <c r="M939" s="66" t="s">
        <v>52</v>
      </c>
      <c r="N939" s="68" t="s">
        <v>53</v>
      </c>
      <c r="O939" s="68" t="s">
        <v>34</v>
      </c>
      <c r="P939" s="69" t="s">
        <v>35</v>
      </c>
      <c r="Q939" s="42"/>
      <c r="R939" s="67"/>
      <c r="S939" s="67"/>
      <c r="V939" s="270" t="s">
        <v>352</v>
      </c>
      <c r="W939" s="270" t="s">
        <v>353</v>
      </c>
      <c r="X939" s="271" t="s">
        <v>352</v>
      </c>
      <c r="Y939" s="272" t="s">
        <v>353</v>
      </c>
      <c r="Z939" s="271" t="s">
        <v>352</v>
      </c>
      <c r="AA939" s="272" t="s">
        <v>353</v>
      </c>
      <c r="AB939" s="271" t="s">
        <v>352</v>
      </c>
      <c r="AC939" s="272" t="s">
        <v>353</v>
      </c>
      <c r="AD939" s="271" t="s">
        <v>352</v>
      </c>
      <c r="AE939" s="272" t="s">
        <v>353</v>
      </c>
      <c r="AF939" s="271" t="s">
        <v>352</v>
      </c>
      <c r="AG939" s="272" t="s">
        <v>353</v>
      </c>
      <c r="AH939" s="271" t="s">
        <v>352</v>
      </c>
      <c r="AI939" s="272" t="s">
        <v>353</v>
      </c>
    </row>
    <row r="940" spans="1:35" ht="15.75" customHeight="1" x14ac:dyDescent="0.15">
      <c r="A940" s="382">
        <v>1</v>
      </c>
      <c r="B940" s="545" t="s">
        <v>133</v>
      </c>
      <c r="C940" s="546"/>
      <c r="D940" s="546"/>
      <c r="E940" s="547"/>
      <c r="F940" s="545" t="s">
        <v>55</v>
      </c>
      <c r="G940" s="547"/>
      <c r="H940" s="45" t="s">
        <v>1468</v>
      </c>
      <c r="I940" s="45" t="s">
        <v>1046</v>
      </c>
      <c r="J940" s="46">
        <f>IF(G899=65,M906-V940-V915/2,IF(G899=55,M906-X940-X915/2,IF(G899=551,M906-Z940-Z915/2,IF(G899=60,M906-AB940-AB915/2,IF(G899=601,M906-AD940-AD915/2,IF(G899=70,M906-AF940-AF915/2,IF(G899=75,M906-AH940-AH915/2)))))))</f>
        <v>560.79999999999995</v>
      </c>
      <c r="K940" s="70">
        <f>IF(G899=65,M903-W940,IF(G899=55,M903-Y940,IF(G899=551,M903-AA940,IF(G899=60,M903-AC940,IF(G899=601,M903-AE940,IF(G899=70,M903-AG940,IF(G899=75,M903-AI940)))))))</f>
        <v>1075</v>
      </c>
      <c r="L940" s="70">
        <v>2</v>
      </c>
      <c r="M940" s="46">
        <f>J940*K940*L940/1000000</f>
        <v>1.2057199999999999</v>
      </c>
      <c r="N940" s="46"/>
      <c r="O940" s="46">
        <f>N940*M940</f>
        <v>0</v>
      </c>
      <c r="P940" s="71"/>
      <c r="Q940" s="240"/>
      <c r="R940" s="72"/>
      <c r="S940" s="72"/>
      <c r="T940" s="456" t="s">
        <v>1595</v>
      </c>
      <c r="U940" s="374" t="s">
        <v>1600</v>
      </c>
      <c r="V940" s="259">
        <f>70+55</f>
        <v>125</v>
      </c>
      <c r="W940" s="259">
        <f>70+55</f>
        <v>125</v>
      </c>
      <c r="X940" s="264">
        <f t="shared" ref="X940:AI940" si="139">72+57</f>
        <v>129</v>
      </c>
      <c r="Y940" s="259">
        <f t="shared" si="139"/>
        <v>129</v>
      </c>
      <c r="Z940" s="264">
        <f t="shared" si="139"/>
        <v>129</v>
      </c>
      <c r="AA940" s="259">
        <f t="shared" si="139"/>
        <v>129</v>
      </c>
      <c r="AB940" s="264">
        <f t="shared" si="139"/>
        <v>129</v>
      </c>
      <c r="AC940" s="259">
        <f t="shared" si="139"/>
        <v>129</v>
      </c>
      <c r="AD940" s="264">
        <f t="shared" si="139"/>
        <v>129</v>
      </c>
      <c r="AE940" s="259">
        <f t="shared" si="139"/>
        <v>129</v>
      </c>
      <c r="AF940" s="264">
        <f t="shared" si="139"/>
        <v>129</v>
      </c>
      <c r="AG940" s="259">
        <f t="shared" si="139"/>
        <v>129</v>
      </c>
      <c r="AH940" s="264">
        <f t="shared" si="139"/>
        <v>129</v>
      </c>
      <c r="AI940" s="259">
        <f t="shared" si="139"/>
        <v>129</v>
      </c>
    </row>
    <row r="941" spans="1:35" x14ac:dyDescent="0.15">
      <c r="A941" s="382">
        <v>2</v>
      </c>
      <c r="B941" s="545" t="s">
        <v>824</v>
      </c>
      <c r="C941" s="546"/>
      <c r="D941" s="546"/>
      <c r="E941" s="547"/>
      <c r="F941" s="545" t="s">
        <v>135</v>
      </c>
      <c r="G941" s="547"/>
      <c r="H941" s="45" t="s">
        <v>1469</v>
      </c>
      <c r="I941" s="45" t="s">
        <v>1047</v>
      </c>
      <c r="J941" s="46">
        <f>IF(G899=65,M906-V941-V915/2,IF(G899=55,M906-X941-X915/2,IF(G899=551,M906-Z941-Z915/2,IF(G899=60,M906-AB941-AB915/2,IF(G899=601,M906-AD941-AD915/2,IF(G899=70,M906-AF941-AF915/2,IF(G899=75,M906-AH941-AH915/2)))))))</f>
        <v>634.79999999999995</v>
      </c>
      <c r="K941" s="70">
        <f>IF(G899=65,M904-W941,IF(G899=55,M904-Y941,IF(G899=551,M904-AA941,IF(G899=60,M904-AC941,IF(G899=601,M904-AE941,IF(G899=70,M904-AG941,IF(G899=75,M904-AI941)))))))</f>
        <v>449</v>
      </c>
      <c r="L941" s="70">
        <v>2</v>
      </c>
      <c r="M941" s="46">
        <f>J941*K941*L941/1000000</f>
        <v>0.57005039999999996</v>
      </c>
      <c r="N941" s="46"/>
      <c r="O941" s="46">
        <f>N941*M941</f>
        <v>0</v>
      </c>
      <c r="P941" s="71"/>
      <c r="Q941" s="240"/>
      <c r="R941" s="72"/>
      <c r="S941" s="72"/>
      <c r="T941" s="456" t="s">
        <v>1602</v>
      </c>
      <c r="U941" s="374" t="s">
        <v>1601</v>
      </c>
      <c r="V941" s="259">
        <f>33+18</f>
        <v>51</v>
      </c>
      <c r="W941" s="259">
        <f>33+18</f>
        <v>51</v>
      </c>
      <c r="X941" s="264">
        <f t="shared" ref="X941:AI941" si="140">35+20</f>
        <v>55</v>
      </c>
      <c r="Y941" s="259">
        <f t="shared" si="140"/>
        <v>55</v>
      </c>
      <c r="Z941" s="264">
        <f t="shared" si="140"/>
        <v>55</v>
      </c>
      <c r="AA941" s="259">
        <f t="shared" si="140"/>
        <v>55</v>
      </c>
      <c r="AB941" s="264">
        <f t="shared" si="140"/>
        <v>55</v>
      </c>
      <c r="AC941" s="259">
        <f t="shared" si="140"/>
        <v>55</v>
      </c>
      <c r="AD941" s="264">
        <f t="shared" si="140"/>
        <v>55</v>
      </c>
      <c r="AE941" s="259">
        <f t="shared" si="140"/>
        <v>55</v>
      </c>
      <c r="AF941" s="264">
        <f t="shared" si="140"/>
        <v>55</v>
      </c>
      <c r="AG941" s="259">
        <f t="shared" si="140"/>
        <v>55</v>
      </c>
      <c r="AH941" s="264">
        <f t="shared" si="140"/>
        <v>55</v>
      </c>
      <c r="AI941" s="259">
        <f t="shared" si="140"/>
        <v>55</v>
      </c>
    </row>
    <row r="942" spans="1:35" x14ac:dyDescent="0.15">
      <c r="A942" s="382">
        <v>3</v>
      </c>
      <c r="B942" s="545" t="s">
        <v>824</v>
      </c>
      <c r="C942" s="546"/>
      <c r="D942" s="546"/>
      <c r="E942" s="547"/>
      <c r="F942" s="545" t="s">
        <v>145</v>
      </c>
      <c r="G942" s="547"/>
      <c r="H942" s="45" t="s">
        <v>1064</v>
      </c>
      <c r="I942" s="45" t="s">
        <v>1065</v>
      </c>
      <c r="J942" s="46">
        <f>IF(G899=65,M907-V942,IF(G899=55,M907-X942,IF(G899=551,M907-Z942,IF(G899=60,M907-AB942,IF(G899=601,M907-AD942,IF(G899=70,M907-AF942,IF(G899=75,M907-AH942)))))))</f>
        <v>764</v>
      </c>
      <c r="K942" s="70">
        <f>IF(G899=65,M901-W942,IF(G899=55,M901-Y942,IF(G899=551,M901-AA942,IF(G899=60,M901-AC942,IF(G899=601,M901-AE942,IF(G899=70,M901-AG942,IF(G899=75,M901-AI942)))))))</f>
        <v>1634</v>
      </c>
      <c r="L942" s="70">
        <v>1</v>
      </c>
      <c r="M942" s="46">
        <f>J942*K942*L942/1000000</f>
        <v>1.2483759999999999</v>
      </c>
      <c r="N942" s="46"/>
      <c r="O942" s="46">
        <f>N942*M942</f>
        <v>0</v>
      </c>
      <c r="P942" s="48"/>
      <c r="Q942" s="211"/>
      <c r="R942" s="73"/>
      <c r="S942" s="73"/>
      <c r="T942" s="456" t="s">
        <v>1603</v>
      </c>
      <c r="U942" s="374" t="s">
        <v>1604</v>
      </c>
      <c r="V942" s="259">
        <f>18*2</f>
        <v>36</v>
      </c>
      <c r="W942" s="259">
        <f>33*2</f>
        <v>66</v>
      </c>
      <c r="X942" s="264">
        <f>20*2</f>
        <v>40</v>
      </c>
      <c r="Y942" s="259">
        <f>35*2</f>
        <v>70</v>
      </c>
      <c r="Z942" s="264">
        <f>20*2</f>
        <v>40</v>
      </c>
      <c r="AA942" s="259">
        <f>35*2</f>
        <v>70</v>
      </c>
      <c r="AB942" s="264">
        <f>20*2</f>
        <v>40</v>
      </c>
      <c r="AC942" s="259">
        <f>35*2</f>
        <v>70</v>
      </c>
      <c r="AD942" s="264">
        <f>20*2</f>
        <v>40</v>
      </c>
      <c r="AE942" s="259">
        <f>35*2</f>
        <v>70</v>
      </c>
      <c r="AF942" s="264">
        <f>20*2</f>
        <v>40</v>
      </c>
      <c r="AG942" s="259">
        <f>35*2</f>
        <v>70</v>
      </c>
      <c r="AH942" s="264">
        <f>20*2</f>
        <v>40</v>
      </c>
      <c r="AI942" s="259">
        <f>35*2</f>
        <v>70</v>
      </c>
    </row>
    <row r="943" spans="1:35" x14ac:dyDescent="0.15">
      <c r="A943" s="382">
        <v>4</v>
      </c>
      <c r="B943" s="545" t="s">
        <v>824</v>
      </c>
      <c r="C943" s="546"/>
      <c r="D943" s="546"/>
      <c r="E943" s="547"/>
      <c r="F943" s="545" t="s">
        <v>147</v>
      </c>
      <c r="G943" s="547"/>
      <c r="H943" s="45" t="s">
        <v>1073</v>
      </c>
      <c r="I943" s="45" t="s">
        <v>1065</v>
      </c>
      <c r="J943" s="46">
        <f>IF(G899=65,M908-V943,IF(G899=55,M908-X943,IF(G899=551,M908-Z943,IF(G899=60,M908-AB943,IF(G899=601,M908-AD943,IF(G899=70,M908-AF943,IF(G899=75,M908-AH943)))))))</f>
        <v>369.8</v>
      </c>
      <c r="K943" s="70">
        <f>IF(G899=65,M901-W942,IF(G899=55,M901-Y942,IF(G899=551,M901-AA942,IF(G899=60,M901-AC942,IF(G899=601,M901-AE942,IF(G899=70,M901-AG942,IF(G899=75,M901-AI942)))))))</f>
        <v>1634</v>
      </c>
      <c r="L943" s="70">
        <v>1</v>
      </c>
      <c r="M943" s="46">
        <f>J943*K943*L943/1000000</f>
        <v>0.60425320000000005</v>
      </c>
      <c r="N943" s="46"/>
      <c r="O943" s="46">
        <f>N943*M943</f>
        <v>0</v>
      </c>
      <c r="P943" s="59"/>
      <c r="Q943" s="336"/>
      <c r="R943" s="117"/>
      <c r="S943" s="117"/>
      <c r="T943" s="456" t="s">
        <v>1609</v>
      </c>
      <c r="U943" s="374" t="s">
        <v>1604</v>
      </c>
      <c r="V943" s="259">
        <f>97.2+33</f>
        <v>130.19999999999999</v>
      </c>
      <c r="W943" s="259">
        <f>33*2</f>
        <v>66</v>
      </c>
      <c r="X943" s="264">
        <f>90+35</f>
        <v>125</v>
      </c>
      <c r="Y943" s="259">
        <f>35*2</f>
        <v>70</v>
      </c>
      <c r="Z943" s="264">
        <f>90+35</f>
        <v>125</v>
      </c>
      <c r="AA943" s="259">
        <f>35*2</f>
        <v>70</v>
      </c>
      <c r="AB943" s="264">
        <f>95.2+35</f>
        <v>130.19999999999999</v>
      </c>
      <c r="AC943" s="265">
        <f>35*2</f>
        <v>70</v>
      </c>
      <c r="AD943" s="264">
        <f>95.4+35</f>
        <v>130.4</v>
      </c>
      <c r="AE943" s="265">
        <f>35*2</f>
        <v>70</v>
      </c>
      <c r="AF943" s="264">
        <f>105.2+35</f>
        <v>140.19999999999999</v>
      </c>
      <c r="AG943" s="265">
        <f>35*2</f>
        <v>70</v>
      </c>
      <c r="AH943" s="264">
        <f>109.2+35</f>
        <v>144.19999999999999</v>
      </c>
      <c r="AI943" s="265">
        <f>35*2</f>
        <v>70</v>
      </c>
    </row>
    <row r="944" spans="1:35" x14ac:dyDescent="0.15">
      <c r="A944" s="396"/>
      <c r="B944" s="545"/>
      <c r="C944" s="546"/>
      <c r="D944" s="546"/>
      <c r="E944" s="547"/>
      <c r="F944" s="434"/>
      <c r="G944" s="436"/>
      <c r="H944" s="207"/>
      <c r="I944" s="207"/>
      <c r="J944" s="208"/>
      <c r="K944" s="239"/>
      <c r="L944" s="239"/>
      <c r="M944" s="208"/>
      <c r="N944" s="208"/>
      <c r="O944" s="208"/>
      <c r="P944" s="437"/>
      <c r="Q944" s="336"/>
      <c r="R944" s="117"/>
      <c r="S944" s="117"/>
      <c r="X944" s="265"/>
      <c r="Z944" s="265"/>
      <c r="AA944" s="259"/>
      <c r="AB944" s="265"/>
      <c r="AC944" s="265"/>
      <c r="AD944" s="265"/>
      <c r="AE944" s="265"/>
      <c r="AF944" s="265"/>
      <c r="AG944" s="265"/>
      <c r="AH944" s="265"/>
      <c r="AI944" s="265"/>
    </row>
    <row r="945" spans="1:35" x14ac:dyDescent="0.15">
      <c r="A945" s="396"/>
      <c r="B945" s="545"/>
      <c r="C945" s="546"/>
      <c r="D945" s="546"/>
      <c r="E945" s="547"/>
      <c r="F945" s="434"/>
      <c r="G945" s="436"/>
      <c r="H945" s="207"/>
      <c r="I945" s="207"/>
      <c r="J945" s="208"/>
      <c r="K945" s="239"/>
      <c r="L945" s="239"/>
      <c r="M945" s="208"/>
      <c r="N945" s="208"/>
      <c r="O945" s="208"/>
      <c r="P945" s="437"/>
      <c r="Q945" s="336"/>
      <c r="R945" s="117"/>
      <c r="S945" s="117"/>
      <c r="X945" s="265"/>
      <c r="Z945" s="265"/>
      <c r="AA945" s="259"/>
      <c r="AB945" s="265"/>
      <c r="AC945" s="265"/>
      <c r="AD945" s="265"/>
      <c r="AE945" s="265"/>
      <c r="AF945" s="265"/>
      <c r="AG945" s="265"/>
      <c r="AH945" s="265"/>
      <c r="AI945" s="265"/>
    </row>
    <row r="946" spans="1:35" x14ac:dyDescent="0.15">
      <c r="A946" s="74"/>
      <c r="B946" s="552"/>
      <c r="C946" s="557"/>
      <c r="D946" s="557"/>
      <c r="E946" s="553"/>
      <c r="F946" s="554" t="s">
        <v>56</v>
      </c>
      <c r="G946" s="554"/>
      <c r="H946" s="554"/>
      <c r="I946" s="554"/>
      <c r="J946" s="570"/>
      <c r="K946" s="570"/>
      <c r="L946" s="554"/>
      <c r="M946" s="62">
        <f>SUM(M940:M945)</f>
        <v>3.6283995999999998</v>
      </c>
      <c r="N946" s="380"/>
      <c r="O946" s="62">
        <f>SUM(O940:O945)</f>
        <v>0</v>
      </c>
      <c r="P946" s="63" t="s">
        <v>57</v>
      </c>
      <c r="Q946" s="337"/>
      <c r="R946" s="64"/>
      <c r="S946" s="64"/>
    </row>
    <row r="947" spans="1:35" ht="24" x14ac:dyDescent="0.15">
      <c r="A947" s="65"/>
      <c r="B947" s="560" t="s">
        <v>58</v>
      </c>
      <c r="C947" s="561"/>
      <c r="D947" s="561"/>
      <c r="E947" s="562"/>
      <c r="F947" s="565" t="s">
        <v>26</v>
      </c>
      <c r="G947" s="566"/>
      <c r="H947" s="66" t="s">
        <v>59</v>
      </c>
      <c r="I947" s="66"/>
      <c r="J947" s="66" t="s">
        <v>60</v>
      </c>
      <c r="K947" s="66" t="s">
        <v>6</v>
      </c>
      <c r="L947" s="67" t="s">
        <v>61</v>
      </c>
      <c r="M947" s="66" t="s">
        <v>30</v>
      </c>
      <c r="N947" s="68" t="s">
        <v>62</v>
      </c>
      <c r="O947" s="68" t="s">
        <v>34</v>
      </c>
      <c r="P947" s="69" t="s">
        <v>57</v>
      </c>
      <c r="Q947" s="42"/>
      <c r="R947" s="67"/>
      <c r="S947" s="67"/>
    </row>
    <row r="948" spans="1:35" ht="25.5" customHeight="1" x14ac:dyDescent="0.15">
      <c r="A948" s="382">
        <v>1</v>
      </c>
      <c r="B948" s="545"/>
      <c r="C948" s="546"/>
      <c r="D948" s="546"/>
      <c r="E948" s="547"/>
      <c r="F948" s="545" t="s">
        <v>63</v>
      </c>
      <c r="G948" s="547"/>
      <c r="H948" s="45"/>
      <c r="I948" s="45"/>
      <c r="J948" s="45"/>
      <c r="K948" s="46" t="str">
        <f>VLOOKUP($F:$F,材料单价表!$B$3:$G$42,4,0)</f>
        <v>套</v>
      </c>
      <c r="L948" s="72"/>
      <c r="M948" s="46">
        <v>2</v>
      </c>
      <c r="N948" s="46">
        <f>VLOOKUP($F:$F,材料单价表!$B$3:$G$42,5,0)</f>
        <v>0</v>
      </c>
      <c r="O948" s="46">
        <f t="shared" ref="O948" si="141">N948*M948</f>
        <v>0</v>
      </c>
      <c r="P948" s="48"/>
      <c r="Q948" s="211"/>
      <c r="R948" s="73"/>
      <c r="S948" s="73"/>
    </row>
    <row r="949" spans="1:35" x14ac:dyDescent="0.15">
      <c r="A949" s="74"/>
      <c r="B949" s="552"/>
      <c r="C949" s="557"/>
      <c r="D949" s="557"/>
      <c r="E949" s="553"/>
      <c r="F949" s="554" t="s">
        <v>64</v>
      </c>
      <c r="G949" s="554"/>
      <c r="H949" s="554"/>
      <c r="I949" s="554"/>
      <c r="J949" s="570"/>
      <c r="K949" s="570"/>
      <c r="L949" s="554"/>
      <c r="M949" s="62">
        <f>M948</f>
        <v>2</v>
      </c>
      <c r="N949" s="380"/>
      <c r="O949" s="62">
        <f>SUM(O948:O948)</f>
        <v>0</v>
      </c>
      <c r="P949" s="63" t="s">
        <v>57</v>
      </c>
      <c r="Q949" s="337"/>
      <c r="R949" s="64"/>
      <c r="S949" s="64"/>
    </row>
    <row r="950" spans="1:35" ht="24" x14ac:dyDescent="0.15">
      <c r="A950" s="65"/>
      <c r="B950" s="560" t="s">
        <v>65</v>
      </c>
      <c r="C950" s="561"/>
      <c r="D950" s="561"/>
      <c r="E950" s="562"/>
      <c r="F950" s="565" t="s">
        <v>26</v>
      </c>
      <c r="G950" s="566"/>
      <c r="H950" s="66" t="s">
        <v>59</v>
      </c>
      <c r="I950" s="66"/>
      <c r="J950" s="66" t="s">
        <v>60</v>
      </c>
      <c r="K950" s="66" t="s">
        <v>6</v>
      </c>
      <c r="L950" s="67" t="s">
        <v>61</v>
      </c>
      <c r="M950" s="66" t="s">
        <v>30</v>
      </c>
      <c r="N950" s="68" t="s">
        <v>62</v>
      </c>
      <c r="O950" s="68" t="s">
        <v>34</v>
      </c>
      <c r="P950" s="69" t="s">
        <v>57</v>
      </c>
      <c r="Q950" s="42"/>
      <c r="R950" s="67"/>
      <c r="S950" s="67"/>
    </row>
    <row r="951" spans="1:35" ht="13.5" customHeight="1" x14ac:dyDescent="0.15">
      <c r="A951" s="76">
        <v>1</v>
      </c>
      <c r="B951" s="545"/>
      <c r="C951" s="546"/>
      <c r="D951" s="546"/>
      <c r="E951" s="547"/>
      <c r="F951" s="558" t="s">
        <v>66</v>
      </c>
      <c r="G951" s="559"/>
      <c r="H951" s="78"/>
      <c r="I951" s="78"/>
      <c r="J951" s="77"/>
      <c r="K951" s="46" t="str">
        <f>VLOOKUP($F:$F,材料单价表!$B$3:$G$42,4,0)</f>
        <v>m</v>
      </c>
      <c r="L951" s="46"/>
      <c r="M951" s="80">
        <f>M912</f>
        <v>10.4</v>
      </c>
      <c r="N951" s="46">
        <f>VLOOKUP($F:$F,材料单价表!$B$3:$G$42,5,0)</f>
        <v>0</v>
      </c>
      <c r="O951" s="46">
        <f>N951*M951</f>
        <v>0</v>
      </c>
      <c r="P951" s="48"/>
      <c r="Q951" s="59"/>
      <c r="R951" s="81"/>
      <c r="S951" s="79"/>
    </row>
    <row r="952" spans="1:35" ht="15.75" customHeight="1" x14ac:dyDescent="0.15">
      <c r="A952" s="76">
        <v>2</v>
      </c>
      <c r="B952" s="545"/>
      <c r="C952" s="546"/>
      <c r="D952" s="546"/>
      <c r="E952" s="547"/>
      <c r="F952" s="558" t="s">
        <v>68</v>
      </c>
      <c r="G952" s="559"/>
      <c r="H952" s="78" t="s">
        <v>67</v>
      </c>
      <c r="I952" s="78"/>
      <c r="J952" s="77"/>
      <c r="K952" s="46" t="str">
        <f>VLOOKUP($F:$F,材料单价表!$B$3:$G$42,4,0)</f>
        <v>m</v>
      </c>
      <c r="L952" s="46"/>
      <c r="M952" s="80">
        <f>(J921*K921+J922*K922+J923*K923+J924*K924+J925*K925+J926*K926+J927*K927)/1000*2</f>
        <v>48.505600000000001</v>
      </c>
      <c r="N952" s="46">
        <f>VLOOKUP($F:$F,材料单价表!$B$3:$G$42,5,0)</f>
        <v>0</v>
      </c>
      <c r="O952" s="46">
        <f t="shared" ref="O952:O958" si="142">N952*M952</f>
        <v>0</v>
      </c>
      <c r="P952" s="48"/>
      <c r="Q952" s="59"/>
      <c r="R952" s="81"/>
      <c r="S952" s="79"/>
      <c r="V952" s="104"/>
      <c r="W952" s="104"/>
    </row>
    <row r="953" spans="1:35" ht="13.5" customHeight="1" x14ac:dyDescent="0.15">
      <c r="A953" s="76">
        <v>3</v>
      </c>
      <c r="B953" s="545"/>
      <c r="C953" s="546"/>
      <c r="D953" s="546"/>
      <c r="E953" s="547"/>
      <c r="F953" s="558" t="s">
        <v>68</v>
      </c>
      <c r="G953" s="559"/>
      <c r="H953" s="78" t="s">
        <v>69</v>
      </c>
      <c r="I953" s="78"/>
      <c r="J953" s="77"/>
      <c r="K953" s="46" t="str">
        <f>VLOOKUP($F:$F,材料单价表!$B$3:$G$42,4,0)</f>
        <v>m</v>
      </c>
      <c r="L953" s="46"/>
      <c r="M953" s="80">
        <f>M912</f>
        <v>10.4</v>
      </c>
      <c r="N953" s="46">
        <f>VLOOKUP($F:$F,材料单价表!$B$3:$G$42,5,0)</f>
        <v>0</v>
      </c>
      <c r="O953" s="46">
        <f t="shared" si="142"/>
        <v>0</v>
      </c>
      <c r="P953" s="48"/>
      <c r="Q953" s="59"/>
      <c r="R953" s="81"/>
      <c r="S953" s="79"/>
      <c r="V953" s="104"/>
      <c r="W953" s="104"/>
    </row>
    <row r="954" spans="1:35" ht="13.5" customHeight="1" x14ac:dyDescent="0.15">
      <c r="A954" s="76">
        <v>4</v>
      </c>
      <c r="B954" s="545"/>
      <c r="C954" s="546"/>
      <c r="D954" s="546"/>
      <c r="E954" s="547"/>
      <c r="F954" s="558" t="s">
        <v>68</v>
      </c>
      <c r="G954" s="559"/>
      <c r="H954" s="78" t="s">
        <v>70</v>
      </c>
      <c r="I954" s="78"/>
      <c r="J954" s="77"/>
      <c r="K954" s="46" t="str">
        <f>VLOOKUP($F:$F,材料单价表!$B$3:$G$42,4,0)</f>
        <v>m</v>
      </c>
      <c r="L954" s="46"/>
      <c r="M954" s="80">
        <f>M912</f>
        <v>10.4</v>
      </c>
      <c r="N954" s="46">
        <f>VLOOKUP($F:$F,材料单价表!$B$3:$G$42,5,0)</f>
        <v>0</v>
      </c>
      <c r="O954" s="46">
        <f t="shared" si="142"/>
        <v>0</v>
      </c>
      <c r="P954" s="48"/>
      <c r="Q954" s="59"/>
      <c r="R954" s="81"/>
      <c r="S954" s="79"/>
      <c r="V954" s="104"/>
      <c r="W954" s="104"/>
    </row>
    <row r="955" spans="1:35" ht="13.5" customHeight="1" x14ac:dyDescent="0.15">
      <c r="A955" s="76">
        <v>5</v>
      </c>
      <c r="B955" s="545"/>
      <c r="C955" s="546"/>
      <c r="D955" s="546"/>
      <c r="E955" s="547"/>
      <c r="F955" s="558" t="s">
        <v>71</v>
      </c>
      <c r="G955" s="559"/>
      <c r="H955" s="78"/>
      <c r="I955" s="78"/>
      <c r="J955" s="77"/>
      <c r="K955" s="46" t="str">
        <f>VLOOKUP($F:$F,材料单价表!$B$3:$G$42,4,0)</f>
        <v>个</v>
      </c>
      <c r="L955" s="79"/>
      <c r="M955" s="80">
        <f>K928+K929+K931</f>
        <v>28</v>
      </c>
      <c r="N955" s="46">
        <f>VLOOKUP($F:$F,材料单价表!$B$3:$G$42,5,0)</f>
        <v>0</v>
      </c>
      <c r="O955" s="46">
        <f t="shared" si="142"/>
        <v>0</v>
      </c>
      <c r="P955" s="48"/>
      <c r="Q955" s="59"/>
      <c r="R955" s="81"/>
      <c r="S955" s="79"/>
    </row>
    <row r="956" spans="1:35" ht="13.5" customHeight="1" x14ac:dyDescent="0.15">
      <c r="A956" s="76">
        <v>6</v>
      </c>
      <c r="B956" s="545"/>
      <c r="C956" s="546"/>
      <c r="D956" s="546"/>
      <c r="E956" s="547"/>
      <c r="F956" s="558" t="s">
        <v>121</v>
      </c>
      <c r="G956" s="559"/>
      <c r="H956" s="78"/>
      <c r="I956" s="78"/>
      <c r="J956" s="77"/>
      <c r="K956" s="46" t="str">
        <f>VLOOKUP($F:$F,材料单价表!$B$3:$G$42,4,0)</f>
        <v>m</v>
      </c>
      <c r="L956" s="79"/>
      <c r="M956" s="80">
        <f>(J916*K916+J917*K917)/1000*2</f>
        <v>14.622399999999999</v>
      </c>
      <c r="N956" s="46">
        <f>VLOOKUP($F:$F,材料单价表!$B$3:$G$42,5,0)</f>
        <v>0</v>
      </c>
      <c r="O956" s="46">
        <f t="shared" si="142"/>
        <v>0</v>
      </c>
      <c r="P956" s="48"/>
      <c r="Q956" s="59"/>
      <c r="R956" s="81"/>
      <c r="S956" s="46"/>
    </row>
    <row r="957" spans="1:35" ht="13.5" customHeight="1" x14ac:dyDescent="0.15">
      <c r="A957" s="76">
        <v>7</v>
      </c>
      <c r="B957" s="545"/>
      <c r="C957" s="546"/>
      <c r="D957" s="546"/>
      <c r="E957" s="547"/>
      <c r="F957" s="558" t="s">
        <v>121</v>
      </c>
      <c r="G957" s="559"/>
      <c r="H957" s="78"/>
      <c r="I957" s="78"/>
      <c r="J957" s="77"/>
      <c r="K957" s="46" t="str">
        <f>VLOOKUP($F:$F,材料单价表!$B$3:$G$42,4,0)</f>
        <v>m</v>
      </c>
      <c r="L957" s="79"/>
      <c r="M957" s="80">
        <f>(J917*K917+J916*K916)/1000*1</f>
        <v>7.3111999999999995</v>
      </c>
      <c r="N957" s="46">
        <f>VLOOKUP($F:$F,材料单价表!$B$3:$G$42,5,0)</f>
        <v>0</v>
      </c>
      <c r="O957" s="46">
        <f t="shared" si="142"/>
        <v>0</v>
      </c>
      <c r="P957" s="48"/>
      <c r="Q957" s="59"/>
      <c r="R957" s="81"/>
      <c r="S957" s="46"/>
    </row>
    <row r="958" spans="1:35" x14ac:dyDescent="0.15">
      <c r="A958" s="76">
        <v>8</v>
      </c>
      <c r="B958" s="545"/>
      <c r="C958" s="546"/>
      <c r="D958" s="546"/>
      <c r="E958" s="547"/>
      <c r="F958" s="558" t="s">
        <v>72</v>
      </c>
      <c r="G958" s="559"/>
      <c r="H958" s="45"/>
      <c r="I958" s="45"/>
      <c r="J958" s="45"/>
      <c r="K958" s="46" t="str">
        <f>VLOOKUP($F:$F,材料单价表!$B$3:$G$42,4,0)</f>
        <v>m2</v>
      </c>
      <c r="L958" s="72"/>
      <c r="M958" s="46">
        <f>M963</f>
        <v>6.12</v>
      </c>
      <c r="N958" s="46">
        <f>VLOOKUP($F:$F,材料单价表!$B$3:$G$42,5,0)</f>
        <v>0</v>
      </c>
      <c r="O958" s="46">
        <f t="shared" si="142"/>
        <v>0</v>
      </c>
      <c r="P958" s="48"/>
      <c r="Q958" s="211"/>
      <c r="R958" s="73"/>
      <c r="S958" s="73"/>
    </row>
    <row r="959" spans="1:35" x14ac:dyDescent="0.15">
      <c r="A959" s="76">
        <v>9</v>
      </c>
      <c r="B959" s="545"/>
      <c r="C959" s="546"/>
      <c r="D959" s="546"/>
      <c r="E959" s="547"/>
      <c r="F959" s="558"/>
      <c r="G959" s="559"/>
      <c r="H959" s="45"/>
      <c r="I959" s="45"/>
      <c r="J959" s="45"/>
      <c r="K959" s="45"/>
      <c r="L959" s="72"/>
      <c r="M959" s="46"/>
      <c r="N959" s="46"/>
      <c r="O959" s="82"/>
      <c r="P959" s="48"/>
      <c r="Q959" s="211"/>
      <c r="R959" s="73"/>
      <c r="S959" s="73"/>
    </row>
    <row r="960" spans="1:35" x14ac:dyDescent="0.15">
      <c r="A960" s="74"/>
      <c r="B960" s="552"/>
      <c r="C960" s="557"/>
      <c r="D960" s="557"/>
      <c r="E960" s="553"/>
      <c r="F960" s="552" t="s">
        <v>73</v>
      </c>
      <c r="G960" s="557"/>
      <c r="H960" s="557"/>
      <c r="I960" s="557"/>
      <c r="J960" s="557"/>
      <c r="K960" s="557"/>
      <c r="L960" s="557"/>
      <c r="M960" s="61"/>
      <c r="N960" s="61"/>
      <c r="O960" s="62">
        <f>SUM(O951:O959)</f>
        <v>0</v>
      </c>
      <c r="P960" s="63" t="s">
        <v>57</v>
      </c>
      <c r="Q960" s="337"/>
      <c r="R960" s="64"/>
      <c r="S960" s="64"/>
    </row>
    <row r="961" spans="1:19" x14ac:dyDescent="0.15">
      <c r="A961" s="74"/>
      <c r="B961" s="552"/>
      <c r="C961" s="557"/>
      <c r="D961" s="557"/>
      <c r="E961" s="553"/>
      <c r="F961" s="552" t="s">
        <v>74</v>
      </c>
      <c r="G961" s="557"/>
      <c r="H961" s="557"/>
      <c r="I961" s="557"/>
      <c r="J961" s="557"/>
      <c r="K961" s="557"/>
      <c r="L961" s="557"/>
      <c r="M961" s="557"/>
      <c r="N961" s="553"/>
      <c r="O961" s="62">
        <f>O960+O949+O946+O938</f>
        <v>0</v>
      </c>
      <c r="P961" s="63" t="s">
        <v>57</v>
      </c>
      <c r="Q961" s="337"/>
      <c r="R961" s="64"/>
      <c r="S961" s="64"/>
    </row>
    <row r="962" spans="1:19" ht="24" x14ac:dyDescent="0.15">
      <c r="A962" s="65"/>
      <c r="B962" s="560" t="s">
        <v>75</v>
      </c>
      <c r="C962" s="561"/>
      <c r="D962" s="561"/>
      <c r="E962" s="562"/>
      <c r="F962" s="565" t="s">
        <v>26</v>
      </c>
      <c r="G962" s="566"/>
      <c r="H962" s="66"/>
      <c r="I962" s="66"/>
      <c r="J962" s="66"/>
      <c r="K962" s="66" t="s">
        <v>6</v>
      </c>
      <c r="L962" s="83" t="s">
        <v>61</v>
      </c>
      <c r="M962" s="66" t="s">
        <v>76</v>
      </c>
      <c r="N962" s="68" t="s">
        <v>62</v>
      </c>
      <c r="O962" s="68" t="s">
        <v>34</v>
      </c>
      <c r="P962" s="84" t="s">
        <v>57</v>
      </c>
      <c r="Q962" s="84"/>
      <c r="R962" s="67"/>
      <c r="S962" s="67"/>
    </row>
    <row r="963" spans="1:19" x14ac:dyDescent="0.15">
      <c r="A963" s="382">
        <v>1</v>
      </c>
      <c r="B963" s="545"/>
      <c r="C963" s="546"/>
      <c r="D963" s="546"/>
      <c r="E963" s="547"/>
      <c r="F963" s="545" t="s">
        <v>77</v>
      </c>
      <c r="G963" s="547"/>
      <c r="H963" s="45"/>
      <c r="I963" s="45"/>
      <c r="J963" s="46"/>
      <c r="K963" s="45" t="s">
        <v>78</v>
      </c>
      <c r="L963" s="72"/>
      <c r="M963" s="85">
        <f>O899</f>
        <v>6.12</v>
      </c>
      <c r="N963" s="46">
        <f>VLOOKUP($F:$F,材料单价表!$B$3:$G$42,5,0)</f>
        <v>0</v>
      </c>
      <c r="O963" s="46">
        <f>N963*M963</f>
        <v>0</v>
      </c>
      <c r="P963" s="48"/>
      <c r="Q963" s="211"/>
      <c r="R963" s="72"/>
      <c r="S963" s="72"/>
    </row>
    <row r="964" spans="1:19" x14ac:dyDescent="0.15">
      <c r="A964" s="382">
        <v>2</v>
      </c>
      <c r="B964" s="545"/>
      <c r="C964" s="546"/>
      <c r="D964" s="546"/>
      <c r="E964" s="547"/>
      <c r="F964" s="545" t="s">
        <v>79</v>
      </c>
      <c r="G964" s="547"/>
      <c r="H964" s="45"/>
      <c r="I964" s="45"/>
      <c r="J964" s="46"/>
      <c r="K964" s="45" t="s">
        <v>78</v>
      </c>
      <c r="L964" s="72"/>
      <c r="M964" s="85">
        <f>M963</f>
        <v>6.12</v>
      </c>
      <c r="N964" s="46">
        <f>VLOOKUP($F:$F,材料单价表!$B$3:$G$42,5,0)</f>
        <v>0</v>
      </c>
      <c r="O964" s="46">
        <f>N964*M964</f>
        <v>0</v>
      </c>
      <c r="P964" s="48"/>
      <c r="Q964" s="211"/>
      <c r="R964" s="72"/>
      <c r="S964" s="72"/>
    </row>
    <row r="965" spans="1:19" ht="24.75" customHeight="1" x14ac:dyDescent="0.15">
      <c r="A965" s="74"/>
      <c r="B965" s="552"/>
      <c r="C965" s="557"/>
      <c r="D965" s="557"/>
      <c r="E965" s="553"/>
      <c r="F965" s="552" t="s">
        <v>80</v>
      </c>
      <c r="G965" s="553"/>
      <c r="H965" s="379"/>
      <c r="I965" s="379"/>
      <c r="J965" s="554" t="s">
        <v>81</v>
      </c>
      <c r="K965" s="554"/>
      <c r="L965" s="554"/>
      <c r="M965" s="554"/>
      <c r="N965" s="87"/>
      <c r="O965" s="62">
        <f>O961+O963+O964</f>
        <v>0</v>
      </c>
      <c r="P965" s="63" t="s">
        <v>57</v>
      </c>
      <c r="Q965" s="337"/>
      <c r="R965" s="64"/>
      <c r="S965" s="64"/>
    </row>
    <row r="966" spans="1:19" ht="24" customHeight="1" x14ac:dyDescent="0.15">
      <c r="A966" s="74"/>
      <c r="B966" s="552"/>
      <c r="C966" s="557"/>
      <c r="D966" s="557"/>
      <c r="E966" s="553"/>
      <c r="F966" s="555" t="s">
        <v>82</v>
      </c>
      <c r="G966" s="556"/>
      <c r="H966" s="381"/>
      <c r="I966" s="381"/>
      <c r="J966" s="552" t="s">
        <v>81</v>
      </c>
      <c r="K966" s="557"/>
      <c r="L966" s="557"/>
      <c r="M966" s="557"/>
      <c r="N966" s="62"/>
      <c r="O966" s="62">
        <f>O965/O899</f>
        <v>0</v>
      </c>
      <c r="P966" s="89" t="s">
        <v>57</v>
      </c>
      <c r="Q966" s="89"/>
      <c r="R966" s="90"/>
      <c r="S966" s="90"/>
    </row>
  </sheetData>
  <autoFilter ref="T1:U966"/>
  <mergeCells count="980">
    <mergeCell ref="H665:I665"/>
    <mergeCell ref="B966:E966"/>
    <mergeCell ref="F966:G966"/>
    <mergeCell ref="J966:M966"/>
    <mergeCell ref="B962:E962"/>
    <mergeCell ref="F962:G962"/>
    <mergeCell ref="B963:E963"/>
    <mergeCell ref="F963:G963"/>
    <mergeCell ref="B964:E964"/>
    <mergeCell ref="F964:G964"/>
    <mergeCell ref="B965:E965"/>
    <mergeCell ref="F965:G965"/>
    <mergeCell ref="J965:M965"/>
    <mergeCell ref="B957:E957"/>
    <mergeCell ref="F957:G957"/>
    <mergeCell ref="B958:E958"/>
    <mergeCell ref="F958:G958"/>
    <mergeCell ref="B959:E959"/>
    <mergeCell ref="F959:G959"/>
    <mergeCell ref="B960:E960"/>
    <mergeCell ref="F960:L960"/>
    <mergeCell ref="B961:E961"/>
    <mergeCell ref="F961:N961"/>
    <mergeCell ref="B952:E952"/>
    <mergeCell ref="F952:G952"/>
    <mergeCell ref="B953:E953"/>
    <mergeCell ref="F953:G953"/>
    <mergeCell ref="B954:E954"/>
    <mergeCell ref="F954:G954"/>
    <mergeCell ref="B955:E955"/>
    <mergeCell ref="F955:G955"/>
    <mergeCell ref="B956:E956"/>
    <mergeCell ref="F956:G956"/>
    <mergeCell ref="B947:E947"/>
    <mergeCell ref="F947:G947"/>
    <mergeCell ref="B948:E948"/>
    <mergeCell ref="F948:G948"/>
    <mergeCell ref="B949:E949"/>
    <mergeCell ref="F949:L949"/>
    <mergeCell ref="B950:E950"/>
    <mergeCell ref="F950:G950"/>
    <mergeCell ref="B951:E951"/>
    <mergeCell ref="F951:G951"/>
    <mergeCell ref="B940:E940"/>
    <mergeCell ref="F940:G940"/>
    <mergeCell ref="B941:E941"/>
    <mergeCell ref="F941:G941"/>
    <mergeCell ref="B942:E942"/>
    <mergeCell ref="F942:G942"/>
    <mergeCell ref="B943:E943"/>
    <mergeCell ref="F943:G943"/>
    <mergeCell ref="B946:E946"/>
    <mergeCell ref="F946:L946"/>
    <mergeCell ref="B944:E944"/>
    <mergeCell ref="B945:E945"/>
    <mergeCell ref="B920:E920"/>
    <mergeCell ref="B921:E927"/>
    <mergeCell ref="A935:L935"/>
    <mergeCell ref="A936:L936"/>
    <mergeCell ref="A937:L937"/>
    <mergeCell ref="B938:E938"/>
    <mergeCell ref="F938:L938"/>
    <mergeCell ref="B939:E939"/>
    <mergeCell ref="F939:G939"/>
    <mergeCell ref="B928:E934"/>
    <mergeCell ref="O900:P900"/>
    <mergeCell ref="R900:R901"/>
    <mergeCell ref="S900:S901"/>
    <mergeCell ref="R902:R903"/>
    <mergeCell ref="S902:S903"/>
    <mergeCell ref="N904:N912"/>
    <mergeCell ref="B913:E913"/>
    <mergeCell ref="B914:E915"/>
    <mergeCell ref="B916:E919"/>
    <mergeCell ref="J897:M897"/>
    <mergeCell ref="A898:S898"/>
    <mergeCell ref="B894:E894"/>
    <mergeCell ref="B895:E895"/>
    <mergeCell ref="F895:G895"/>
    <mergeCell ref="B896:E896"/>
    <mergeCell ref="F896:G896"/>
    <mergeCell ref="B897:E897"/>
    <mergeCell ref="F897:G897"/>
    <mergeCell ref="F894:G894"/>
    <mergeCell ref="J896:M896"/>
    <mergeCell ref="B889:E889"/>
    <mergeCell ref="F889:G889"/>
    <mergeCell ref="B890:E890"/>
    <mergeCell ref="F890:G890"/>
    <mergeCell ref="B891:E891"/>
    <mergeCell ref="B892:E892"/>
    <mergeCell ref="B893:E893"/>
    <mergeCell ref="B884:E884"/>
    <mergeCell ref="F884:G884"/>
    <mergeCell ref="B885:E885"/>
    <mergeCell ref="F885:G885"/>
    <mergeCell ref="B886:E886"/>
    <mergeCell ref="F886:G886"/>
    <mergeCell ref="B887:E887"/>
    <mergeCell ref="F887:G887"/>
    <mergeCell ref="B888:E888"/>
    <mergeCell ref="F888:G888"/>
    <mergeCell ref="F891:L891"/>
    <mergeCell ref="F892:N892"/>
    <mergeCell ref="F893:G893"/>
    <mergeCell ref="B879:E879"/>
    <mergeCell ref="B880:E880"/>
    <mergeCell ref="B881:E881"/>
    <mergeCell ref="F881:G881"/>
    <mergeCell ref="B882:E882"/>
    <mergeCell ref="B883:E883"/>
    <mergeCell ref="F883:G883"/>
    <mergeCell ref="B872:E872"/>
    <mergeCell ref="F872:G872"/>
    <mergeCell ref="B873:E873"/>
    <mergeCell ref="F873:G873"/>
    <mergeCell ref="B874:E874"/>
    <mergeCell ref="F874:G874"/>
    <mergeCell ref="B877:E877"/>
    <mergeCell ref="B878:E878"/>
    <mergeCell ref="F878:G878"/>
    <mergeCell ref="B875:E875"/>
    <mergeCell ref="B876:E876"/>
    <mergeCell ref="F877:L877"/>
    <mergeCell ref="F879:G879"/>
    <mergeCell ref="F880:L880"/>
    <mergeCell ref="F882:G882"/>
    <mergeCell ref="B847:E850"/>
    <mergeCell ref="B851:E851"/>
    <mergeCell ref="A868:L868"/>
    <mergeCell ref="B871:E871"/>
    <mergeCell ref="A829:S829"/>
    <mergeCell ref="O831:P831"/>
    <mergeCell ref="R831:R832"/>
    <mergeCell ref="S831:S832"/>
    <mergeCell ref="R833:R834"/>
    <mergeCell ref="S833:S834"/>
    <mergeCell ref="B844:E844"/>
    <mergeCell ref="B845:E846"/>
    <mergeCell ref="B859:E865"/>
    <mergeCell ref="B852:E858"/>
    <mergeCell ref="A866:L866"/>
    <mergeCell ref="A867:L867"/>
    <mergeCell ref="B869:E869"/>
    <mergeCell ref="F869:L869"/>
    <mergeCell ref="B870:E870"/>
    <mergeCell ref="F870:G870"/>
    <mergeCell ref="F871:G871"/>
    <mergeCell ref="O417:P417"/>
    <mergeCell ref="N421:N429"/>
    <mergeCell ref="B260:E260"/>
    <mergeCell ref="B272:E272"/>
    <mergeCell ref="B250:E250"/>
    <mergeCell ref="B251:E251"/>
    <mergeCell ref="B252:E252"/>
    <mergeCell ref="B258:E258"/>
    <mergeCell ref="B261:E261"/>
    <mergeCell ref="B262:E262"/>
    <mergeCell ref="B263:E263"/>
    <mergeCell ref="B264:E264"/>
    <mergeCell ref="B265:E265"/>
    <mergeCell ref="B266:E266"/>
    <mergeCell ref="B267:E267"/>
    <mergeCell ref="B268:E268"/>
    <mergeCell ref="B269:E269"/>
    <mergeCell ref="F260:G260"/>
    <mergeCell ref="F261:G261"/>
    <mergeCell ref="F262:G262"/>
    <mergeCell ref="F268:G268"/>
    <mergeCell ref="B293:E294"/>
    <mergeCell ref="B295:E298"/>
    <mergeCell ref="B299:E302"/>
    <mergeCell ref="B199:E199"/>
    <mergeCell ref="B200:E200"/>
    <mergeCell ref="B204:E204"/>
    <mergeCell ref="B205:E205"/>
    <mergeCell ref="B223:E223"/>
    <mergeCell ref="B224:E225"/>
    <mergeCell ref="B226:E229"/>
    <mergeCell ref="B230:E233"/>
    <mergeCell ref="B234:E238"/>
    <mergeCell ref="B161:E162"/>
    <mergeCell ref="B163:E166"/>
    <mergeCell ref="B179:E179"/>
    <mergeCell ref="B187:E187"/>
    <mergeCell ref="B190:E190"/>
    <mergeCell ref="B201:E201"/>
    <mergeCell ref="B202:E202"/>
    <mergeCell ref="B206:E206"/>
    <mergeCell ref="B207:E207"/>
    <mergeCell ref="B180:E180"/>
    <mergeCell ref="B188:E188"/>
    <mergeCell ref="B191:E191"/>
    <mergeCell ref="B203:E203"/>
    <mergeCell ref="B181:E181"/>
    <mergeCell ref="B182:E182"/>
    <mergeCell ref="B183:E183"/>
    <mergeCell ref="B189:E189"/>
    <mergeCell ref="B192:E192"/>
    <mergeCell ref="B193:E193"/>
    <mergeCell ref="B194:E194"/>
    <mergeCell ref="B195:E195"/>
    <mergeCell ref="B196:E196"/>
    <mergeCell ref="B197:E197"/>
    <mergeCell ref="B198:E198"/>
    <mergeCell ref="B133:E133"/>
    <mergeCell ref="B134:E134"/>
    <mergeCell ref="B135:E135"/>
    <mergeCell ref="B136:E136"/>
    <mergeCell ref="B137:E137"/>
    <mergeCell ref="B138:E138"/>
    <mergeCell ref="B154:E154"/>
    <mergeCell ref="B155:E156"/>
    <mergeCell ref="B157:E160"/>
    <mergeCell ref="A139:S139"/>
    <mergeCell ref="F137:G137"/>
    <mergeCell ref="J137:M137"/>
    <mergeCell ref="F138:G138"/>
    <mergeCell ref="J138:M138"/>
    <mergeCell ref="R141:R142"/>
    <mergeCell ref="S141:S142"/>
    <mergeCell ref="R143:R144"/>
    <mergeCell ref="S143:S144"/>
    <mergeCell ref="B124:E124"/>
    <mergeCell ref="B125:E125"/>
    <mergeCell ref="B126:E126"/>
    <mergeCell ref="B127:E127"/>
    <mergeCell ref="B128:E128"/>
    <mergeCell ref="B129:E129"/>
    <mergeCell ref="B130:E130"/>
    <mergeCell ref="B131:E131"/>
    <mergeCell ref="B132:E132"/>
    <mergeCell ref="B121:E121"/>
    <mergeCell ref="B111:E111"/>
    <mergeCell ref="B119:E119"/>
    <mergeCell ref="B122:E122"/>
    <mergeCell ref="B112:E112"/>
    <mergeCell ref="B113:E113"/>
    <mergeCell ref="B114:E114"/>
    <mergeCell ref="B120:E120"/>
    <mergeCell ref="B123:E123"/>
    <mergeCell ref="B63:E63"/>
    <mergeCell ref="B64:E64"/>
    <mergeCell ref="B65:E65"/>
    <mergeCell ref="B66:E66"/>
    <mergeCell ref="B67:E67"/>
    <mergeCell ref="B68:E68"/>
    <mergeCell ref="B69:E69"/>
    <mergeCell ref="B85:E85"/>
    <mergeCell ref="B86:E87"/>
    <mergeCell ref="A70:S70"/>
    <mergeCell ref="F65:G65"/>
    <mergeCell ref="F64:N64"/>
    <mergeCell ref="J68:M68"/>
    <mergeCell ref="J69:M69"/>
    <mergeCell ref="F63:L63"/>
    <mergeCell ref="F66:G66"/>
    <mergeCell ref="F67:G67"/>
    <mergeCell ref="F68:G68"/>
    <mergeCell ref="F69:G69"/>
    <mergeCell ref="R72:R73"/>
    <mergeCell ref="S72:S73"/>
    <mergeCell ref="R74:R75"/>
    <mergeCell ref="S74:S75"/>
    <mergeCell ref="B54:E54"/>
    <mergeCell ref="B55:E55"/>
    <mergeCell ref="B56:E56"/>
    <mergeCell ref="B57:E57"/>
    <mergeCell ref="B58:E58"/>
    <mergeCell ref="B59:E59"/>
    <mergeCell ref="B60:E60"/>
    <mergeCell ref="B61:E61"/>
    <mergeCell ref="B62:E62"/>
    <mergeCell ref="B43:E43"/>
    <mergeCell ref="A41:L41"/>
    <mergeCell ref="B44:E44"/>
    <mergeCell ref="B45:E45"/>
    <mergeCell ref="B49:E49"/>
    <mergeCell ref="B50:E50"/>
    <mergeCell ref="B51:E51"/>
    <mergeCell ref="B53:E53"/>
    <mergeCell ref="B52:E52"/>
    <mergeCell ref="F683:G683"/>
    <mergeCell ref="F684:L684"/>
    <mergeCell ref="F685:N685"/>
    <mergeCell ref="F686:G686"/>
    <mergeCell ref="F687:G687"/>
    <mergeCell ref="F688:G688"/>
    <mergeCell ref="F689:G689"/>
    <mergeCell ref="J689:M689"/>
    <mergeCell ref="F690:G690"/>
    <mergeCell ref="J690:M690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63:G663"/>
    <mergeCell ref="F664:G664"/>
    <mergeCell ref="F665:G665"/>
    <mergeCell ref="F666:G666"/>
    <mergeCell ref="F670:L670"/>
    <mergeCell ref="F671:G671"/>
    <mergeCell ref="F672:G672"/>
    <mergeCell ref="F673:L673"/>
    <mergeCell ref="A622:S622"/>
    <mergeCell ref="A659:L659"/>
    <mergeCell ref="A660:L660"/>
    <mergeCell ref="A661:L661"/>
    <mergeCell ref="F662:L662"/>
    <mergeCell ref="B637:E637"/>
    <mergeCell ref="B663:E663"/>
    <mergeCell ref="B671:E671"/>
    <mergeCell ref="B638:E640"/>
    <mergeCell ref="B641:E644"/>
    <mergeCell ref="B645:E645"/>
    <mergeCell ref="B646:E650"/>
    <mergeCell ref="B651:E655"/>
    <mergeCell ref="B662:E662"/>
    <mergeCell ref="O624:P624"/>
    <mergeCell ref="N628:N636"/>
    <mergeCell ref="F131:G131"/>
    <mergeCell ref="F132:L132"/>
    <mergeCell ref="F133:N133"/>
    <mergeCell ref="F134:G134"/>
    <mergeCell ref="F135:G135"/>
    <mergeCell ref="F136:G136"/>
    <mergeCell ref="F130:G130"/>
    <mergeCell ref="F119:G119"/>
    <mergeCell ref="F120:G120"/>
    <mergeCell ref="F121:L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18:L118"/>
    <mergeCell ref="A107:L107"/>
    <mergeCell ref="A108:L108"/>
    <mergeCell ref="A109:L109"/>
    <mergeCell ref="F110:L110"/>
    <mergeCell ref="F111:G111"/>
    <mergeCell ref="F112:G112"/>
    <mergeCell ref="F113:G113"/>
    <mergeCell ref="F114:G114"/>
    <mergeCell ref="B88:E91"/>
    <mergeCell ref="B92:E95"/>
    <mergeCell ref="B96:E100"/>
    <mergeCell ref="B110:E110"/>
    <mergeCell ref="B118:E118"/>
    <mergeCell ref="A1:S1"/>
    <mergeCell ref="A38:L38"/>
    <mergeCell ref="F51:G51"/>
    <mergeCell ref="F53:G53"/>
    <mergeCell ref="A39:L39"/>
    <mergeCell ref="A40:L40"/>
    <mergeCell ref="F49:L49"/>
    <mergeCell ref="F52:L52"/>
    <mergeCell ref="F42:G42"/>
    <mergeCell ref="F43:G43"/>
    <mergeCell ref="F44:G44"/>
    <mergeCell ref="F45:G45"/>
    <mergeCell ref="F50:G50"/>
    <mergeCell ref="B16:E16"/>
    <mergeCell ref="B17:E18"/>
    <mergeCell ref="B19:E22"/>
    <mergeCell ref="B23:E24"/>
    <mergeCell ref="B25:E29"/>
    <mergeCell ref="B42:E42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181:G181"/>
    <mergeCell ref="F182:G182"/>
    <mergeCell ref="F183:G183"/>
    <mergeCell ref="F187:L187"/>
    <mergeCell ref="F188:G188"/>
    <mergeCell ref="A176:L176"/>
    <mergeCell ref="A177:L177"/>
    <mergeCell ref="A178:L178"/>
    <mergeCell ref="F179:L179"/>
    <mergeCell ref="F180:G180"/>
    <mergeCell ref="F194:G194"/>
    <mergeCell ref="F195:G195"/>
    <mergeCell ref="F196:G196"/>
    <mergeCell ref="F197:G197"/>
    <mergeCell ref="F198:G198"/>
    <mergeCell ref="F189:G189"/>
    <mergeCell ref="F190:L190"/>
    <mergeCell ref="F191:G191"/>
    <mergeCell ref="F192:G192"/>
    <mergeCell ref="F193:G193"/>
    <mergeCell ref="F204:G204"/>
    <mergeCell ref="F205:G205"/>
    <mergeCell ref="F206:G206"/>
    <mergeCell ref="J206:M206"/>
    <mergeCell ref="F207:G207"/>
    <mergeCell ref="J207:M207"/>
    <mergeCell ref="F199:G199"/>
    <mergeCell ref="F200:G200"/>
    <mergeCell ref="F201:L201"/>
    <mergeCell ref="F202:N202"/>
    <mergeCell ref="F203:G203"/>
    <mergeCell ref="A245:L245"/>
    <mergeCell ref="A246:L246"/>
    <mergeCell ref="A247:L247"/>
    <mergeCell ref="F248:L248"/>
    <mergeCell ref="F249:G249"/>
    <mergeCell ref="A208:S208"/>
    <mergeCell ref="B248:E248"/>
    <mergeCell ref="F258:G258"/>
    <mergeCell ref="F259:L259"/>
    <mergeCell ref="B256:E256"/>
    <mergeCell ref="B259:E259"/>
    <mergeCell ref="B249:E249"/>
    <mergeCell ref="B257:E257"/>
    <mergeCell ref="F250:G250"/>
    <mergeCell ref="F251:G251"/>
    <mergeCell ref="F252:G252"/>
    <mergeCell ref="F256:L256"/>
    <mergeCell ref="F257:G257"/>
    <mergeCell ref="R210:R211"/>
    <mergeCell ref="S210:S211"/>
    <mergeCell ref="R212:R213"/>
    <mergeCell ref="S212:S213"/>
    <mergeCell ref="B303:E307"/>
    <mergeCell ref="F269:G269"/>
    <mergeCell ref="F270:L270"/>
    <mergeCell ref="F271:N271"/>
    <mergeCell ref="F272:G272"/>
    <mergeCell ref="F263:G263"/>
    <mergeCell ref="F264:G264"/>
    <mergeCell ref="F265:G265"/>
    <mergeCell ref="F266:G266"/>
    <mergeCell ref="F267:G267"/>
    <mergeCell ref="B270:E270"/>
    <mergeCell ref="B271:E271"/>
    <mergeCell ref="B275:E275"/>
    <mergeCell ref="B276:E276"/>
    <mergeCell ref="B273:E273"/>
    <mergeCell ref="A277:S277"/>
    <mergeCell ref="F273:G273"/>
    <mergeCell ref="F274:G274"/>
    <mergeCell ref="F275:G275"/>
    <mergeCell ref="J275:M275"/>
    <mergeCell ref="F276:G276"/>
    <mergeCell ref="J276:M276"/>
    <mergeCell ref="B274:E274"/>
    <mergeCell ref="B292:E292"/>
    <mergeCell ref="F319:G319"/>
    <mergeCell ref="F320:G320"/>
    <mergeCell ref="F321:G321"/>
    <mergeCell ref="F325:L325"/>
    <mergeCell ref="F326:G326"/>
    <mergeCell ref="A314:L314"/>
    <mergeCell ref="A315:L315"/>
    <mergeCell ref="A316:L316"/>
    <mergeCell ref="F317:L317"/>
    <mergeCell ref="F318:G318"/>
    <mergeCell ref="A317:E317"/>
    <mergeCell ref="A325:E325"/>
    <mergeCell ref="B318:E318"/>
    <mergeCell ref="B326:E326"/>
    <mergeCell ref="F332:G332"/>
    <mergeCell ref="F333:G333"/>
    <mergeCell ref="F334:G334"/>
    <mergeCell ref="F335:G335"/>
    <mergeCell ref="F336:G336"/>
    <mergeCell ref="F327:G327"/>
    <mergeCell ref="F328:L328"/>
    <mergeCell ref="F329:G329"/>
    <mergeCell ref="F330:G330"/>
    <mergeCell ref="F331:G331"/>
    <mergeCell ref="F396:G396"/>
    <mergeCell ref="F397:L397"/>
    <mergeCell ref="F398:G398"/>
    <mergeCell ref="F399:G399"/>
    <mergeCell ref="F400:G400"/>
    <mergeCell ref="F388:G388"/>
    <mergeCell ref="F389:G389"/>
    <mergeCell ref="F390:G390"/>
    <mergeCell ref="F394:L394"/>
    <mergeCell ref="F395:G395"/>
    <mergeCell ref="B433:E436"/>
    <mergeCell ref="B437:E442"/>
    <mergeCell ref="B443:E447"/>
    <mergeCell ref="F406:G406"/>
    <mergeCell ref="F407:G407"/>
    <mergeCell ref="F408:L408"/>
    <mergeCell ref="F409:N409"/>
    <mergeCell ref="F410:G410"/>
    <mergeCell ref="F401:G401"/>
    <mergeCell ref="F402:G402"/>
    <mergeCell ref="F403:G403"/>
    <mergeCell ref="F404:G404"/>
    <mergeCell ref="F405:G405"/>
    <mergeCell ref="A415:S415"/>
    <mergeCell ref="F411:G411"/>
    <mergeCell ref="F412:G412"/>
    <mergeCell ref="F413:G413"/>
    <mergeCell ref="J413:M413"/>
    <mergeCell ref="F414:G414"/>
    <mergeCell ref="J414:M414"/>
    <mergeCell ref="B430:E430"/>
    <mergeCell ref="B431:E432"/>
    <mergeCell ref="R417:R418"/>
    <mergeCell ref="S417:S418"/>
    <mergeCell ref="F457:G457"/>
    <mergeCell ref="F458:G458"/>
    <mergeCell ref="F459:G459"/>
    <mergeCell ref="F463:L463"/>
    <mergeCell ref="F464:G464"/>
    <mergeCell ref="A452:L452"/>
    <mergeCell ref="A453:L453"/>
    <mergeCell ref="A454:L454"/>
    <mergeCell ref="F455:L455"/>
    <mergeCell ref="F456:G456"/>
    <mergeCell ref="B455:E455"/>
    <mergeCell ref="B463:E463"/>
    <mergeCell ref="F470:G470"/>
    <mergeCell ref="F471:G471"/>
    <mergeCell ref="F472:G472"/>
    <mergeCell ref="F473:G473"/>
    <mergeCell ref="F474:G474"/>
    <mergeCell ref="F465:G465"/>
    <mergeCell ref="F466:L466"/>
    <mergeCell ref="F467:G467"/>
    <mergeCell ref="F468:G468"/>
    <mergeCell ref="F469:G469"/>
    <mergeCell ref="F480:G480"/>
    <mergeCell ref="F481:G481"/>
    <mergeCell ref="F482:G482"/>
    <mergeCell ref="J482:M482"/>
    <mergeCell ref="F483:G483"/>
    <mergeCell ref="J483:M483"/>
    <mergeCell ref="F475:G475"/>
    <mergeCell ref="F476:G476"/>
    <mergeCell ref="F477:L477"/>
    <mergeCell ref="F478:N478"/>
    <mergeCell ref="F479:G479"/>
    <mergeCell ref="A521:L521"/>
    <mergeCell ref="A522:L522"/>
    <mergeCell ref="A523:L523"/>
    <mergeCell ref="F524:L524"/>
    <mergeCell ref="F525:G525"/>
    <mergeCell ref="A484:S484"/>
    <mergeCell ref="B499:E499"/>
    <mergeCell ref="B500:E501"/>
    <mergeCell ref="B502:E505"/>
    <mergeCell ref="B506:E509"/>
    <mergeCell ref="B510:E514"/>
    <mergeCell ref="B524:E524"/>
    <mergeCell ref="R486:R487"/>
    <mergeCell ref="S486:S487"/>
    <mergeCell ref="R488:R489"/>
    <mergeCell ref="S488:S489"/>
    <mergeCell ref="F534:G534"/>
    <mergeCell ref="F535:L535"/>
    <mergeCell ref="F536:G536"/>
    <mergeCell ref="F537:G537"/>
    <mergeCell ref="F538:G538"/>
    <mergeCell ref="F526:G526"/>
    <mergeCell ref="F527:G527"/>
    <mergeCell ref="F528:G528"/>
    <mergeCell ref="F532:L532"/>
    <mergeCell ref="F533:G533"/>
    <mergeCell ref="F544:G544"/>
    <mergeCell ref="F545:G545"/>
    <mergeCell ref="F546:L546"/>
    <mergeCell ref="F547:N547"/>
    <mergeCell ref="F548:G548"/>
    <mergeCell ref="F539:G539"/>
    <mergeCell ref="F540:G540"/>
    <mergeCell ref="F541:G541"/>
    <mergeCell ref="F542:G542"/>
    <mergeCell ref="F543:G543"/>
    <mergeCell ref="A553:S553"/>
    <mergeCell ref="F549:G549"/>
    <mergeCell ref="F550:G550"/>
    <mergeCell ref="F551:G551"/>
    <mergeCell ref="J551:M551"/>
    <mergeCell ref="F552:G552"/>
    <mergeCell ref="J552:M552"/>
    <mergeCell ref="B550:E550"/>
    <mergeCell ref="B568:E568"/>
    <mergeCell ref="N559:N567"/>
    <mergeCell ref="F595:G595"/>
    <mergeCell ref="F596:G596"/>
    <mergeCell ref="F597:G597"/>
    <mergeCell ref="F601:L601"/>
    <mergeCell ref="F602:G602"/>
    <mergeCell ref="A590:L590"/>
    <mergeCell ref="A591:L591"/>
    <mergeCell ref="A592:L592"/>
    <mergeCell ref="F593:L593"/>
    <mergeCell ref="F594:G594"/>
    <mergeCell ref="B594:E594"/>
    <mergeCell ref="B602:E602"/>
    <mergeCell ref="F608:G608"/>
    <mergeCell ref="F609:G609"/>
    <mergeCell ref="F610:G610"/>
    <mergeCell ref="F611:G611"/>
    <mergeCell ref="F612:G612"/>
    <mergeCell ref="F603:G603"/>
    <mergeCell ref="F604:L604"/>
    <mergeCell ref="F605:G605"/>
    <mergeCell ref="F606:G606"/>
    <mergeCell ref="F607:G607"/>
    <mergeCell ref="F618:G618"/>
    <mergeCell ref="F619:G619"/>
    <mergeCell ref="F620:G620"/>
    <mergeCell ref="J620:M620"/>
    <mergeCell ref="F621:G621"/>
    <mergeCell ref="J621:M621"/>
    <mergeCell ref="F613:G613"/>
    <mergeCell ref="F614:G614"/>
    <mergeCell ref="F615:L615"/>
    <mergeCell ref="F616:N616"/>
    <mergeCell ref="F617:G617"/>
    <mergeCell ref="A730:L730"/>
    <mergeCell ref="F731:L731"/>
    <mergeCell ref="F732:G732"/>
    <mergeCell ref="A691:S691"/>
    <mergeCell ref="B706:E706"/>
    <mergeCell ref="B732:E732"/>
    <mergeCell ref="B707:E708"/>
    <mergeCell ref="B709:E712"/>
    <mergeCell ref="B713:E713"/>
    <mergeCell ref="B714:E720"/>
    <mergeCell ref="B721:E725"/>
    <mergeCell ref="O693:P693"/>
    <mergeCell ref="R693:R694"/>
    <mergeCell ref="R695:R696"/>
    <mergeCell ref="S693:S694"/>
    <mergeCell ref="S695:S696"/>
    <mergeCell ref="F741:G741"/>
    <mergeCell ref="F742:L742"/>
    <mergeCell ref="F743:G743"/>
    <mergeCell ref="F744:G744"/>
    <mergeCell ref="F745:G745"/>
    <mergeCell ref="F733:G733"/>
    <mergeCell ref="F734:G734"/>
    <mergeCell ref="F735:G735"/>
    <mergeCell ref="F739:L739"/>
    <mergeCell ref="F740:G740"/>
    <mergeCell ref="F736:G736"/>
    <mergeCell ref="B775:E775"/>
    <mergeCell ref="F751:G751"/>
    <mergeCell ref="F752:G752"/>
    <mergeCell ref="F753:L753"/>
    <mergeCell ref="F754:N754"/>
    <mergeCell ref="F755:G755"/>
    <mergeCell ref="F746:G746"/>
    <mergeCell ref="F747:G747"/>
    <mergeCell ref="F748:G748"/>
    <mergeCell ref="F749:G749"/>
    <mergeCell ref="F750:G750"/>
    <mergeCell ref="A760:S760"/>
    <mergeCell ref="F756:G756"/>
    <mergeCell ref="F757:G757"/>
    <mergeCell ref="F758:G758"/>
    <mergeCell ref="J758:M758"/>
    <mergeCell ref="F759:G759"/>
    <mergeCell ref="J759:M759"/>
    <mergeCell ref="B759:E759"/>
    <mergeCell ref="B757:E757"/>
    <mergeCell ref="O762:P762"/>
    <mergeCell ref="N766:N774"/>
    <mergeCell ref="R762:R763"/>
    <mergeCell ref="S762:S763"/>
    <mergeCell ref="F802:G802"/>
    <mergeCell ref="F803:G803"/>
    <mergeCell ref="F804:G804"/>
    <mergeCell ref="F805:G805"/>
    <mergeCell ref="F808:L808"/>
    <mergeCell ref="A797:L797"/>
    <mergeCell ref="A798:L798"/>
    <mergeCell ref="A799:L799"/>
    <mergeCell ref="F800:L800"/>
    <mergeCell ref="F801:G801"/>
    <mergeCell ref="B801:E801"/>
    <mergeCell ref="F806:G806"/>
    <mergeCell ref="F807:G807"/>
    <mergeCell ref="F814:G814"/>
    <mergeCell ref="F815:G815"/>
    <mergeCell ref="F816:G816"/>
    <mergeCell ref="F817:G817"/>
    <mergeCell ref="F818:G818"/>
    <mergeCell ref="F809:G809"/>
    <mergeCell ref="F810:G810"/>
    <mergeCell ref="F811:L811"/>
    <mergeCell ref="F812:G812"/>
    <mergeCell ref="F813:G813"/>
    <mergeCell ref="F828:G828"/>
    <mergeCell ref="J828:M828"/>
    <mergeCell ref="F824:G824"/>
    <mergeCell ref="F825:G825"/>
    <mergeCell ref="F826:G826"/>
    <mergeCell ref="F827:G827"/>
    <mergeCell ref="J827:M827"/>
    <mergeCell ref="F819:G819"/>
    <mergeCell ref="F820:G820"/>
    <mergeCell ref="F821:G821"/>
    <mergeCell ref="F822:L822"/>
    <mergeCell ref="F823:N823"/>
    <mergeCell ref="A328:E328"/>
    <mergeCell ref="A339:E339"/>
    <mergeCell ref="A340:E340"/>
    <mergeCell ref="A344:E344"/>
    <mergeCell ref="A345:E345"/>
    <mergeCell ref="B319:E319"/>
    <mergeCell ref="B320:E320"/>
    <mergeCell ref="B327:E327"/>
    <mergeCell ref="B321:E321"/>
    <mergeCell ref="B330:E330"/>
    <mergeCell ref="B331:E331"/>
    <mergeCell ref="B332:E332"/>
    <mergeCell ref="B333:E333"/>
    <mergeCell ref="B334:E334"/>
    <mergeCell ref="B335:E335"/>
    <mergeCell ref="B336:E336"/>
    <mergeCell ref="B337:E337"/>
    <mergeCell ref="B338:E338"/>
    <mergeCell ref="B342:E342"/>
    <mergeCell ref="B343:E343"/>
    <mergeCell ref="B329:E329"/>
    <mergeCell ref="B341:E341"/>
    <mergeCell ref="F338:G338"/>
    <mergeCell ref="F339:L339"/>
    <mergeCell ref="B361:E361"/>
    <mergeCell ref="B362:E363"/>
    <mergeCell ref="B364:E367"/>
    <mergeCell ref="B368:E371"/>
    <mergeCell ref="B386:E386"/>
    <mergeCell ref="B394:E394"/>
    <mergeCell ref="A383:L383"/>
    <mergeCell ref="A384:L384"/>
    <mergeCell ref="A385:L385"/>
    <mergeCell ref="F386:L386"/>
    <mergeCell ref="F387:G387"/>
    <mergeCell ref="F340:N340"/>
    <mergeCell ref="F341:G341"/>
    <mergeCell ref="B372:E382"/>
    <mergeCell ref="B397:E397"/>
    <mergeCell ref="B408:E408"/>
    <mergeCell ref="B409:E409"/>
    <mergeCell ref="B413:E413"/>
    <mergeCell ref="B414:E414"/>
    <mergeCell ref="B387:E387"/>
    <mergeCell ref="B395:E395"/>
    <mergeCell ref="B398:E398"/>
    <mergeCell ref="B388:E388"/>
    <mergeCell ref="B389:E389"/>
    <mergeCell ref="B390:E390"/>
    <mergeCell ref="B396:E396"/>
    <mergeCell ref="B399:E399"/>
    <mergeCell ref="B400:E400"/>
    <mergeCell ref="B401:E401"/>
    <mergeCell ref="B402:E402"/>
    <mergeCell ref="B403:E403"/>
    <mergeCell ref="B404:E404"/>
    <mergeCell ref="B405:E405"/>
    <mergeCell ref="B406:E406"/>
    <mergeCell ref="B407:E407"/>
    <mergeCell ref="B411:E411"/>
    <mergeCell ref="B412:E412"/>
    <mergeCell ref="B410:E410"/>
    <mergeCell ref="B466:E466"/>
    <mergeCell ref="B477:E477"/>
    <mergeCell ref="B478:E478"/>
    <mergeCell ref="B482:E482"/>
    <mergeCell ref="B483:E483"/>
    <mergeCell ref="B456:E456"/>
    <mergeCell ref="B464:E464"/>
    <mergeCell ref="B467:E467"/>
    <mergeCell ref="B479:E479"/>
    <mergeCell ref="B457:E457"/>
    <mergeCell ref="B458:E458"/>
    <mergeCell ref="B459:E459"/>
    <mergeCell ref="B465:E465"/>
    <mergeCell ref="B468:E468"/>
    <mergeCell ref="B469:E469"/>
    <mergeCell ref="B470:E470"/>
    <mergeCell ref="B471:E471"/>
    <mergeCell ref="B472:E472"/>
    <mergeCell ref="B473:E473"/>
    <mergeCell ref="B474:E474"/>
    <mergeCell ref="B475:E475"/>
    <mergeCell ref="B476:E476"/>
    <mergeCell ref="B480:E480"/>
    <mergeCell ref="B481:E481"/>
    <mergeCell ref="B532:E532"/>
    <mergeCell ref="B535:E535"/>
    <mergeCell ref="B546:E546"/>
    <mergeCell ref="B547:E547"/>
    <mergeCell ref="B551:E551"/>
    <mergeCell ref="B552:E552"/>
    <mergeCell ref="B525:E525"/>
    <mergeCell ref="B533:E533"/>
    <mergeCell ref="B536:E536"/>
    <mergeCell ref="B548:E548"/>
    <mergeCell ref="B526:E526"/>
    <mergeCell ref="B527:E527"/>
    <mergeCell ref="B528:E528"/>
    <mergeCell ref="B534:E534"/>
    <mergeCell ref="B537:E537"/>
    <mergeCell ref="B538:E538"/>
    <mergeCell ref="B539:E539"/>
    <mergeCell ref="B540:E540"/>
    <mergeCell ref="B541:E541"/>
    <mergeCell ref="B542:E542"/>
    <mergeCell ref="B543:E543"/>
    <mergeCell ref="B544:E544"/>
    <mergeCell ref="B545:E545"/>
    <mergeCell ref="B549:E549"/>
    <mergeCell ref="B569:E570"/>
    <mergeCell ref="B571:E574"/>
    <mergeCell ref="B575:E580"/>
    <mergeCell ref="B581:E585"/>
    <mergeCell ref="B593:E593"/>
    <mergeCell ref="B601:E601"/>
    <mergeCell ref="B604:E604"/>
    <mergeCell ref="B615:E615"/>
    <mergeCell ref="B616:E616"/>
    <mergeCell ref="B751:E751"/>
    <mergeCell ref="B752:E752"/>
    <mergeCell ref="B756:E756"/>
    <mergeCell ref="B620:E620"/>
    <mergeCell ref="B621:E621"/>
    <mergeCell ref="B595:E595"/>
    <mergeCell ref="B596:E596"/>
    <mergeCell ref="B597:E597"/>
    <mergeCell ref="B603:E603"/>
    <mergeCell ref="B606:E606"/>
    <mergeCell ref="B607:E607"/>
    <mergeCell ref="B608:E608"/>
    <mergeCell ref="B609:E609"/>
    <mergeCell ref="B610:E610"/>
    <mergeCell ref="B611:E611"/>
    <mergeCell ref="B612:E612"/>
    <mergeCell ref="B613:E613"/>
    <mergeCell ref="B614:E614"/>
    <mergeCell ref="B618:E618"/>
    <mergeCell ref="B619:E619"/>
    <mergeCell ref="B605:E605"/>
    <mergeCell ref="B617:E617"/>
    <mergeCell ref="A728:L728"/>
    <mergeCell ref="A729:L729"/>
    <mergeCell ref="B792:E796"/>
    <mergeCell ref="B800:E800"/>
    <mergeCell ref="B808:E808"/>
    <mergeCell ref="B811:E811"/>
    <mergeCell ref="B822:E822"/>
    <mergeCell ref="B740:E740"/>
    <mergeCell ref="B743:E743"/>
    <mergeCell ref="B755:E755"/>
    <mergeCell ref="B731:E731"/>
    <mergeCell ref="B739:E739"/>
    <mergeCell ref="B742:E742"/>
    <mergeCell ref="B753:E753"/>
    <mergeCell ref="B754:E754"/>
    <mergeCell ref="B758:E758"/>
    <mergeCell ref="B733:E733"/>
    <mergeCell ref="B734:E734"/>
    <mergeCell ref="B735:E735"/>
    <mergeCell ref="B736:E736"/>
    <mergeCell ref="B741:E741"/>
    <mergeCell ref="B744:E744"/>
    <mergeCell ref="B745:E745"/>
    <mergeCell ref="B746:E746"/>
    <mergeCell ref="B747:E747"/>
    <mergeCell ref="B748:E748"/>
    <mergeCell ref="B827:E827"/>
    <mergeCell ref="B828:E828"/>
    <mergeCell ref="B802:E802"/>
    <mergeCell ref="B803:E803"/>
    <mergeCell ref="B804:E804"/>
    <mergeCell ref="B805:E805"/>
    <mergeCell ref="B810:E810"/>
    <mergeCell ref="B813:E813"/>
    <mergeCell ref="B814:E814"/>
    <mergeCell ref="B815:E815"/>
    <mergeCell ref="B816:E816"/>
    <mergeCell ref="B817:E817"/>
    <mergeCell ref="B818:E818"/>
    <mergeCell ref="B819:E819"/>
    <mergeCell ref="B820:E820"/>
    <mergeCell ref="B821:E821"/>
    <mergeCell ref="B825:E825"/>
    <mergeCell ref="B826:E826"/>
    <mergeCell ref="B809:E809"/>
    <mergeCell ref="B812:E812"/>
    <mergeCell ref="B824:E824"/>
    <mergeCell ref="B823:E823"/>
    <mergeCell ref="B806:E806"/>
    <mergeCell ref="B807:E807"/>
    <mergeCell ref="B690:E690"/>
    <mergeCell ref="B664:E664"/>
    <mergeCell ref="B665:E665"/>
    <mergeCell ref="B666:E666"/>
    <mergeCell ref="B672:E672"/>
    <mergeCell ref="B675:E675"/>
    <mergeCell ref="B676:E676"/>
    <mergeCell ref="B677:E677"/>
    <mergeCell ref="B678:E678"/>
    <mergeCell ref="B679:E679"/>
    <mergeCell ref="B680:E680"/>
    <mergeCell ref="B681:E681"/>
    <mergeCell ref="B682:E682"/>
    <mergeCell ref="B683:E683"/>
    <mergeCell ref="B687:E687"/>
    <mergeCell ref="B688:E688"/>
    <mergeCell ref="B674:E674"/>
    <mergeCell ref="B686:E686"/>
    <mergeCell ref="B670:E670"/>
    <mergeCell ref="B673:E673"/>
    <mergeCell ref="B684:E684"/>
    <mergeCell ref="B685:E685"/>
    <mergeCell ref="B689:E689"/>
    <mergeCell ref="R624:R625"/>
    <mergeCell ref="S624:S625"/>
    <mergeCell ref="R626:R627"/>
    <mergeCell ref="S626:S627"/>
    <mergeCell ref="R555:R556"/>
    <mergeCell ref="S555:S556"/>
    <mergeCell ref="R557:R558"/>
    <mergeCell ref="S557:S558"/>
    <mergeCell ref="O3:P3"/>
    <mergeCell ref="O72:P72"/>
    <mergeCell ref="O210:P210"/>
    <mergeCell ref="O279:P279"/>
    <mergeCell ref="O348:P348"/>
    <mergeCell ref="O486:P486"/>
    <mergeCell ref="O555:P555"/>
    <mergeCell ref="O141:P141"/>
    <mergeCell ref="A346:S346"/>
    <mergeCell ref="F342:G342"/>
    <mergeCell ref="F343:G343"/>
    <mergeCell ref="F344:G344"/>
    <mergeCell ref="J344:M344"/>
    <mergeCell ref="F345:G345"/>
    <mergeCell ref="J345:M345"/>
    <mergeCell ref="F337:G337"/>
    <mergeCell ref="R3:R4"/>
    <mergeCell ref="S3:S4"/>
    <mergeCell ref="R5:R6"/>
    <mergeCell ref="S5:S6"/>
    <mergeCell ref="B783:E791"/>
    <mergeCell ref="R419:R420"/>
    <mergeCell ref="S419:S420"/>
    <mergeCell ref="R348:R349"/>
    <mergeCell ref="S348:S349"/>
    <mergeCell ref="R350:R351"/>
    <mergeCell ref="S350:S351"/>
    <mergeCell ref="R279:R280"/>
    <mergeCell ref="S279:S280"/>
    <mergeCell ref="R281:R282"/>
    <mergeCell ref="S281:S282"/>
    <mergeCell ref="R764:R765"/>
    <mergeCell ref="S764:S765"/>
    <mergeCell ref="N283:N291"/>
    <mergeCell ref="N352:N360"/>
    <mergeCell ref="B776:E777"/>
    <mergeCell ref="B778:E781"/>
    <mergeCell ref="B782:E782"/>
    <mergeCell ref="B749:E749"/>
    <mergeCell ref="B750:E750"/>
  </mergeCells>
  <phoneticPr fontId="9" type="noConversion"/>
  <pageMargins left="0.7" right="0.7" top="0.75" bottom="0.75" header="0.3" footer="0.3"/>
  <pageSetup paperSize="9" scale="68" orientation="portrait" r:id="rId1"/>
  <rowBreaks count="13" manualBreakCount="13">
    <brk id="69" max="18" man="1"/>
    <brk id="138" max="18" man="1"/>
    <brk id="207" max="18" man="1"/>
    <brk id="276" max="18" man="1"/>
    <brk id="345" max="18" man="1"/>
    <brk id="414" max="18" man="1"/>
    <brk id="483" max="18" man="1"/>
    <brk id="552" max="18" man="1"/>
    <brk id="621" max="18" man="1"/>
    <brk id="690" max="18" man="1"/>
    <brk id="759" max="18" man="1"/>
    <brk id="828" max="18" man="1"/>
    <brk id="897" max="1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6"/>
  <sheetViews>
    <sheetView view="pageBreakPreview" topLeftCell="A79" zoomScale="98" zoomScaleNormal="100" zoomScaleSheetLayoutView="98" workbookViewId="0">
      <selection activeCell="U89" sqref="U89"/>
    </sheetView>
  </sheetViews>
  <sheetFormatPr defaultColWidth="8.125" defaultRowHeight="13.5" outlineLevelCol="1" x14ac:dyDescent="0.15"/>
  <cols>
    <col min="1" max="1" width="5.875" style="1" customWidth="1"/>
    <col min="2" max="2" width="3.25" style="1" customWidth="1"/>
    <col min="3" max="3" width="2.875" style="1" customWidth="1"/>
    <col min="4" max="4" width="3.5" style="1" customWidth="1"/>
    <col min="5" max="5" width="9.75" style="1" customWidth="1"/>
    <col min="6" max="6" width="7" style="1" customWidth="1"/>
    <col min="7" max="7" width="12.5" style="1" customWidth="1"/>
    <col min="8" max="8" width="12.5" style="1" customWidth="1" outlineLevel="1"/>
    <col min="9" max="9" width="10.5" style="1" customWidth="1"/>
    <col min="10" max="10" width="6" style="1" customWidth="1"/>
    <col min="11" max="11" width="6.875" style="1" customWidth="1"/>
    <col min="12" max="12" width="7.875" style="1" customWidth="1"/>
    <col min="13" max="14" width="9.25" style="1" customWidth="1"/>
    <col min="15" max="15" width="8" style="1" customWidth="1"/>
    <col min="16" max="16" width="14.875" style="1" customWidth="1"/>
    <col min="17" max="18" width="8.125" style="1" customWidth="1"/>
    <col min="19" max="19" width="3.5" style="1" customWidth="1"/>
    <col min="20" max="20" width="3" style="374" customWidth="1"/>
    <col min="21" max="21" width="8" style="259" customWidth="1"/>
    <col min="22" max="22" width="6" style="259" customWidth="1"/>
    <col min="23" max="23" width="8.625" style="259" bestFit="1" customWidth="1"/>
    <col min="24" max="24" width="7.125" style="259" customWidth="1"/>
    <col min="25" max="26" width="8.625" style="260" bestFit="1" customWidth="1"/>
    <col min="27" max="27" width="8.5" style="1" bestFit="1" customWidth="1"/>
    <col min="28" max="28" width="8.125" style="1"/>
    <col min="29" max="29" width="8.5" style="1" bestFit="1" customWidth="1"/>
    <col min="30" max="30" width="8.125" style="1"/>
    <col min="31" max="31" width="8.5" style="1" bestFit="1" customWidth="1"/>
    <col min="32" max="32" width="8.125" style="1"/>
    <col min="33" max="33" width="8.5" style="1" bestFit="1" customWidth="1"/>
    <col min="34" max="16384" width="8.125" style="1"/>
  </cols>
  <sheetData>
    <row r="1" spans="1:34" ht="18.75" customHeight="1" x14ac:dyDescent="0.15">
      <c r="A1" s="549" t="s">
        <v>0</v>
      </c>
      <c r="B1" s="549"/>
      <c r="C1" s="549"/>
      <c r="D1" s="549"/>
      <c r="E1" s="549"/>
      <c r="F1" s="549"/>
      <c r="G1" s="549"/>
      <c r="H1" s="549"/>
      <c r="I1" s="549"/>
      <c r="J1" s="549"/>
      <c r="K1" s="550"/>
      <c r="L1" s="549"/>
      <c r="M1" s="549"/>
      <c r="N1" s="549"/>
      <c r="O1" s="549"/>
      <c r="P1" s="549"/>
      <c r="Q1" s="551"/>
      <c r="R1" s="551"/>
      <c r="S1" s="415"/>
    </row>
    <row r="2" spans="1:34" ht="15" customHeight="1" x14ac:dyDescent="0.15">
      <c r="A2" s="2" t="s">
        <v>1</v>
      </c>
      <c r="B2" s="339" t="s">
        <v>910</v>
      </c>
      <c r="C2" s="3">
        <v>1</v>
      </c>
      <c r="D2" s="340"/>
      <c r="E2" s="4" t="s">
        <v>2</v>
      </c>
      <c r="F2" s="5">
        <v>80</v>
      </c>
      <c r="G2" s="106" t="s">
        <v>86</v>
      </c>
      <c r="H2" s="106"/>
      <c r="I2" s="4" t="s">
        <v>3</v>
      </c>
      <c r="J2" s="6">
        <f>K5</f>
        <v>1300</v>
      </c>
      <c r="K2" s="7" t="s">
        <v>83</v>
      </c>
      <c r="L2" s="6">
        <f>K4</f>
        <v>1400</v>
      </c>
      <c r="M2" s="8" t="s">
        <v>4</v>
      </c>
      <c r="N2" s="9">
        <f>L14</f>
        <v>1.82</v>
      </c>
      <c r="O2" s="10"/>
      <c r="P2" s="10"/>
      <c r="Q2" s="10" t="s">
        <v>5</v>
      </c>
      <c r="R2" s="11"/>
      <c r="S2" s="457"/>
    </row>
    <row r="3" spans="1:34" ht="15" customHeight="1" x14ac:dyDescent="0.2">
      <c r="A3" s="12"/>
      <c r="B3" s="13"/>
      <c r="C3" s="13"/>
      <c r="D3" s="13"/>
      <c r="E3" s="14"/>
      <c r="F3" s="14"/>
      <c r="G3" s="15"/>
      <c r="H3" s="15"/>
      <c r="I3" s="16"/>
      <c r="J3" s="16" t="s">
        <v>6</v>
      </c>
      <c r="K3" s="17" t="s">
        <v>7</v>
      </c>
      <c r="L3" s="16" t="s">
        <v>8</v>
      </c>
      <c r="M3" s="18"/>
      <c r="N3" s="548" t="s">
        <v>1087</v>
      </c>
      <c r="O3" s="548"/>
      <c r="P3" s="16" t="s">
        <v>1018</v>
      </c>
      <c r="Q3" s="27"/>
      <c r="R3" s="27"/>
      <c r="S3" s="27"/>
    </row>
    <row r="4" spans="1:34" ht="15" customHeight="1" x14ac:dyDescent="0.2">
      <c r="A4" s="398" t="s">
        <v>909</v>
      </c>
      <c r="B4" s="405" t="s">
        <v>1456</v>
      </c>
      <c r="C4" s="343"/>
      <c r="D4" s="343"/>
      <c r="E4" s="23"/>
      <c r="F4" s="23"/>
      <c r="G4" s="107"/>
      <c r="H4" s="107"/>
      <c r="I4" s="24" t="s">
        <v>9</v>
      </c>
      <c r="J4" s="16" t="s">
        <v>10</v>
      </c>
      <c r="K4" s="25">
        <v>1400</v>
      </c>
      <c r="L4" s="113">
        <f>K4-L13*2</f>
        <v>1300</v>
      </c>
      <c r="M4" s="18"/>
      <c r="N4" s="356" t="s">
        <v>1088</v>
      </c>
      <c r="O4" s="357"/>
      <c r="P4" s="16" t="s">
        <v>1019</v>
      </c>
      <c r="Q4" s="27"/>
      <c r="R4" s="27"/>
      <c r="S4" s="27"/>
    </row>
    <row r="5" spans="1:34" ht="15" customHeight="1" x14ac:dyDescent="0.2">
      <c r="A5" s="21"/>
      <c r="B5" s="22"/>
      <c r="C5" s="22"/>
      <c r="D5" s="22"/>
      <c r="E5" s="23"/>
      <c r="F5" s="23"/>
      <c r="G5" s="18"/>
      <c r="H5" s="18"/>
      <c r="I5" s="24" t="s">
        <v>11</v>
      </c>
      <c r="J5" s="16" t="s">
        <v>10</v>
      </c>
      <c r="K5" s="25">
        <v>1300</v>
      </c>
      <c r="L5" s="113">
        <f>K5-L13*2</f>
        <v>1200</v>
      </c>
      <c r="M5" s="18"/>
      <c r="N5" s="356" t="s">
        <v>1089</v>
      </c>
      <c r="O5" s="357"/>
      <c r="P5" s="16" t="s">
        <v>1022</v>
      </c>
      <c r="Q5" s="27"/>
      <c r="R5" s="27"/>
      <c r="S5" s="27"/>
    </row>
    <row r="6" spans="1:34" ht="15" customHeight="1" x14ac:dyDescent="0.2">
      <c r="A6" s="21"/>
      <c r="B6" s="22"/>
      <c r="C6" s="22"/>
      <c r="D6" s="22"/>
      <c r="E6" s="23"/>
      <c r="F6" s="23"/>
      <c r="G6" s="18"/>
      <c r="H6" s="18"/>
      <c r="I6" s="24" t="s">
        <v>12</v>
      </c>
      <c r="J6" s="16" t="s">
        <v>10</v>
      </c>
      <c r="K6" s="26"/>
      <c r="L6" s="113">
        <f>L4</f>
        <v>1300</v>
      </c>
      <c r="M6" s="18"/>
      <c r="N6" s="356" t="s">
        <v>1092</v>
      </c>
      <c r="O6" s="357"/>
      <c r="P6" s="16" t="s">
        <v>1020</v>
      </c>
      <c r="Q6" s="27"/>
      <c r="R6" s="27"/>
      <c r="S6" s="27"/>
    </row>
    <row r="7" spans="1:34" ht="15" customHeight="1" x14ac:dyDescent="0.2">
      <c r="A7" s="21"/>
      <c r="B7" s="22"/>
      <c r="C7" s="22"/>
      <c r="D7" s="22"/>
      <c r="E7" s="23"/>
      <c r="F7" s="23"/>
      <c r="G7" s="18"/>
      <c r="H7" s="18"/>
      <c r="I7" s="24" t="s">
        <v>13</v>
      </c>
      <c r="J7" s="16" t="s">
        <v>10</v>
      </c>
      <c r="K7" s="26"/>
      <c r="L7" s="113"/>
      <c r="M7" s="18"/>
      <c r="N7" s="356" t="s">
        <v>925</v>
      </c>
      <c r="O7" s="357"/>
      <c r="P7" s="16" t="s">
        <v>1021</v>
      </c>
      <c r="Q7" s="27"/>
      <c r="R7" s="28"/>
      <c r="S7" s="27"/>
    </row>
    <row r="8" spans="1:34" ht="15" customHeight="1" x14ac:dyDescent="0.2">
      <c r="A8" s="21"/>
      <c r="B8" s="22"/>
      <c r="C8" s="22"/>
      <c r="D8" s="22"/>
      <c r="E8" s="23"/>
      <c r="F8" s="23"/>
      <c r="G8" s="18"/>
      <c r="H8" s="18"/>
      <c r="I8" s="24" t="s">
        <v>14</v>
      </c>
      <c r="J8" s="16" t="s">
        <v>10</v>
      </c>
      <c r="K8" s="26"/>
      <c r="L8" s="113"/>
      <c r="M8" s="18"/>
      <c r="N8" s="356"/>
      <c r="O8" s="357"/>
      <c r="P8" s="16"/>
      <c r="Q8" s="27"/>
      <c r="R8" s="28"/>
      <c r="S8" s="27"/>
    </row>
    <row r="9" spans="1:34" ht="15" customHeight="1" x14ac:dyDescent="0.2">
      <c r="A9" s="21"/>
      <c r="B9" s="22"/>
      <c r="C9" s="22"/>
      <c r="D9" s="22"/>
      <c r="E9" s="23"/>
      <c r="F9" s="23"/>
      <c r="G9" s="18"/>
      <c r="H9" s="18"/>
      <c r="I9" s="24" t="s">
        <v>15</v>
      </c>
      <c r="J9" s="16" t="s">
        <v>10</v>
      </c>
      <c r="K9" s="26"/>
      <c r="L9" s="113">
        <f>L5/2</f>
        <v>600</v>
      </c>
      <c r="M9" s="18"/>
      <c r="N9" s="356" t="s">
        <v>928</v>
      </c>
      <c r="O9" s="357"/>
      <c r="P9" s="16" t="s">
        <v>1005</v>
      </c>
      <c r="Q9" s="27"/>
      <c r="R9" s="28"/>
      <c r="S9" s="27"/>
    </row>
    <row r="10" spans="1:34" ht="15" customHeight="1" x14ac:dyDescent="0.2">
      <c r="A10" s="21"/>
      <c r="B10" s="22"/>
      <c r="C10" s="22"/>
      <c r="D10" s="22"/>
      <c r="E10" s="23"/>
      <c r="F10" s="23"/>
      <c r="G10" s="18"/>
      <c r="H10" s="18"/>
      <c r="I10" s="24" t="s">
        <v>16</v>
      </c>
      <c r="J10" s="16" t="s">
        <v>10</v>
      </c>
      <c r="K10" s="26"/>
      <c r="L10" s="113"/>
      <c r="M10" s="18"/>
      <c r="N10" s="356" t="s">
        <v>929</v>
      </c>
      <c r="O10" s="357"/>
      <c r="P10" s="16" t="s">
        <v>1024</v>
      </c>
      <c r="Q10" s="27"/>
      <c r="R10" s="28"/>
      <c r="S10" s="27"/>
    </row>
    <row r="11" spans="1:34" ht="15" customHeight="1" x14ac:dyDescent="0.2">
      <c r="A11" s="21"/>
      <c r="B11" s="22"/>
      <c r="C11" s="22"/>
      <c r="D11" s="22"/>
      <c r="E11" s="23"/>
      <c r="F11" s="23"/>
      <c r="G11" s="18"/>
      <c r="H11" s="18"/>
      <c r="I11" s="24" t="s">
        <v>17</v>
      </c>
      <c r="J11" s="16" t="s">
        <v>10</v>
      </c>
      <c r="K11" s="26"/>
      <c r="L11" s="113"/>
      <c r="M11" s="18"/>
      <c r="N11" s="356" t="s">
        <v>930</v>
      </c>
      <c r="O11" s="357"/>
      <c r="P11" s="16" t="s">
        <v>931</v>
      </c>
      <c r="Q11" s="27"/>
      <c r="R11" s="28"/>
      <c r="S11" s="27"/>
    </row>
    <row r="12" spans="1:34" ht="15" customHeight="1" x14ac:dyDescent="0.2">
      <c r="A12" s="21"/>
      <c r="B12" s="22"/>
      <c r="C12" s="22"/>
      <c r="D12" s="22"/>
      <c r="E12" s="23"/>
      <c r="F12" s="23"/>
      <c r="G12" s="18"/>
      <c r="H12" s="18"/>
      <c r="I12" s="24" t="s">
        <v>18</v>
      </c>
      <c r="J12" s="16" t="s">
        <v>10</v>
      </c>
      <c r="K12" s="26"/>
      <c r="L12" s="113"/>
      <c r="M12" s="18"/>
      <c r="N12" s="356" t="s">
        <v>932</v>
      </c>
      <c r="O12" s="357"/>
      <c r="P12" s="16" t="s">
        <v>933</v>
      </c>
      <c r="Q12" s="27"/>
      <c r="R12" s="28"/>
      <c r="S12" s="27"/>
    </row>
    <row r="13" spans="1:34" ht="15" customHeight="1" x14ac:dyDescent="0.2">
      <c r="A13" s="21"/>
      <c r="B13" s="22"/>
      <c r="C13" s="22"/>
      <c r="D13" s="22"/>
      <c r="E13" s="23"/>
      <c r="F13" s="23"/>
      <c r="G13" s="18"/>
      <c r="H13" s="18"/>
      <c r="I13" s="24" t="s">
        <v>19</v>
      </c>
      <c r="J13" s="16" t="s">
        <v>10</v>
      </c>
      <c r="K13" s="26"/>
      <c r="L13" s="25">
        <v>50</v>
      </c>
      <c r="M13" s="18"/>
      <c r="N13" s="356" t="s">
        <v>1101</v>
      </c>
      <c r="O13" s="357"/>
      <c r="P13" s="16" t="s">
        <v>935</v>
      </c>
      <c r="Q13" s="27"/>
      <c r="R13" s="28"/>
      <c r="S13" s="27"/>
    </row>
    <row r="14" spans="1:34" ht="15" customHeight="1" x14ac:dyDescent="0.2">
      <c r="A14" s="21"/>
      <c r="B14" s="22"/>
      <c r="C14" s="22"/>
      <c r="D14" s="22"/>
      <c r="E14" s="23"/>
      <c r="F14" s="23"/>
      <c r="G14" s="18"/>
      <c r="H14" s="18"/>
      <c r="I14" s="29" t="s">
        <v>20</v>
      </c>
      <c r="J14" s="16" t="s">
        <v>21</v>
      </c>
      <c r="K14" s="30"/>
      <c r="L14" s="31">
        <f>K4*K5/1000000</f>
        <v>1.82</v>
      </c>
      <c r="M14" s="18"/>
      <c r="N14" s="356" t="s">
        <v>936</v>
      </c>
      <c r="O14" s="357"/>
      <c r="P14" s="16" t="s">
        <v>937</v>
      </c>
      <c r="Q14" s="27"/>
      <c r="R14" s="28"/>
      <c r="S14" s="27"/>
    </row>
    <row r="15" spans="1:34" ht="15" customHeight="1" x14ac:dyDescent="0.2">
      <c r="A15" s="32"/>
      <c r="B15" s="33"/>
      <c r="C15" s="33"/>
      <c r="D15" s="33"/>
      <c r="E15" s="34"/>
      <c r="F15" s="34"/>
      <c r="G15" s="35"/>
      <c r="H15" s="35"/>
      <c r="I15" s="29" t="s">
        <v>22</v>
      </c>
      <c r="J15" s="16" t="s">
        <v>23</v>
      </c>
      <c r="K15" s="30"/>
      <c r="L15" s="36">
        <f>(K5+K4)*2/1000</f>
        <v>5.4</v>
      </c>
      <c r="M15" s="35"/>
      <c r="N15" s="356" t="s">
        <v>938</v>
      </c>
      <c r="O15" s="357"/>
      <c r="P15" s="16" t="s">
        <v>939</v>
      </c>
      <c r="Q15" s="37"/>
      <c r="R15" s="38"/>
      <c r="S15" s="27"/>
    </row>
    <row r="16" spans="1:34" ht="48" x14ac:dyDescent="0.15">
      <c r="A16" s="39" t="s">
        <v>24</v>
      </c>
      <c r="B16" s="560" t="s">
        <v>25</v>
      </c>
      <c r="C16" s="561"/>
      <c r="D16" s="562"/>
      <c r="E16" s="40" t="s">
        <v>26</v>
      </c>
      <c r="F16" s="40" t="s">
        <v>27</v>
      </c>
      <c r="G16" s="40" t="s">
        <v>28</v>
      </c>
      <c r="H16" s="40" t="s">
        <v>911</v>
      </c>
      <c r="I16" s="40" t="s">
        <v>29</v>
      </c>
      <c r="J16" s="40" t="s">
        <v>30</v>
      </c>
      <c r="K16" s="41" t="s">
        <v>31</v>
      </c>
      <c r="L16" s="40" t="s">
        <v>32</v>
      </c>
      <c r="M16" s="40" t="s">
        <v>33</v>
      </c>
      <c r="N16" s="40" t="s">
        <v>34</v>
      </c>
      <c r="O16" s="42" t="s">
        <v>35</v>
      </c>
      <c r="P16" s="338" t="s">
        <v>875</v>
      </c>
      <c r="Q16" s="43" t="s">
        <v>36</v>
      </c>
      <c r="R16" s="43" t="s">
        <v>37</v>
      </c>
      <c r="S16" s="458"/>
      <c r="U16" s="261" t="s">
        <v>804</v>
      </c>
      <c r="V16" s="261"/>
      <c r="W16" s="262" t="s">
        <v>805</v>
      </c>
      <c r="X16" s="263"/>
      <c r="Y16" s="262" t="s">
        <v>806</v>
      </c>
      <c r="Z16" s="274"/>
      <c r="AA16" s="206"/>
      <c r="AB16" s="153"/>
      <c r="AC16" s="206"/>
      <c r="AD16" s="153"/>
      <c r="AE16" s="206"/>
      <c r="AF16" s="153"/>
      <c r="AG16" s="206"/>
      <c r="AH16" s="153"/>
    </row>
    <row r="17" spans="1:34" ht="15" customHeight="1" x14ac:dyDescent="0.15">
      <c r="A17" s="188">
        <v>1</v>
      </c>
      <c r="B17" s="531" t="s">
        <v>38</v>
      </c>
      <c r="C17" s="532"/>
      <c r="D17" s="533"/>
      <c r="E17" s="47" t="str">
        <f>VLOOKUP($G:$G,型材表!$B$5:$I$448,2,0)</f>
        <v>边框</v>
      </c>
      <c r="F17" s="45" t="s">
        <v>39</v>
      </c>
      <c r="G17" s="45" t="str">
        <f>IF(F2=70,"ST70K001",IF(F2=80,"ST80K001",IF(F2=105,"ST105AK003")))</f>
        <v>ST80K001</v>
      </c>
      <c r="H17" s="207" t="s">
        <v>912</v>
      </c>
      <c r="I17" s="46">
        <f>L4</f>
        <v>1300</v>
      </c>
      <c r="J17" s="45">
        <v>2</v>
      </c>
      <c r="K17" s="47">
        <f>VLOOKUP($G:$G,型材表!$B$5:$I$448,4,0)</f>
        <v>1.738</v>
      </c>
      <c r="L17" s="46">
        <f>I17*J17*K17/1000</f>
        <v>4.5188000000000006</v>
      </c>
      <c r="M17" s="72">
        <f>VLOOKUP($G:$G,型材表!$B$5:$I$448,7,0)</f>
        <v>0</v>
      </c>
      <c r="N17" s="46">
        <f>M17*L17</f>
        <v>0</v>
      </c>
      <c r="O17" s="100">
        <f>VLOOKUP($G:$G,型材表!$B$5:$I$448,5,0)</f>
        <v>0.125</v>
      </c>
      <c r="P17" s="100" t="str">
        <f>VLOOKUP($G:$G,型材表!$B$5:$I$448,6,0)</f>
        <v>断桥隔热铝型材</v>
      </c>
      <c r="Q17" s="49"/>
      <c r="R17" s="50"/>
      <c r="S17" s="459"/>
      <c r="W17" s="264"/>
      <c r="X17" s="265"/>
      <c r="Y17" s="264"/>
      <c r="Z17" s="265"/>
      <c r="AA17" s="154"/>
      <c r="AB17" s="154"/>
      <c r="AC17" s="154"/>
      <c r="AD17" s="154"/>
      <c r="AE17" s="154"/>
      <c r="AF17" s="154"/>
      <c r="AG17" s="154"/>
      <c r="AH17" s="154"/>
    </row>
    <row r="18" spans="1:34" ht="15" customHeight="1" x14ac:dyDescent="0.15">
      <c r="A18" s="188">
        <v>2</v>
      </c>
      <c r="B18" s="534"/>
      <c r="C18" s="535"/>
      <c r="D18" s="536"/>
      <c r="E18" s="47" t="str">
        <f>VLOOKUP($G:$G,型材表!$B$5:$I$448,2,0)</f>
        <v>边框</v>
      </c>
      <c r="F18" s="45" t="s">
        <v>807</v>
      </c>
      <c r="G18" s="45" t="str">
        <f>IF(F2=70,"ST70K001",IF(F2=80,"ST80K001",IF(F2=105,"ST105AK003")))</f>
        <v>ST80K001</v>
      </c>
      <c r="H18" s="207" t="s">
        <v>1091</v>
      </c>
      <c r="I18" s="46">
        <f>IF(F2=70,L5-U18,IF(F2=80,L5-W18,IF(F2=105,L5-Y18)))</f>
        <v>1200</v>
      </c>
      <c r="J18" s="45">
        <v>1</v>
      </c>
      <c r="K18" s="47">
        <f>VLOOKUP($G:$G,型材表!$B$5:$I$448,4,0)</f>
        <v>1.738</v>
      </c>
      <c r="L18" s="46">
        <f t="shared" ref="L18:L22" si="0">I18*J18*K18/1000</f>
        <v>2.0855999999999999</v>
      </c>
      <c r="M18" s="72">
        <f>VLOOKUP($G:$G,型材表!$B$5:$I$448,7,0)</f>
        <v>0</v>
      </c>
      <c r="N18" s="46">
        <f t="shared" ref="N18:N22" si="1">M18*L18</f>
        <v>0</v>
      </c>
      <c r="O18" s="100">
        <f>VLOOKUP($G:$G,型材表!$B$5:$I$448,5,0)</f>
        <v>0.125</v>
      </c>
      <c r="P18" s="100" t="str">
        <f>VLOOKUP($G:$G,型材表!$B$5:$I$448,6,0)</f>
        <v>断桥隔热铝型材</v>
      </c>
      <c r="Q18" s="49"/>
      <c r="R18" s="50"/>
      <c r="S18" s="459"/>
      <c r="T18" s="374" t="s">
        <v>1114</v>
      </c>
      <c r="W18" s="264"/>
      <c r="X18" s="265"/>
      <c r="Y18" s="264">
        <f>20*2</f>
        <v>40</v>
      </c>
      <c r="Z18" s="265"/>
      <c r="AA18" s="154"/>
      <c r="AB18" s="154"/>
      <c r="AC18" s="154"/>
      <c r="AD18" s="154"/>
      <c r="AE18" s="154"/>
      <c r="AF18" s="154"/>
      <c r="AG18" s="154"/>
      <c r="AH18" s="154"/>
    </row>
    <row r="19" spans="1:34" ht="15" customHeight="1" x14ac:dyDescent="0.15">
      <c r="A19" s="188">
        <v>3</v>
      </c>
      <c r="B19" s="537"/>
      <c r="C19" s="538"/>
      <c r="D19" s="539"/>
      <c r="E19" s="47" t="str">
        <f>VLOOKUP($G:$G,型材表!$B$5:$I$448,2,0)</f>
        <v>边框</v>
      </c>
      <c r="F19" s="207" t="s">
        <v>646</v>
      </c>
      <c r="G19" s="207" t="str">
        <f>IF(F2=70,"ST70K001",IF(F2=80,"ST80K001",IF(F2=105,"ST105AK003")))</f>
        <v>ST80K001</v>
      </c>
      <c r="H19" s="207" t="s">
        <v>1091</v>
      </c>
      <c r="I19" s="208">
        <f>I18</f>
        <v>1200</v>
      </c>
      <c r="J19" s="207">
        <v>1</v>
      </c>
      <c r="K19" s="47">
        <f>VLOOKUP($G:$G,型材表!$B$5:$I$448,4,0)</f>
        <v>1.738</v>
      </c>
      <c r="L19" s="46">
        <f t="shared" si="0"/>
        <v>2.0855999999999999</v>
      </c>
      <c r="M19" s="72">
        <f>VLOOKUP($G:$G,型材表!$B$5:$I$448,7,0)</f>
        <v>0</v>
      </c>
      <c r="N19" s="46">
        <f t="shared" si="1"/>
        <v>0</v>
      </c>
      <c r="O19" s="100">
        <f>VLOOKUP($G:$G,型材表!$B$5:$I$448,5,0)</f>
        <v>0.125</v>
      </c>
      <c r="P19" s="100" t="str">
        <f>VLOOKUP($G:$G,型材表!$B$5:$I$448,6,0)</f>
        <v>断桥隔热铝型材</v>
      </c>
      <c r="Q19" s="210"/>
      <c r="R19" s="50"/>
      <c r="S19" s="459"/>
      <c r="W19" s="264"/>
      <c r="X19" s="265"/>
      <c r="Y19" s="264"/>
      <c r="Z19" s="265"/>
      <c r="AA19" s="154"/>
      <c r="AB19" s="154"/>
      <c r="AC19" s="154"/>
      <c r="AD19" s="154"/>
      <c r="AE19" s="154"/>
      <c r="AF19" s="154"/>
      <c r="AG19" s="154"/>
      <c r="AH19" s="154"/>
    </row>
    <row r="20" spans="1:34" ht="15" customHeight="1" x14ac:dyDescent="0.15">
      <c r="A20" s="188">
        <v>4</v>
      </c>
      <c r="B20" s="531" t="s">
        <v>41</v>
      </c>
      <c r="C20" s="532"/>
      <c r="D20" s="533"/>
      <c r="E20" s="47" t="str">
        <f>VLOOKUP($G:$G,型材表!$B$5:$I$448,2,0)</f>
        <v>扇料</v>
      </c>
      <c r="F20" s="45" t="s">
        <v>1090</v>
      </c>
      <c r="G20" s="45" t="str">
        <f>IF(F2=70,"ST70S002",IF(F2=80,"ST80S001",IF(F2=105,"ST105AS004")))</f>
        <v>ST80S001</v>
      </c>
      <c r="H20" s="207" t="s">
        <v>1012</v>
      </c>
      <c r="I20" s="46">
        <f>IF(F2=70,L6-U20,IF(F2=80,L6-W20,IF(F2=105,L6-Y20)))</f>
        <v>1216</v>
      </c>
      <c r="J20" s="45">
        <v>4</v>
      </c>
      <c r="K20" s="47">
        <f>VLOOKUP($G:$G,型材表!$B$5:$I$448,4,0)</f>
        <v>1.1679999999999999</v>
      </c>
      <c r="L20" s="46">
        <f t="shared" si="0"/>
        <v>5.681152</v>
      </c>
      <c r="M20" s="72">
        <f>VLOOKUP($G:$G,型材表!$B$5:$I$448,7,0)</f>
        <v>0</v>
      </c>
      <c r="N20" s="46">
        <f t="shared" si="1"/>
        <v>0</v>
      </c>
      <c r="O20" s="100">
        <f>VLOOKUP($G:$G,型材表!$B$5:$I$448,5,0)</f>
        <v>0.125</v>
      </c>
      <c r="P20" s="100" t="str">
        <f>VLOOKUP($G:$G,型材表!$B$5:$I$448,6,0)</f>
        <v>断桥隔热铝型材</v>
      </c>
      <c r="Q20" s="49"/>
      <c r="R20" s="50"/>
      <c r="S20" s="459"/>
      <c r="T20" s="374" t="s">
        <v>1115</v>
      </c>
      <c r="U20" s="259">
        <f>42.5*2</f>
        <v>85</v>
      </c>
      <c r="W20" s="264">
        <f>42*2</f>
        <v>84</v>
      </c>
      <c r="X20" s="265"/>
      <c r="Y20" s="264">
        <f>34+32.5</f>
        <v>66.5</v>
      </c>
      <c r="Z20" s="265"/>
      <c r="AA20" s="154"/>
      <c r="AB20" s="154"/>
      <c r="AC20" s="154"/>
      <c r="AD20" s="154"/>
      <c r="AE20" s="154"/>
      <c r="AF20" s="154"/>
      <c r="AG20" s="154"/>
      <c r="AH20" s="154"/>
    </row>
    <row r="21" spans="1:34" ht="15" customHeight="1" x14ac:dyDescent="0.15">
      <c r="A21" s="188">
        <v>5</v>
      </c>
      <c r="B21" s="534"/>
      <c r="C21" s="535"/>
      <c r="D21" s="536"/>
      <c r="E21" s="47" t="str">
        <f>VLOOKUP($G:$G,型材表!$B$5:$I$448,2,0)</f>
        <v>扇料</v>
      </c>
      <c r="F21" s="45" t="s">
        <v>821</v>
      </c>
      <c r="G21" s="45" t="str">
        <f>IF(F2=70,"ST70S002",IF(F2=80,"ST80S001",IF(F2=105,"ST105AS004")))</f>
        <v>ST80S001</v>
      </c>
      <c r="H21" s="207" t="s">
        <v>1002</v>
      </c>
      <c r="I21" s="46">
        <f>IF(F2=70,L9-U21,IF(F2=80,L9-W21,IF(F2=105,L9-Y21)))</f>
        <v>593.15</v>
      </c>
      <c r="J21" s="45">
        <v>2</v>
      </c>
      <c r="K21" s="47">
        <f>VLOOKUP($G:$G,型材表!$B$5:$I$448,4,0)</f>
        <v>1.1679999999999999</v>
      </c>
      <c r="L21" s="46">
        <f t="shared" si="0"/>
        <v>1.3855983999999999</v>
      </c>
      <c r="M21" s="72">
        <f>VLOOKUP($G:$G,型材表!$B$5:$I$448,7,0)</f>
        <v>0</v>
      </c>
      <c r="N21" s="46">
        <f t="shared" si="1"/>
        <v>0</v>
      </c>
      <c r="O21" s="100">
        <f>VLOOKUP($G:$G,型材表!$B$5:$I$448,5,0)</f>
        <v>0.125</v>
      </c>
      <c r="P21" s="100" t="str">
        <f>VLOOKUP($G:$G,型材表!$B$5:$I$448,6,0)</f>
        <v>断桥隔热铝型材</v>
      </c>
      <c r="Q21" s="49"/>
      <c r="R21" s="50"/>
      <c r="S21" s="459"/>
      <c r="T21" s="374" t="s">
        <v>1116</v>
      </c>
      <c r="U21" s="259">
        <f>42.5+53*2-66/2</f>
        <v>115.5</v>
      </c>
      <c r="W21" s="264">
        <f>41.8-69.9/2</f>
        <v>6.8499999999999943</v>
      </c>
      <c r="X21" s="265"/>
      <c r="Y21" s="264">
        <f>20+57.2*2-73.5/2</f>
        <v>97.65</v>
      </c>
      <c r="Z21" s="265"/>
      <c r="AA21" s="154"/>
      <c r="AB21" s="154"/>
      <c r="AC21" s="154"/>
      <c r="AD21" s="154"/>
      <c r="AE21" s="154"/>
      <c r="AF21" s="154"/>
      <c r="AG21" s="154"/>
      <c r="AH21" s="154"/>
    </row>
    <row r="22" spans="1:34" ht="15" customHeight="1" x14ac:dyDescent="0.15">
      <c r="A22" s="188">
        <v>6</v>
      </c>
      <c r="B22" s="534"/>
      <c r="C22" s="535"/>
      <c r="D22" s="536"/>
      <c r="E22" s="47" t="str">
        <f>VLOOKUP($G:$G,型材表!$B$5:$I$448,2,0)</f>
        <v>扇料</v>
      </c>
      <c r="F22" s="45" t="s">
        <v>822</v>
      </c>
      <c r="G22" s="45" t="str">
        <f>IF(F2=70,"ST70S002",IF(F2=80,"ST80S001",IF(F2=105,"ST105AS004")))</f>
        <v>ST80S001</v>
      </c>
      <c r="H22" s="207" t="s">
        <v>1002</v>
      </c>
      <c r="I22" s="46">
        <f>I21</f>
        <v>593.15</v>
      </c>
      <c r="J22" s="45">
        <v>2</v>
      </c>
      <c r="K22" s="47">
        <f>VLOOKUP($G:$G,型材表!$B$5:$I$448,4,0)</f>
        <v>1.1679999999999999</v>
      </c>
      <c r="L22" s="46">
        <f t="shared" si="0"/>
        <v>1.3855983999999999</v>
      </c>
      <c r="M22" s="72">
        <f>VLOOKUP($G:$G,型材表!$B$5:$I$448,7,0)</f>
        <v>0</v>
      </c>
      <c r="N22" s="46">
        <f t="shared" si="1"/>
        <v>0</v>
      </c>
      <c r="O22" s="100">
        <f>VLOOKUP($G:$G,型材表!$B$5:$I$448,5,0)</f>
        <v>0.125</v>
      </c>
      <c r="P22" s="100" t="str">
        <f>VLOOKUP($G:$G,型材表!$B$5:$I$448,6,0)</f>
        <v>断桥隔热铝型材</v>
      </c>
      <c r="Q22" s="49"/>
      <c r="R22" s="50"/>
      <c r="S22" s="459"/>
      <c r="W22" s="264"/>
      <c r="X22" s="265"/>
      <c r="Y22" s="264"/>
      <c r="Z22" s="265"/>
      <c r="AA22" s="154"/>
      <c r="AB22" s="154"/>
      <c r="AC22" s="154"/>
      <c r="AD22" s="154"/>
      <c r="AE22" s="154"/>
      <c r="AF22" s="154"/>
      <c r="AG22" s="154"/>
      <c r="AH22" s="154"/>
    </row>
    <row r="23" spans="1:34" ht="15" customHeight="1" x14ac:dyDescent="0.15">
      <c r="A23" s="188">
        <v>7</v>
      </c>
      <c r="B23" s="537"/>
      <c r="C23" s="538"/>
      <c r="D23" s="539"/>
      <c r="E23" s="47"/>
      <c r="F23" s="45"/>
      <c r="G23" s="45"/>
      <c r="H23" s="207"/>
      <c r="I23" s="46"/>
      <c r="J23" s="45"/>
      <c r="K23" s="47"/>
      <c r="L23" s="46"/>
      <c r="M23" s="72"/>
      <c r="N23" s="46"/>
      <c r="O23" s="100"/>
      <c r="P23" s="100"/>
      <c r="Q23" s="49"/>
      <c r="R23" s="50"/>
      <c r="S23" s="459"/>
      <c r="W23" s="264"/>
      <c r="X23" s="265"/>
      <c r="Y23" s="264"/>
      <c r="Z23" s="265"/>
      <c r="AA23" s="154"/>
      <c r="AB23" s="154"/>
      <c r="AC23" s="154"/>
      <c r="AD23" s="154"/>
      <c r="AE23" s="154"/>
      <c r="AF23" s="154"/>
      <c r="AG23" s="154"/>
      <c r="AH23" s="154"/>
    </row>
    <row r="24" spans="1:34" ht="15" customHeight="1" x14ac:dyDescent="0.15">
      <c r="A24" s="188">
        <v>8</v>
      </c>
      <c r="B24" s="531" t="s">
        <v>44</v>
      </c>
      <c r="C24" s="532"/>
      <c r="D24" s="533"/>
      <c r="E24" s="47" t="str">
        <f>VLOOKUP($G:$G,型材表!$B$5:$I$448,2,0)</f>
        <v>勾企盖板</v>
      </c>
      <c r="F24" s="51"/>
      <c r="G24" s="45" t="str">
        <f>IF(F2=70,"ST70F001",IF(F2=80,"ST80F001",IF(F2=105,"ST105AF002")))</f>
        <v>ST80F001</v>
      </c>
      <c r="H24" s="207" t="s">
        <v>1012</v>
      </c>
      <c r="I24" s="52">
        <f>I20</f>
        <v>1216</v>
      </c>
      <c r="J24" s="45">
        <v>2</v>
      </c>
      <c r="K24" s="47">
        <f>VLOOKUP($G:$G,型材表!$B$5:$I$448,4,0)</f>
        <v>0.34</v>
      </c>
      <c r="L24" s="46">
        <f t="shared" ref="L24:L26" si="2">I24*J24*K24/1000</f>
        <v>0.82688000000000006</v>
      </c>
      <c r="M24" s="72">
        <f>VLOOKUP($G:$G,型材表!$B$5:$I$448,7,0)</f>
        <v>0</v>
      </c>
      <c r="N24" s="46">
        <f t="shared" ref="N24:N26" si="3">M24*L24</f>
        <v>0</v>
      </c>
      <c r="O24" s="100">
        <f>VLOOKUP($G:$G,型材表!$B$5:$I$448,5,0)</f>
        <v>0.125</v>
      </c>
      <c r="P24" s="100" t="str">
        <f>VLOOKUP($G:$G,型材表!$B$5:$I$448,6,0)</f>
        <v>非断桥隔热铝型材</v>
      </c>
      <c r="Q24" s="49"/>
      <c r="R24" s="50"/>
      <c r="S24" s="459"/>
      <c r="W24" s="264"/>
      <c r="X24" s="265"/>
      <c r="Y24" s="264"/>
      <c r="Z24" s="265"/>
      <c r="AA24" s="154"/>
      <c r="AB24" s="154"/>
      <c r="AC24" s="154"/>
      <c r="AD24" s="154"/>
      <c r="AE24" s="154"/>
      <c r="AF24" s="154"/>
      <c r="AG24" s="154"/>
      <c r="AH24" s="154"/>
    </row>
    <row r="25" spans="1:34" ht="15" customHeight="1" x14ac:dyDescent="0.15">
      <c r="A25" s="188">
        <v>9</v>
      </c>
      <c r="B25" s="534"/>
      <c r="C25" s="535"/>
      <c r="D25" s="536"/>
      <c r="E25" s="47" t="str">
        <f>VLOOKUP($G:$G,型材表!$B$5:$I$448,2,0)</f>
        <v>挡水板</v>
      </c>
      <c r="F25" s="213"/>
      <c r="G25" s="207" t="str">
        <f>IF(F2=70,"ST70F002",IF(F2=80,"ST80F002",0))</f>
        <v>ST80F002</v>
      </c>
      <c r="H25" s="207" t="s">
        <v>1091</v>
      </c>
      <c r="I25" s="214">
        <f>IF(F2=105,0,I18)</f>
        <v>1200</v>
      </c>
      <c r="J25" s="207">
        <v>1</v>
      </c>
      <c r="K25" s="47">
        <f>VLOOKUP($G:$G,型材表!$B$5:$I$448,4,0)</f>
        <v>0.30199999999999999</v>
      </c>
      <c r="L25" s="46">
        <f t="shared" ref="L25" si="4">I25*J25*K25/1000</f>
        <v>0.3624</v>
      </c>
      <c r="M25" s="72">
        <f>VLOOKUP($G:$G,型材表!$B$5:$I$448,7,0)</f>
        <v>0</v>
      </c>
      <c r="N25" s="46">
        <f t="shared" ref="N25" si="5">M25*L25</f>
        <v>0</v>
      </c>
      <c r="O25" s="100">
        <f>VLOOKUP($G:$G,型材表!$B$5:$I$448,5,0)</f>
        <v>0.125</v>
      </c>
      <c r="P25" s="100" t="str">
        <f>VLOOKUP($G:$G,型材表!$B$5:$I$448,6,0)</f>
        <v>非断桥隔热铝型材</v>
      </c>
      <c r="Q25" s="210"/>
      <c r="R25" s="50"/>
      <c r="S25" s="459"/>
      <c r="W25" s="264"/>
      <c r="X25" s="265"/>
      <c r="Y25" s="264"/>
      <c r="Z25" s="265"/>
      <c r="AA25" s="154"/>
      <c r="AB25" s="154"/>
      <c r="AC25" s="154"/>
      <c r="AD25" s="154"/>
      <c r="AE25" s="154"/>
      <c r="AF25" s="154"/>
      <c r="AG25" s="154"/>
      <c r="AH25" s="154"/>
    </row>
    <row r="26" spans="1:34" ht="15" customHeight="1" x14ac:dyDescent="0.15">
      <c r="A26" s="188">
        <v>10</v>
      </c>
      <c r="B26" s="534"/>
      <c r="C26" s="535"/>
      <c r="D26" s="536"/>
      <c r="E26" s="47" t="str">
        <f>VLOOKUP($G:$G,型材表!$B$5:$I$448,2,0)</f>
        <v>角码</v>
      </c>
      <c r="F26" s="51" t="s">
        <v>446</v>
      </c>
      <c r="G26" s="45" t="str">
        <f>IF(F2=70,"SW50F002",IF(F2=80,"ST80F003",0))</f>
        <v>ST80F003</v>
      </c>
      <c r="H26" s="207" t="s">
        <v>1006</v>
      </c>
      <c r="I26" s="52">
        <f>IF(F2=70,U26,IF(F2=80,W26,0))</f>
        <v>41.6</v>
      </c>
      <c r="J26" s="45">
        <v>4</v>
      </c>
      <c r="K26" s="47">
        <f>VLOOKUP($G:$G,型材表!$B$5:$I$448,4,0)</f>
        <v>1.5680000000000001</v>
      </c>
      <c r="L26" s="46">
        <f t="shared" si="2"/>
        <v>0.26091520000000001</v>
      </c>
      <c r="M26" s="72">
        <f>VLOOKUP($G:$G,型材表!$B$5:$I$448,7,0)</f>
        <v>0</v>
      </c>
      <c r="N26" s="46">
        <f t="shared" si="3"/>
        <v>0</v>
      </c>
      <c r="O26" s="100">
        <f>VLOOKUP($G:$G,型材表!$B$5:$I$448,5,0)</f>
        <v>0.125</v>
      </c>
      <c r="P26" s="100" t="str">
        <f>VLOOKUP($G:$G,型材表!$B$5:$I$448,6,0)</f>
        <v>阳极氧化铝型材</v>
      </c>
      <c r="Q26" s="49"/>
      <c r="R26" s="50"/>
      <c r="S26" s="459"/>
      <c r="T26" s="374" t="s">
        <v>1110</v>
      </c>
      <c r="U26" s="259">
        <f>33.8-1+21.8-1</f>
        <v>53.599999999999994</v>
      </c>
      <c r="W26" s="264">
        <f>26.1-1+17.5-1</f>
        <v>41.6</v>
      </c>
      <c r="X26" s="265"/>
      <c r="Y26" s="264"/>
      <c r="Z26" s="265"/>
      <c r="AA26" s="154"/>
      <c r="AB26" s="154"/>
      <c r="AC26" s="154"/>
      <c r="AD26" s="154"/>
      <c r="AE26" s="154"/>
      <c r="AF26" s="154"/>
      <c r="AG26" s="154"/>
      <c r="AH26" s="154"/>
    </row>
    <row r="27" spans="1:34" ht="15" customHeight="1" x14ac:dyDescent="0.15">
      <c r="A27" s="188">
        <v>11</v>
      </c>
      <c r="B27" s="534"/>
      <c r="C27" s="535"/>
      <c r="D27" s="536"/>
      <c r="E27" s="47" t="str">
        <f>VLOOKUP($G:$G,型材表!$B$5:$I$448,2,0)</f>
        <v>角码</v>
      </c>
      <c r="F27" s="51" t="s">
        <v>447</v>
      </c>
      <c r="G27" s="45" t="str">
        <f>IF(F2=80,"ST80F003",0)</f>
        <v>ST80F003</v>
      </c>
      <c r="H27" s="207" t="s">
        <v>995</v>
      </c>
      <c r="I27" s="52">
        <f>IF(F2=80,W27,0)</f>
        <v>14.2</v>
      </c>
      <c r="J27" s="45">
        <v>8</v>
      </c>
      <c r="K27" s="47">
        <f>VLOOKUP($G:$G,型材表!$B$5:$I$448,4,0)</f>
        <v>1.5680000000000001</v>
      </c>
      <c r="L27" s="46">
        <f t="shared" ref="L27" si="6">I27*J27*K27/1000</f>
        <v>0.1781248</v>
      </c>
      <c r="M27" s="72">
        <f>VLOOKUP($G:$G,型材表!$B$5:$I$448,7,0)</f>
        <v>0</v>
      </c>
      <c r="N27" s="46">
        <f t="shared" ref="N27" si="7">M27*L27</f>
        <v>0</v>
      </c>
      <c r="O27" s="100">
        <f>VLOOKUP($G:$G,型材表!$B$5:$I$448,5,0)</f>
        <v>0.125</v>
      </c>
      <c r="P27" s="100" t="str">
        <f>VLOOKUP($G:$G,型材表!$B$5:$I$448,6,0)</f>
        <v>阳极氧化铝型材</v>
      </c>
      <c r="Q27" s="49"/>
      <c r="R27" s="50"/>
      <c r="S27" s="459"/>
      <c r="T27" s="374" t="s">
        <v>1119</v>
      </c>
      <c r="W27" s="264">
        <f>8.1-1+8.1-1</f>
        <v>14.2</v>
      </c>
      <c r="X27" s="265"/>
      <c r="Y27" s="264"/>
      <c r="Z27" s="265"/>
      <c r="AA27" s="154"/>
      <c r="AB27" s="154"/>
      <c r="AC27" s="154"/>
      <c r="AD27" s="154"/>
      <c r="AE27" s="154"/>
      <c r="AF27" s="154"/>
      <c r="AG27" s="154"/>
      <c r="AH27" s="154"/>
    </row>
    <row r="28" spans="1:34" ht="15" customHeight="1" x14ac:dyDescent="0.15">
      <c r="A28" s="188">
        <v>12</v>
      </c>
      <c r="B28" s="534"/>
      <c r="C28" s="535"/>
      <c r="D28" s="536"/>
      <c r="E28" s="47"/>
      <c r="F28" s="53"/>
      <c r="G28" s="45"/>
      <c r="H28" s="55"/>
      <c r="I28" s="158"/>
      <c r="J28" s="55"/>
      <c r="K28" s="47"/>
      <c r="L28" s="46"/>
      <c r="M28" s="72"/>
      <c r="N28" s="46"/>
      <c r="O28" s="100"/>
      <c r="P28" s="100"/>
      <c r="Q28" s="49"/>
      <c r="R28" s="50"/>
      <c r="S28" s="459"/>
      <c r="W28" s="264"/>
      <c r="X28" s="265"/>
      <c r="Y28" s="264"/>
      <c r="Z28" s="265"/>
      <c r="AA28" s="154"/>
      <c r="AB28" s="154"/>
      <c r="AC28" s="154"/>
      <c r="AD28" s="154"/>
      <c r="AE28" s="154"/>
      <c r="AF28" s="154"/>
      <c r="AG28" s="154"/>
      <c r="AH28" s="154"/>
    </row>
    <row r="29" spans="1:34" ht="15" customHeight="1" x14ac:dyDescent="0.15">
      <c r="A29" s="188">
        <v>13</v>
      </c>
      <c r="B29" s="537"/>
      <c r="C29" s="538"/>
      <c r="D29" s="539"/>
      <c r="E29" s="47"/>
      <c r="F29" s="53"/>
      <c r="G29" s="45"/>
      <c r="H29" s="55"/>
      <c r="I29" s="54"/>
      <c r="J29" s="55"/>
      <c r="K29" s="47"/>
      <c r="L29" s="46"/>
      <c r="M29" s="72"/>
      <c r="N29" s="46"/>
      <c r="O29" s="100"/>
      <c r="P29" s="100"/>
      <c r="Q29" s="49"/>
      <c r="R29" s="50"/>
      <c r="S29" s="459"/>
      <c r="W29" s="264"/>
      <c r="X29" s="265"/>
      <c r="Y29" s="264"/>
      <c r="Z29" s="265"/>
      <c r="AA29" s="154"/>
      <c r="AB29" s="154"/>
      <c r="AC29" s="154"/>
      <c r="AD29" s="154"/>
      <c r="AE29" s="154"/>
      <c r="AF29" s="154"/>
      <c r="AG29" s="154"/>
      <c r="AH29" s="154"/>
    </row>
    <row r="30" spans="1:34" ht="15" customHeight="1" x14ac:dyDescent="0.15">
      <c r="A30" s="395">
        <v>14</v>
      </c>
      <c r="B30" s="387"/>
      <c r="C30" s="388"/>
      <c r="D30" s="389"/>
      <c r="E30" s="306"/>
      <c r="F30" s="53"/>
      <c r="G30" s="207"/>
      <c r="H30" s="55"/>
      <c r="I30" s="54"/>
      <c r="J30" s="55"/>
      <c r="K30" s="306"/>
      <c r="L30" s="208"/>
      <c r="M30" s="432"/>
      <c r="N30" s="208"/>
      <c r="O30" s="433"/>
      <c r="P30" s="360"/>
      <c r="Q30" s="60"/>
      <c r="R30" s="50"/>
      <c r="S30" s="459"/>
      <c r="W30" s="264"/>
      <c r="X30" s="265"/>
      <c r="Y30" s="264"/>
      <c r="Z30" s="265"/>
      <c r="AA30" s="154"/>
      <c r="AB30" s="154"/>
      <c r="AC30" s="154"/>
      <c r="AD30" s="154"/>
      <c r="AE30" s="154"/>
      <c r="AF30" s="154"/>
      <c r="AG30" s="154"/>
      <c r="AH30" s="154"/>
    </row>
    <row r="31" spans="1:34" ht="15" customHeight="1" x14ac:dyDescent="0.15">
      <c r="A31" s="445">
        <v>15</v>
      </c>
      <c r="B31" s="442"/>
      <c r="C31" s="443"/>
      <c r="D31" s="444"/>
      <c r="E31" s="306"/>
      <c r="F31" s="53"/>
      <c r="G31" s="207"/>
      <c r="H31" s="55"/>
      <c r="I31" s="54"/>
      <c r="J31" s="55"/>
      <c r="K31" s="306"/>
      <c r="L31" s="208"/>
      <c r="M31" s="432"/>
      <c r="N31" s="208"/>
      <c r="O31" s="433"/>
      <c r="P31" s="360"/>
      <c r="Q31" s="60"/>
      <c r="R31" s="50"/>
      <c r="S31" s="459"/>
      <c r="W31" s="264"/>
      <c r="X31" s="265"/>
      <c r="Y31" s="264"/>
      <c r="Z31" s="265"/>
      <c r="AA31" s="154"/>
      <c r="AB31" s="154"/>
      <c r="AC31" s="154"/>
      <c r="AD31" s="154"/>
      <c r="AE31" s="154"/>
      <c r="AF31" s="154"/>
      <c r="AG31" s="154"/>
      <c r="AH31" s="154"/>
    </row>
    <row r="32" spans="1:34" ht="15" customHeight="1" x14ac:dyDescent="0.15">
      <c r="A32" s="445">
        <v>16</v>
      </c>
      <c r="B32" s="387"/>
      <c r="C32" s="388"/>
      <c r="D32" s="389"/>
      <c r="E32" s="306"/>
      <c r="F32" s="53"/>
      <c r="G32" s="207"/>
      <c r="H32" s="55"/>
      <c r="I32" s="54"/>
      <c r="J32" s="55"/>
      <c r="K32" s="306"/>
      <c r="L32" s="208"/>
      <c r="M32" s="432"/>
      <c r="N32" s="208"/>
      <c r="O32" s="433"/>
      <c r="P32" s="360"/>
      <c r="Q32" s="60"/>
      <c r="R32" s="50"/>
      <c r="S32" s="459"/>
      <c r="W32" s="264"/>
      <c r="X32" s="265"/>
      <c r="Y32" s="264"/>
      <c r="Z32" s="265"/>
      <c r="AA32" s="154"/>
      <c r="AB32" s="154"/>
      <c r="AC32" s="154"/>
      <c r="AD32" s="154"/>
      <c r="AE32" s="154"/>
      <c r="AF32" s="154"/>
      <c r="AG32" s="154"/>
      <c r="AH32" s="154"/>
    </row>
    <row r="33" spans="1:34" ht="15" customHeight="1" x14ac:dyDescent="0.15">
      <c r="A33" s="445">
        <v>17</v>
      </c>
      <c r="B33" s="387"/>
      <c r="C33" s="388"/>
      <c r="D33" s="389"/>
      <c r="E33" s="306"/>
      <c r="F33" s="53"/>
      <c r="G33" s="207"/>
      <c r="H33" s="55"/>
      <c r="I33" s="54"/>
      <c r="J33" s="55"/>
      <c r="K33" s="306"/>
      <c r="L33" s="208"/>
      <c r="M33" s="432"/>
      <c r="N33" s="208"/>
      <c r="O33" s="433"/>
      <c r="P33" s="360"/>
      <c r="Q33" s="60"/>
      <c r="R33" s="50"/>
      <c r="S33" s="459"/>
      <c r="W33" s="264"/>
      <c r="X33" s="265"/>
      <c r="Y33" s="264"/>
      <c r="Z33" s="265"/>
      <c r="AA33" s="154"/>
      <c r="AB33" s="154"/>
      <c r="AC33" s="154"/>
      <c r="AD33" s="154"/>
      <c r="AE33" s="154"/>
      <c r="AF33" s="154"/>
      <c r="AG33" s="154"/>
      <c r="AH33" s="154"/>
    </row>
    <row r="34" spans="1:34" ht="15" customHeight="1" x14ac:dyDescent="0.15">
      <c r="A34" s="445">
        <v>18</v>
      </c>
      <c r="B34" s="387"/>
      <c r="C34" s="388"/>
      <c r="D34" s="389"/>
      <c r="E34" s="306"/>
      <c r="F34" s="53"/>
      <c r="G34" s="207"/>
      <c r="H34" s="55"/>
      <c r="I34" s="54"/>
      <c r="J34" s="55"/>
      <c r="K34" s="306"/>
      <c r="L34" s="208"/>
      <c r="M34" s="432"/>
      <c r="N34" s="208"/>
      <c r="O34" s="433"/>
      <c r="P34" s="360"/>
      <c r="Q34" s="60"/>
      <c r="R34" s="50"/>
      <c r="S34" s="459"/>
      <c r="W34" s="264"/>
      <c r="X34" s="265"/>
      <c r="Y34" s="264"/>
      <c r="Z34" s="265"/>
      <c r="AA34" s="154"/>
      <c r="AB34" s="154"/>
      <c r="AC34" s="154"/>
      <c r="AD34" s="154"/>
      <c r="AE34" s="154"/>
      <c r="AF34" s="154"/>
      <c r="AG34" s="154"/>
      <c r="AH34" s="154"/>
    </row>
    <row r="35" spans="1:34" x14ac:dyDescent="0.15">
      <c r="A35" s="563" t="s">
        <v>877</v>
      </c>
      <c r="B35" s="563"/>
      <c r="C35" s="564"/>
      <c r="D35" s="564"/>
      <c r="E35" s="563"/>
      <c r="F35" s="563"/>
      <c r="G35" s="563"/>
      <c r="H35" s="564"/>
      <c r="I35" s="563"/>
      <c r="J35" s="563"/>
      <c r="K35" s="563"/>
      <c r="L35" s="46">
        <f>SUMIF($P$17:$P$29,A35,$L$17:$L$29)</f>
        <v>17.142348799999997</v>
      </c>
      <c r="M35" s="58"/>
      <c r="N35" s="46"/>
      <c r="O35" s="59"/>
      <c r="P35" s="336"/>
      <c r="Q35" s="60"/>
      <c r="R35" s="50"/>
      <c r="S35" s="459"/>
      <c r="W35" s="264"/>
      <c r="X35" s="265"/>
      <c r="Y35" s="264"/>
      <c r="Z35" s="265"/>
      <c r="AA35" s="154"/>
      <c r="AB35" s="154"/>
      <c r="AC35" s="154"/>
      <c r="AD35" s="154"/>
      <c r="AE35" s="154"/>
      <c r="AF35" s="154"/>
      <c r="AG35" s="154"/>
      <c r="AH35" s="154"/>
    </row>
    <row r="36" spans="1:34" x14ac:dyDescent="0.15">
      <c r="A36" s="563" t="s">
        <v>879</v>
      </c>
      <c r="B36" s="563"/>
      <c r="C36" s="564"/>
      <c r="D36" s="564"/>
      <c r="E36" s="563"/>
      <c r="F36" s="563"/>
      <c r="G36" s="563"/>
      <c r="H36" s="564"/>
      <c r="I36" s="563"/>
      <c r="J36" s="563"/>
      <c r="K36" s="563"/>
      <c r="L36" s="46">
        <f t="shared" ref="L36:L37" si="8">SUMIF($P$17:$P$29,A36,$L$17:$L$29)</f>
        <v>1.1892800000000001</v>
      </c>
      <c r="M36" s="58"/>
      <c r="N36" s="46"/>
      <c r="O36" s="59"/>
      <c r="P36" s="336"/>
      <c r="Q36" s="60"/>
      <c r="R36" s="50"/>
      <c r="S36" s="459"/>
      <c r="W36" s="264"/>
      <c r="X36" s="265"/>
      <c r="Y36" s="264"/>
      <c r="Z36" s="265"/>
      <c r="AA36" s="154"/>
      <c r="AB36" s="154"/>
      <c r="AC36" s="154"/>
      <c r="AD36" s="154"/>
      <c r="AE36" s="154"/>
      <c r="AF36" s="154"/>
      <c r="AG36" s="154"/>
      <c r="AH36" s="154"/>
    </row>
    <row r="37" spans="1:34" x14ac:dyDescent="0.15">
      <c r="A37" s="563" t="s">
        <v>880</v>
      </c>
      <c r="B37" s="563"/>
      <c r="C37" s="564"/>
      <c r="D37" s="564"/>
      <c r="E37" s="563"/>
      <c r="F37" s="563"/>
      <c r="G37" s="563"/>
      <c r="H37" s="564"/>
      <c r="I37" s="563"/>
      <c r="J37" s="563"/>
      <c r="K37" s="563"/>
      <c r="L37" s="46">
        <f t="shared" si="8"/>
        <v>0.43903999999999999</v>
      </c>
      <c r="M37" s="58"/>
      <c r="N37" s="46"/>
      <c r="O37" s="59"/>
      <c r="P37" s="336"/>
      <c r="Q37" s="60"/>
      <c r="R37" s="50"/>
      <c r="S37" s="459"/>
      <c r="W37" s="264"/>
      <c r="X37" s="265"/>
      <c r="Y37" s="264"/>
      <c r="Z37" s="265"/>
      <c r="AA37" s="154"/>
      <c r="AB37" s="154"/>
      <c r="AC37" s="154"/>
      <c r="AD37" s="154"/>
      <c r="AE37" s="154"/>
      <c r="AF37" s="154"/>
      <c r="AG37" s="154"/>
      <c r="AH37" s="154"/>
    </row>
    <row r="38" spans="1:34" x14ac:dyDescent="0.15">
      <c r="A38" s="61"/>
      <c r="B38" s="552"/>
      <c r="C38" s="557"/>
      <c r="D38" s="553"/>
      <c r="E38" s="552" t="s">
        <v>48</v>
      </c>
      <c r="F38" s="557"/>
      <c r="G38" s="557"/>
      <c r="H38" s="557"/>
      <c r="I38" s="557"/>
      <c r="J38" s="557"/>
      <c r="K38" s="553"/>
      <c r="L38" s="62">
        <f>SUM(L35:L37)</f>
        <v>18.770668799999996</v>
      </c>
      <c r="M38" s="63"/>
      <c r="N38" s="62">
        <f>SUM(N17:N29)</f>
        <v>0</v>
      </c>
      <c r="O38" s="63"/>
      <c r="P38" s="337"/>
      <c r="Q38" s="64"/>
      <c r="R38" s="64"/>
      <c r="S38" s="460"/>
      <c r="W38" s="264"/>
      <c r="X38" s="265"/>
      <c r="Y38" s="264"/>
      <c r="Z38" s="265"/>
      <c r="AA38" s="154"/>
      <c r="AB38" s="154"/>
      <c r="AC38" s="154"/>
      <c r="AD38" s="154"/>
      <c r="AE38" s="154"/>
      <c r="AF38" s="154"/>
      <c r="AG38" s="154"/>
      <c r="AH38" s="154"/>
    </row>
    <row r="39" spans="1:34" ht="24" x14ac:dyDescent="0.15">
      <c r="A39" s="65"/>
      <c r="B39" s="560" t="s">
        <v>49</v>
      </c>
      <c r="C39" s="561"/>
      <c r="D39" s="562"/>
      <c r="E39" s="565" t="s">
        <v>26</v>
      </c>
      <c r="F39" s="566"/>
      <c r="G39" s="66" t="s">
        <v>1093</v>
      </c>
      <c r="H39" s="351" t="s">
        <v>1094</v>
      </c>
      <c r="I39" s="66" t="s">
        <v>50</v>
      </c>
      <c r="J39" s="66" t="s">
        <v>51</v>
      </c>
      <c r="K39" s="67" t="s">
        <v>30</v>
      </c>
      <c r="L39" s="66" t="s">
        <v>52</v>
      </c>
      <c r="M39" s="68" t="s">
        <v>53</v>
      </c>
      <c r="N39" s="68" t="s">
        <v>34</v>
      </c>
      <c r="O39" s="69" t="s">
        <v>35</v>
      </c>
      <c r="P39" s="42"/>
      <c r="Q39" s="67"/>
      <c r="R39" s="67"/>
      <c r="S39" s="461"/>
      <c r="U39" s="270" t="s">
        <v>352</v>
      </c>
      <c r="V39" s="270" t="s">
        <v>353</v>
      </c>
      <c r="W39" s="271" t="s">
        <v>352</v>
      </c>
      <c r="X39" s="272" t="s">
        <v>353</v>
      </c>
      <c r="Y39" s="271" t="s">
        <v>352</v>
      </c>
      <c r="Z39" s="272" t="s">
        <v>353</v>
      </c>
      <c r="AA39" s="155"/>
      <c r="AB39" s="155"/>
      <c r="AC39" s="155"/>
      <c r="AD39" s="155"/>
      <c r="AE39" s="155"/>
      <c r="AF39" s="155"/>
      <c r="AG39" s="155"/>
      <c r="AH39" s="155"/>
    </row>
    <row r="40" spans="1:34" ht="24" customHeight="1" x14ac:dyDescent="0.15">
      <c r="A40" s="188">
        <v>1</v>
      </c>
      <c r="B40" s="545" t="s">
        <v>54</v>
      </c>
      <c r="C40" s="546"/>
      <c r="D40" s="547"/>
      <c r="E40" s="545" t="s">
        <v>55</v>
      </c>
      <c r="F40" s="547"/>
      <c r="G40" s="45" t="s">
        <v>1095</v>
      </c>
      <c r="H40" s="207" t="s">
        <v>1096</v>
      </c>
      <c r="I40" s="46">
        <f>IF(F2=70,L9-U40,IF(F2=80,L9-W40,IF(F2=105,L9-Y40)))</f>
        <v>474.55</v>
      </c>
      <c r="J40" s="70">
        <f>IF(F2=70,L6-V40,IF(F2=80,L6-X40,IF(F2=105,L6-Z40)))</f>
        <v>1097.8</v>
      </c>
      <c r="K40" s="70">
        <v>2</v>
      </c>
      <c r="L40" s="46">
        <f>I40*J40*K40/1000000</f>
        <v>1.0419219799999999</v>
      </c>
      <c r="M40" s="46"/>
      <c r="N40" s="46">
        <f>M40*L40</f>
        <v>0</v>
      </c>
      <c r="O40" s="71"/>
      <c r="P40" s="71"/>
      <c r="Q40" s="72"/>
      <c r="R40" s="72"/>
      <c r="S40" s="462" t="s">
        <v>1610</v>
      </c>
      <c r="T40" s="374" t="s">
        <v>1611</v>
      </c>
      <c r="U40" s="371">
        <f>99.58+48.15/2</f>
        <v>123.655</v>
      </c>
      <c r="V40" s="259">
        <f>99.58*2</f>
        <v>199.16</v>
      </c>
      <c r="W40" s="264">
        <f>101.1+48.7/2</f>
        <v>125.44999999999999</v>
      </c>
      <c r="X40" s="265">
        <f>101.1*2</f>
        <v>202.2</v>
      </c>
      <c r="Y40" s="264">
        <f>82.2+50.9/2</f>
        <v>107.65</v>
      </c>
      <c r="Z40" s="265">
        <f>83.17+97.5</f>
        <v>180.67000000000002</v>
      </c>
      <c r="AA40" s="154"/>
      <c r="AB40" s="154"/>
      <c r="AC40" s="154"/>
      <c r="AD40" s="154"/>
      <c r="AE40" s="154"/>
      <c r="AF40" s="154"/>
      <c r="AG40" s="154"/>
      <c r="AH40" s="154"/>
    </row>
    <row r="41" spans="1:34" x14ac:dyDescent="0.15">
      <c r="A41" s="188"/>
      <c r="B41" s="545"/>
      <c r="C41" s="546"/>
      <c r="D41" s="547"/>
      <c r="E41" s="545"/>
      <c r="F41" s="547"/>
      <c r="G41" s="45"/>
      <c r="H41" s="207"/>
      <c r="I41" s="45"/>
      <c r="J41" s="45"/>
      <c r="K41" s="70"/>
      <c r="L41" s="46"/>
      <c r="M41" s="46"/>
      <c r="N41" s="46"/>
      <c r="O41" s="71"/>
      <c r="P41" s="71"/>
      <c r="Q41" s="72"/>
      <c r="R41" s="72"/>
      <c r="S41" s="462"/>
      <c r="W41" s="264"/>
      <c r="X41" s="265"/>
      <c r="Y41" s="264"/>
      <c r="Z41" s="265"/>
      <c r="AA41" s="154"/>
      <c r="AB41" s="154"/>
      <c r="AC41" s="154"/>
      <c r="AD41" s="154"/>
      <c r="AE41" s="156"/>
      <c r="AF41" s="156"/>
      <c r="AG41" s="156"/>
    </row>
    <row r="42" spans="1:34" x14ac:dyDescent="0.15">
      <c r="A42" s="188"/>
      <c r="B42" s="545"/>
      <c r="C42" s="546"/>
      <c r="D42" s="547"/>
      <c r="E42" s="545"/>
      <c r="F42" s="547"/>
      <c r="G42" s="45"/>
      <c r="H42" s="207"/>
      <c r="I42" s="46"/>
      <c r="J42" s="188"/>
      <c r="K42" s="70"/>
      <c r="L42" s="46"/>
      <c r="M42" s="46"/>
      <c r="N42" s="46"/>
      <c r="O42" s="48"/>
      <c r="P42" s="48"/>
      <c r="Q42" s="73"/>
      <c r="R42" s="73"/>
      <c r="S42" s="463"/>
      <c r="W42" s="264"/>
      <c r="X42" s="265"/>
      <c r="AA42" s="156"/>
      <c r="AB42" s="156"/>
      <c r="AC42" s="156"/>
      <c r="AD42" s="156"/>
      <c r="AE42" s="156"/>
      <c r="AF42" s="156"/>
      <c r="AG42" s="156"/>
    </row>
    <row r="43" spans="1:34" x14ac:dyDescent="0.15">
      <c r="A43" s="74"/>
      <c r="B43" s="552"/>
      <c r="C43" s="557"/>
      <c r="D43" s="553"/>
      <c r="E43" s="554" t="s">
        <v>56</v>
      </c>
      <c r="F43" s="554"/>
      <c r="G43" s="554"/>
      <c r="H43" s="579"/>
      <c r="I43" s="570"/>
      <c r="J43" s="570"/>
      <c r="K43" s="554"/>
      <c r="L43" s="62">
        <f>SUM(L40:L42)</f>
        <v>1.0419219799999999</v>
      </c>
      <c r="M43" s="186"/>
      <c r="N43" s="62">
        <f>SUM(N40:N42)</f>
        <v>0</v>
      </c>
      <c r="O43" s="63" t="s">
        <v>57</v>
      </c>
      <c r="P43" s="337"/>
      <c r="Q43" s="64"/>
      <c r="R43" s="64"/>
      <c r="S43" s="460"/>
    </row>
    <row r="44" spans="1:34" ht="24" x14ac:dyDescent="0.15">
      <c r="A44" s="65"/>
      <c r="B44" s="560" t="s">
        <v>58</v>
      </c>
      <c r="C44" s="561"/>
      <c r="D44" s="562"/>
      <c r="E44" s="565" t="s">
        <v>26</v>
      </c>
      <c r="F44" s="566"/>
      <c r="G44" s="66" t="s">
        <v>59</v>
      </c>
      <c r="H44" s="351"/>
      <c r="I44" s="66" t="s">
        <v>60</v>
      </c>
      <c r="J44" s="66" t="s">
        <v>6</v>
      </c>
      <c r="K44" s="67" t="s">
        <v>61</v>
      </c>
      <c r="L44" s="66" t="s">
        <v>30</v>
      </c>
      <c r="M44" s="68" t="s">
        <v>62</v>
      </c>
      <c r="N44" s="68" t="s">
        <v>34</v>
      </c>
      <c r="O44" s="69" t="s">
        <v>57</v>
      </c>
      <c r="P44" s="42"/>
      <c r="Q44" s="67"/>
      <c r="R44" s="67"/>
      <c r="S44" s="461"/>
    </row>
    <row r="45" spans="1:34" ht="25.5" customHeight="1" x14ac:dyDescent="0.15">
      <c r="A45" s="188">
        <v>1</v>
      </c>
      <c r="B45" s="545"/>
      <c r="C45" s="546"/>
      <c r="D45" s="547"/>
      <c r="E45" s="545" t="s">
        <v>814</v>
      </c>
      <c r="F45" s="547"/>
      <c r="G45" s="45"/>
      <c r="H45" s="207"/>
      <c r="I45" s="45"/>
      <c r="J45" s="46" t="str">
        <f>VLOOKUP($E:$E,材料单价表!$B$3:$G$42,4,0)</f>
        <v>套</v>
      </c>
      <c r="K45" s="72"/>
      <c r="L45" s="46">
        <v>1</v>
      </c>
      <c r="M45" s="46">
        <f>VLOOKUP($E:$E,材料单价表!$B$3:$G$42,5,0)</f>
        <v>0</v>
      </c>
      <c r="N45" s="46">
        <f t="shared" ref="N45" si="9">M45*L45</f>
        <v>0</v>
      </c>
      <c r="O45" s="48"/>
      <c r="P45" s="48"/>
      <c r="Q45" s="73"/>
      <c r="R45" s="73"/>
      <c r="S45" s="463"/>
    </row>
    <row r="46" spans="1:34" x14ac:dyDescent="0.15">
      <c r="A46" s="74"/>
      <c r="B46" s="552"/>
      <c r="C46" s="557"/>
      <c r="D46" s="553"/>
      <c r="E46" s="554" t="s">
        <v>64</v>
      </c>
      <c r="F46" s="554"/>
      <c r="G46" s="554"/>
      <c r="H46" s="579"/>
      <c r="I46" s="570"/>
      <c r="J46" s="570"/>
      <c r="K46" s="554"/>
      <c r="L46" s="62">
        <f>L45</f>
        <v>1</v>
      </c>
      <c r="M46" s="186"/>
      <c r="N46" s="62">
        <f>SUM(N45:N45)</f>
        <v>0</v>
      </c>
      <c r="O46" s="63" t="s">
        <v>57</v>
      </c>
      <c r="P46" s="337"/>
      <c r="Q46" s="64"/>
      <c r="R46" s="64"/>
      <c r="S46" s="460"/>
    </row>
    <row r="47" spans="1:34" ht="24" x14ac:dyDescent="0.15">
      <c r="A47" s="65"/>
      <c r="B47" s="560" t="s">
        <v>65</v>
      </c>
      <c r="C47" s="561"/>
      <c r="D47" s="562"/>
      <c r="E47" s="565" t="s">
        <v>26</v>
      </c>
      <c r="F47" s="566"/>
      <c r="G47" s="66" t="s">
        <v>59</v>
      </c>
      <c r="H47" s="351"/>
      <c r="I47" s="66" t="s">
        <v>60</v>
      </c>
      <c r="J47" s="66" t="s">
        <v>6</v>
      </c>
      <c r="K47" s="67" t="s">
        <v>61</v>
      </c>
      <c r="L47" s="66" t="s">
        <v>30</v>
      </c>
      <c r="M47" s="68" t="s">
        <v>62</v>
      </c>
      <c r="N47" s="68" t="s">
        <v>34</v>
      </c>
      <c r="O47" s="69" t="s">
        <v>57</v>
      </c>
      <c r="P47" s="42"/>
      <c r="Q47" s="67"/>
      <c r="R47" s="67"/>
      <c r="S47" s="461"/>
    </row>
    <row r="48" spans="1:34" ht="13.5" customHeight="1" x14ac:dyDescent="0.15">
      <c r="A48" s="76">
        <v>1</v>
      </c>
      <c r="B48" s="545"/>
      <c r="C48" s="546"/>
      <c r="D48" s="547"/>
      <c r="E48" s="558" t="s">
        <v>66</v>
      </c>
      <c r="F48" s="559"/>
      <c r="G48" s="78"/>
      <c r="H48" s="352"/>
      <c r="I48" s="77"/>
      <c r="J48" s="46" t="str">
        <f>VLOOKUP($E:$E,材料单价表!$B$3:$G$42,4,0)</f>
        <v>m</v>
      </c>
      <c r="K48" s="46"/>
      <c r="L48" s="80">
        <f>L15</f>
        <v>5.4</v>
      </c>
      <c r="M48" s="46">
        <f>VLOOKUP($E:$E,材料单价表!$B$3:$G$42,5,0)</f>
        <v>0</v>
      </c>
      <c r="N48" s="46">
        <f>M48*L48</f>
        <v>0</v>
      </c>
      <c r="O48" s="48"/>
      <c r="P48" s="59"/>
      <c r="Q48" s="81"/>
      <c r="R48" s="79"/>
      <c r="S48" s="464"/>
    </row>
    <row r="49" spans="1:22" ht="15.75" customHeight="1" x14ac:dyDescent="0.15">
      <c r="A49" s="76">
        <v>2</v>
      </c>
      <c r="B49" s="545"/>
      <c r="C49" s="546"/>
      <c r="D49" s="547"/>
      <c r="E49" s="558" t="s">
        <v>68</v>
      </c>
      <c r="F49" s="559"/>
      <c r="G49" s="78" t="s">
        <v>67</v>
      </c>
      <c r="H49" s="352"/>
      <c r="I49" s="77"/>
      <c r="J49" s="46" t="str">
        <f>VLOOKUP($E:$E,材料单价表!$B$3:$G$42,4,0)</f>
        <v>m</v>
      </c>
      <c r="K49" s="46"/>
      <c r="L49" s="80">
        <f>(I20*J20+I21*J21+I22*J22)/1000*2</f>
        <v>14.4732</v>
      </c>
      <c r="M49" s="46">
        <f>VLOOKUP($E:$E,材料单价表!$B$3:$G$42,5,0)</f>
        <v>0</v>
      </c>
      <c r="N49" s="46">
        <f t="shared" ref="N49:N54" si="10">M49*L49</f>
        <v>0</v>
      </c>
      <c r="O49" s="48"/>
      <c r="P49" s="59"/>
      <c r="Q49" s="81"/>
      <c r="R49" s="79"/>
      <c r="S49" s="464"/>
      <c r="U49" s="104"/>
      <c r="V49" s="104"/>
    </row>
    <row r="50" spans="1:22" ht="13.5" customHeight="1" x14ac:dyDescent="0.15">
      <c r="A50" s="76">
        <v>3</v>
      </c>
      <c r="B50" s="545"/>
      <c r="C50" s="546"/>
      <c r="D50" s="547"/>
      <c r="E50" s="558" t="s">
        <v>68</v>
      </c>
      <c r="F50" s="559"/>
      <c r="G50" s="78" t="s">
        <v>69</v>
      </c>
      <c r="H50" s="352"/>
      <c r="I50" s="77"/>
      <c r="J50" s="46" t="str">
        <f>VLOOKUP($E:$E,材料单价表!$B$3:$G$42,4,0)</f>
        <v>m</v>
      </c>
      <c r="K50" s="46"/>
      <c r="L50" s="80">
        <f>L15</f>
        <v>5.4</v>
      </c>
      <c r="M50" s="46">
        <f>VLOOKUP($E:$E,材料单价表!$B$3:$G$42,5,0)</f>
        <v>0</v>
      </c>
      <c r="N50" s="46">
        <f t="shared" si="10"/>
        <v>0</v>
      </c>
      <c r="O50" s="48"/>
      <c r="P50" s="59"/>
      <c r="Q50" s="81"/>
      <c r="R50" s="79"/>
      <c r="S50" s="464"/>
      <c r="U50" s="104"/>
      <c r="V50" s="104"/>
    </row>
    <row r="51" spans="1:22" ht="13.5" customHeight="1" x14ac:dyDescent="0.15">
      <c r="A51" s="76">
        <v>4</v>
      </c>
      <c r="B51" s="545"/>
      <c r="C51" s="546"/>
      <c r="D51" s="547"/>
      <c r="E51" s="558" t="s">
        <v>68</v>
      </c>
      <c r="F51" s="559"/>
      <c r="G51" s="78" t="s">
        <v>70</v>
      </c>
      <c r="H51" s="352"/>
      <c r="I51" s="77"/>
      <c r="J51" s="46" t="str">
        <f>VLOOKUP($E:$E,材料单价表!$B$3:$G$42,4,0)</f>
        <v>m</v>
      </c>
      <c r="K51" s="46"/>
      <c r="L51" s="80">
        <f>L15</f>
        <v>5.4</v>
      </c>
      <c r="M51" s="46">
        <f>VLOOKUP($E:$E,材料单价表!$B$3:$G$42,5,0)</f>
        <v>0</v>
      </c>
      <c r="N51" s="46">
        <f t="shared" si="10"/>
        <v>0</v>
      </c>
      <c r="O51" s="48"/>
      <c r="P51" s="59"/>
      <c r="Q51" s="81"/>
      <c r="R51" s="79"/>
      <c r="S51" s="464"/>
      <c r="U51" s="104"/>
      <c r="V51" s="104"/>
    </row>
    <row r="52" spans="1:22" ht="13.5" customHeight="1" x14ac:dyDescent="0.15">
      <c r="A52" s="76">
        <v>5</v>
      </c>
      <c r="B52" s="545"/>
      <c r="C52" s="546"/>
      <c r="D52" s="547"/>
      <c r="E52" s="558" t="s">
        <v>71</v>
      </c>
      <c r="F52" s="559"/>
      <c r="G52" s="78"/>
      <c r="H52" s="352"/>
      <c r="I52" s="77"/>
      <c r="J52" s="46" t="str">
        <f>VLOOKUP($E:$E,材料单价表!$B$3:$G$42,4,0)</f>
        <v>个</v>
      </c>
      <c r="K52" s="79"/>
      <c r="L52" s="80">
        <f>J26+J27</f>
        <v>12</v>
      </c>
      <c r="M52" s="46">
        <f>VLOOKUP($E:$E,材料单价表!$B$3:$G$42,5,0)</f>
        <v>0</v>
      </c>
      <c r="N52" s="46">
        <f t="shared" si="10"/>
        <v>0</v>
      </c>
      <c r="O52" s="48"/>
      <c r="P52" s="59"/>
      <c r="Q52" s="81"/>
      <c r="R52" s="79"/>
      <c r="S52" s="464"/>
    </row>
    <row r="53" spans="1:22" ht="13.5" customHeight="1" x14ac:dyDescent="0.15">
      <c r="A53" s="76">
        <v>6</v>
      </c>
      <c r="B53" s="545"/>
      <c r="C53" s="546"/>
      <c r="D53" s="547"/>
      <c r="E53" s="558" t="s">
        <v>809</v>
      </c>
      <c r="F53" s="559"/>
      <c r="G53" s="78"/>
      <c r="H53" s="352"/>
      <c r="I53" s="77"/>
      <c r="J53" s="46" t="str">
        <f>VLOOKUP($E:$E,材料单价表!$B$3:$G$42,4,0)</f>
        <v>m</v>
      </c>
      <c r="K53" s="79"/>
      <c r="L53" s="80">
        <f>(I20*J20+I21*J21+I22*J22)/1000*2</f>
        <v>14.4732</v>
      </c>
      <c r="M53" s="46">
        <f>VLOOKUP($E:$E,材料单价表!$B$3:$G$42,5,0)</f>
        <v>0</v>
      </c>
      <c r="N53" s="46">
        <f t="shared" si="10"/>
        <v>0</v>
      </c>
      <c r="O53" s="48"/>
      <c r="P53" s="59"/>
      <c r="Q53" s="81"/>
      <c r="R53" s="46"/>
      <c r="S53" s="465"/>
    </row>
    <row r="54" spans="1:22" x14ac:dyDescent="0.15">
      <c r="A54" s="76">
        <v>7</v>
      </c>
      <c r="B54" s="545"/>
      <c r="C54" s="546"/>
      <c r="D54" s="547"/>
      <c r="E54" s="558" t="s">
        <v>72</v>
      </c>
      <c r="F54" s="559"/>
      <c r="G54" s="45"/>
      <c r="H54" s="207"/>
      <c r="I54" s="45"/>
      <c r="J54" s="46" t="str">
        <f>VLOOKUP($E:$E,材料单价表!$B$3:$G$42,4,0)</f>
        <v>m2</v>
      </c>
      <c r="K54" s="72"/>
      <c r="L54" s="46">
        <f>L60</f>
        <v>1.82</v>
      </c>
      <c r="M54" s="46">
        <f>VLOOKUP($E:$E,材料单价表!$B$3:$G$42,5,0)</f>
        <v>0</v>
      </c>
      <c r="N54" s="46">
        <f t="shared" si="10"/>
        <v>0</v>
      </c>
      <c r="O54" s="48"/>
      <c r="P54" s="48"/>
      <c r="Q54" s="73"/>
      <c r="R54" s="73"/>
      <c r="S54" s="463"/>
    </row>
    <row r="55" spans="1:22" x14ac:dyDescent="0.15">
      <c r="A55" s="76">
        <v>8</v>
      </c>
      <c r="B55" s="545"/>
      <c r="C55" s="546"/>
      <c r="D55" s="547"/>
      <c r="E55" s="183"/>
      <c r="F55" s="184"/>
      <c r="G55" s="207"/>
      <c r="H55" s="207"/>
      <c r="I55" s="207"/>
      <c r="J55" s="208"/>
      <c r="K55" s="209"/>
      <c r="L55" s="208"/>
      <c r="M55" s="208"/>
      <c r="N55" s="208"/>
      <c r="O55" s="211"/>
      <c r="P55" s="48"/>
      <c r="Q55" s="212"/>
      <c r="R55" s="212"/>
      <c r="S55" s="463"/>
    </row>
    <row r="56" spans="1:22" x14ac:dyDescent="0.15">
      <c r="A56" s="76">
        <v>9</v>
      </c>
      <c r="B56" s="545"/>
      <c r="C56" s="546"/>
      <c r="D56" s="547"/>
      <c r="E56" s="558"/>
      <c r="F56" s="559"/>
      <c r="G56" s="45"/>
      <c r="H56" s="207"/>
      <c r="I56" s="45"/>
      <c r="J56" s="45"/>
      <c r="K56" s="72"/>
      <c r="L56" s="46"/>
      <c r="M56" s="46"/>
      <c r="N56" s="82"/>
      <c r="O56" s="48"/>
      <c r="P56" s="48"/>
      <c r="Q56" s="73"/>
      <c r="R56" s="73"/>
      <c r="S56" s="463"/>
    </row>
    <row r="57" spans="1:22" x14ac:dyDescent="0.15">
      <c r="A57" s="74"/>
      <c r="B57" s="552"/>
      <c r="C57" s="557"/>
      <c r="D57" s="553"/>
      <c r="E57" s="552" t="s">
        <v>73</v>
      </c>
      <c r="F57" s="557"/>
      <c r="G57" s="557"/>
      <c r="H57" s="557"/>
      <c r="I57" s="557"/>
      <c r="J57" s="557"/>
      <c r="K57" s="557"/>
      <c r="L57" s="61"/>
      <c r="M57" s="61"/>
      <c r="N57" s="62">
        <f>SUM(N48:N56)</f>
        <v>0</v>
      </c>
      <c r="O57" s="63" t="s">
        <v>57</v>
      </c>
      <c r="P57" s="337"/>
      <c r="Q57" s="64"/>
      <c r="R57" s="64"/>
      <c r="S57" s="460"/>
    </row>
    <row r="58" spans="1:22" x14ac:dyDescent="0.15">
      <c r="A58" s="74"/>
      <c r="B58" s="552"/>
      <c r="C58" s="557"/>
      <c r="D58" s="553"/>
      <c r="E58" s="552" t="s">
        <v>74</v>
      </c>
      <c r="F58" s="557"/>
      <c r="G58" s="557"/>
      <c r="H58" s="557"/>
      <c r="I58" s="557"/>
      <c r="J58" s="557"/>
      <c r="K58" s="557"/>
      <c r="L58" s="557"/>
      <c r="M58" s="553"/>
      <c r="N58" s="62">
        <f>N57+N46+N43+N38</f>
        <v>0</v>
      </c>
      <c r="O58" s="63" t="s">
        <v>57</v>
      </c>
      <c r="P58" s="337"/>
      <c r="Q58" s="64"/>
      <c r="R58" s="64"/>
      <c r="S58" s="460"/>
    </row>
    <row r="59" spans="1:22" ht="24" x14ac:dyDescent="0.15">
      <c r="A59" s="65"/>
      <c r="B59" s="560" t="s">
        <v>75</v>
      </c>
      <c r="C59" s="561"/>
      <c r="D59" s="562"/>
      <c r="E59" s="565" t="s">
        <v>26</v>
      </c>
      <c r="F59" s="566"/>
      <c r="G59" s="66"/>
      <c r="H59" s="351"/>
      <c r="I59" s="66"/>
      <c r="J59" s="66" t="s">
        <v>6</v>
      </c>
      <c r="K59" s="83" t="s">
        <v>61</v>
      </c>
      <c r="L59" s="66" t="s">
        <v>76</v>
      </c>
      <c r="M59" s="68" t="s">
        <v>62</v>
      </c>
      <c r="N59" s="68" t="s">
        <v>34</v>
      </c>
      <c r="O59" s="84" t="s">
        <v>57</v>
      </c>
      <c r="P59" s="84"/>
      <c r="Q59" s="67"/>
      <c r="R59" s="67"/>
      <c r="S59" s="461"/>
    </row>
    <row r="60" spans="1:22" x14ac:dyDescent="0.15">
      <c r="A60" s="188">
        <v>1</v>
      </c>
      <c r="B60" s="545"/>
      <c r="C60" s="546"/>
      <c r="D60" s="547"/>
      <c r="E60" s="545" t="s">
        <v>77</v>
      </c>
      <c r="F60" s="547"/>
      <c r="G60" s="45"/>
      <c r="H60" s="207"/>
      <c r="I60" s="46"/>
      <c r="J60" s="45" t="s">
        <v>78</v>
      </c>
      <c r="K60" s="72"/>
      <c r="L60" s="85">
        <f>N2</f>
        <v>1.82</v>
      </c>
      <c r="M60" s="46">
        <f>VLOOKUP($E:$E,材料单价表!$B$3:$G$42,5,0)</f>
        <v>0</v>
      </c>
      <c r="N60" s="46">
        <f>M60*L60</f>
        <v>0</v>
      </c>
      <c r="O60" s="48"/>
      <c r="P60" s="48"/>
      <c r="Q60" s="72"/>
      <c r="R60" s="72"/>
      <c r="S60" s="462"/>
    </row>
    <row r="61" spans="1:22" x14ac:dyDescent="0.15">
      <c r="A61" s="188">
        <v>2</v>
      </c>
      <c r="B61" s="545"/>
      <c r="C61" s="546"/>
      <c r="D61" s="547"/>
      <c r="E61" s="545" t="s">
        <v>79</v>
      </c>
      <c r="F61" s="547"/>
      <c r="G61" s="45"/>
      <c r="H61" s="207"/>
      <c r="I61" s="46"/>
      <c r="J61" s="45" t="s">
        <v>78</v>
      </c>
      <c r="K61" s="72"/>
      <c r="L61" s="85">
        <f>L60</f>
        <v>1.82</v>
      </c>
      <c r="M61" s="46">
        <f>VLOOKUP($E:$E,材料单价表!$B$3:$G$42,5,0)</f>
        <v>0</v>
      </c>
      <c r="N61" s="46">
        <f>M61*L61</f>
        <v>0</v>
      </c>
      <c r="O61" s="48"/>
      <c r="P61" s="48"/>
      <c r="Q61" s="72"/>
      <c r="R61" s="72"/>
      <c r="S61" s="462"/>
    </row>
    <row r="62" spans="1:22" ht="24.75" customHeight="1" x14ac:dyDescent="0.15">
      <c r="A62" s="74"/>
      <c r="B62" s="552"/>
      <c r="C62" s="557"/>
      <c r="D62" s="553"/>
      <c r="E62" s="552" t="s">
        <v>80</v>
      </c>
      <c r="F62" s="553"/>
      <c r="G62" s="185"/>
      <c r="H62" s="344"/>
      <c r="I62" s="554" t="s">
        <v>81</v>
      </c>
      <c r="J62" s="554"/>
      <c r="K62" s="554"/>
      <c r="L62" s="554"/>
      <c r="M62" s="87"/>
      <c r="N62" s="62">
        <f>N58+N60+N61</f>
        <v>0</v>
      </c>
      <c r="O62" s="63" t="s">
        <v>57</v>
      </c>
      <c r="P62" s="337"/>
      <c r="Q62" s="64"/>
      <c r="R62" s="64"/>
      <c r="S62" s="460"/>
    </row>
    <row r="63" spans="1:22" ht="24" customHeight="1" x14ac:dyDescent="0.15">
      <c r="A63" s="74"/>
      <c r="B63" s="552"/>
      <c r="C63" s="557"/>
      <c r="D63" s="553"/>
      <c r="E63" s="555" t="s">
        <v>82</v>
      </c>
      <c r="F63" s="556"/>
      <c r="G63" s="187"/>
      <c r="H63" s="345"/>
      <c r="I63" s="552" t="s">
        <v>81</v>
      </c>
      <c r="J63" s="557"/>
      <c r="K63" s="557"/>
      <c r="L63" s="557"/>
      <c r="M63" s="62"/>
      <c r="N63" s="62">
        <f>N62/N2</f>
        <v>0</v>
      </c>
      <c r="O63" s="89" t="s">
        <v>57</v>
      </c>
      <c r="P63" s="89"/>
      <c r="Q63" s="90"/>
      <c r="R63" s="90"/>
      <c r="S63" s="466"/>
    </row>
    <row r="64" spans="1:22" ht="18.75" customHeight="1" x14ac:dyDescent="0.15">
      <c r="A64" s="549" t="s">
        <v>0</v>
      </c>
      <c r="B64" s="549"/>
      <c r="C64" s="549"/>
      <c r="D64" s="549"/>
      <c r="E64" s="549"/>
      <c r="F64" s="549"/>
      <c r="G64" s="549"/>
      <c r="H64" s="549"/>
      <c r="I64" s="549"/>
      <c r="J64" s="549"/>
      <c r="K64" s="550"/>
      <c r="L64" s="549"/>
      <c r="M64" s="549"/>
      <c r="N64" s="549"/>
      <c r="O64" s="549"/>
      <c r="P64" s="549"/>
      <c r="Q64" s="551"/>
      <c r="R64" s="551"/>
      <c r="S64" s="415"/>
    </row>
    <row r="65" spans="1:34" ht="15" customHeight="1" x14ac:dyDescent="0.15">
      <c r="A65" s="2" t="s">
        <v>1</v>
      </c>
      <c r="B65" s="339" t="str">
        <f>$B$2</f>
        <v>TC</v>
      </c>
      <c r="C65" s="3">
        <v>2</v>
      </c>
      <c r="D65" s="3"/>
      <c r="E65" s="4" t="s">
        <v>2</v>
      </c>
      <c r="F65" s="5">
        <v>80</v>
      </c>
      <c r="G65" s="106" t="s">
        <v>86</v>
      </c>
      <c r="H65" s="106"/>
      <c r="I65" s="4" t="s">
        <v>3</v>
      </c>
      <c r="J65" s="6">
        <f>K68</f>
        <v>1300</v>
      </c>
      <c r="K65" s="7" t="s">
        <v>83</v>
      </c>
      <c r="L65" s="6">
        <f>K67</f>
        <v>1600</v>
      </c>
      <c r="M65" s="8" t="s">
        <v>4</v>
      </c>
      <c r="N65" s="9">
        <f>L77</f>
        <v>2.08</v>
      </c>
      <c r="O65" s="10"/>
      <c r="P65" s="10"/>
      <c r="Q65" s="10" t="s">
        <v>5</v>
      </c>
      <c r="R65" s="11"/>
      <c r="S65" s="457"/>
    </row>
    <row r="66" spans="1:34" ht="15" customHeight="1" x14ac:dyDescent="0.2">
      <c r="A66" s="12"/>
      <c r="B66" s="13"/>
      <c r="C66" s="13"/>
      <c r="D66" s="13"/>
      <c r="E66" s="14"/>
      <c r="F66" s="14">
        <v>105</v>
      </c>
      <c r="G66" s="15"/>
      <c r="H66" s="15"/>
      <c r="I66" s="16"/>
      <c r="J66" s="16" t="s">
        <v>6</v>
      </c>
      <c r="K66" s="17" t="s">
        <v>7</v>
      </c>
      <c r="L66" s="16" t="s">
        <v>8</v>
      </c>
      <c r="M66" s="18"/>
      <c r="N66" s="548" t="s">
        <v>1087</v>
      </c>
      <c r="O66" s="548"/>
      <c r="P66" s="16" t="s">
        <v>1018</v>
      </c>
      <c r="Q66" s="19"/>
      <c r="R66" s="20"/>
      <c r="S66" s="27"/>
    </row>
    <row r="67" spans="1:34" ht="15" customHeight="1" x14ac:dyDescent="0.2">
      <c r="A67" s="398" t="s">
        <v>909</v>
      </c>
      <c r="B67" s="404" t="s">
        <v>913</v>
      </c>
      <c r="C67" s="399"/>
      <c r="D67" s="22"/>
      <c r="E67" s="23"/>
      <c r="F67" s="23"/>
      <c r="G67" s="107"/>
      <c r="H67" s="107"/>
      <c r="I67" s="24" t="s">
        <v>9</v>
      </c>
      <c r="J67" s="16" t="s">
        <v>10</v>
      </c>
      <c r="K67" s="25">
        <v>1600</v>
      </c>
      <c r="L67" s="113">
        <f>K67-L76*2</f>
        <v>1500</v>
      </c>
      <c r="M67" s="18"/>
      <c r="N67" s="356" t="s">
        <v>1088</v>
      </c>
      <c r="O67" s="357"/>
      <c r="P67" s="16" t="s">
        <v>1019</v>
      </c>
      <c r="Q67" s="27"/>
      <c r="R67" s="28"/>
      <c r="S67" s="27"/>
    </row>
    <row r="68" spans="1:34" ht="15" customHeight="1" x14ac:dyDescent="0.2">
      <c r="A68" s="21"/>
      <c r="B68" s="22"/>
      <c r="C68" s="22"/>
      <c r="D68" s="22"/>
      <c r="E68" s="23"/>
      <c r="F68" s="23"/>
      <c r="G68" s="18"/>
      <c r="H68" s="18"/>
      <c r="I68" s="24" t="s">
        <v>11</v>
      </c>
      <c r="J68" s="16" t="s">
        <v>10</v>
      </c>
      <c r="K68" s="25">
        <v>1300</v>
      </c>
      <c r="L68" s="113">
        <f>K68-L76*2</f>
        <v>1200</v>
      </c>
      <c r="M68" s="18"/>
      <c r="N68" s="356" t="s">
        <v>1089</v>
      </c>
      <c r="O68" s="357"/>
      <c r="P68" s="16" t="s">
        <v>1022</v>
      </c>
      <c r="Q68" s="27"/>
      <c r="R68" s="28"/>
      <c r="S68" s="27"/>
    </row>
    <row r="69" spans="1:34" ht="15" customHeight="1" x14ac:dyDescent="0.2">
      <c r="A69" s="21"/>
      <c r="B69" s="22"/>
      <c r="C69" s="22"/>
      <c r="D69" s="22"/>
      <c r="E69" s="23"/>
      <c r="F69" s="23"/>
      <c r="G69" s="18"/>
      <c r="H69" s="18"/>
      <c r="I69" s="24" t="s">
        <v>12</v>
      </c>
      <c r="J69" s="16" t="s">
        <v>10</v>
      </c>
      <c r="K69" s="26"/>
      <c r="L69" s="113">
        <f>L67-L70</f>
        <v>1100</v>
      </c>
      <c r="M69" s="18"/>
      <c r="N69" s="356" t="s">
        <v>1092</v>
      </c>
      <c r="O69" s="357"/>
      <c r="P69" s="16" t="s">
        <v>1020</v>
      </c>
      <c r="Q69" s="27"/>
      <c r="R69" s="28"/>
      <c r="S69" s="27"/>
    </row>
    <row r="70" spans="1:34" ht="15" customHeight="1" x14ac:dyDescent="0.2">
      <c r="A70" s="21"/>
      <c r="B70" s="22"/>
      <c r="C70" s="22"/>
      <c r="D70" s="22"/>
      <c r="E70" s="23"/>
      <c r="F70" s="23"/>
      <c r="G70" s="18"/>
      <c r="H70" s="18"/>
      <c r="I70" s="24" t="s">
        <v>13</v>
      </c>
      <c r="J70" s="16" t="s">
        <v>10</v>
      </c>
      <c r="K70" s="26"/>
      <c r="L70" s="113">
        <v>400</v>
      </c>
      <c r="M70" s="18"/>
      <c r="N70" s="356" t="s">
        <v>925</v>
      </c>
      <c r="O70" s="357"/>
      <c r="P70" s="16" t="s">
        <v>1021</v>
      </c>
      <c r="Q70" s="27"/>
      <c r="R70" s="28"/>
      <c r="S70" s="27"/>
    </row>
    <row r="71" spans="1:34" ht="15" customHeight="1" x14ac:dyDescent="0.2">
      <c r="A71" s="21"/>
      <c r="B71" s="22"/>
      <c r="C71" s="22"/>
      <c r="D71" s="22"/>
      <c r="E71" s="23"/>
      <c r="F71" s="23"/>
      <c r="G71" s="18"/>
      <c r="H71" s="18"/>
      <c r="I71" s="24" t="s">
        <v>14</v>
      </c>
      <c r="J71" s="16" t="s">
        <v>10</v>
      </c>
      <c r="K71" s="26"/>
      <c r="L71" s="113"/>
      <c r="M71" s="18"/>
      <c r="N71" s="356"/>
      <c r="O71" s="357"/>
      <c r="P71" s="16"/>
      <c r="Q71" s="27"/>
      <c r="R71" s="28"/>
      <c r="S71" s="27"/>
    </row>
    <row r="72" spans="1:34" ht="15" customHeight="1" x14ac:dyDescent="0.2">
      <c r="A72" s="21"/>
      <c r="B72" s="22"/>
      <c r="C72" s="22"/>
      <c r="D72" s="22"/>
      <c r="E72" s="23"/>
      <c r="F72" s="23"/>
      <c r="G72" s="18"/>
      <c r="H72" s="18"/>
      <c r="I72" s="24" t="s">
        <v>15</v>
      </c>
      <c r="J72" s="16" t="s">
        <v>10</v>
      </c>
      <c r="K72" s="26"/>
      <c r="L72" s="113">
        <f>L68/2</f>
        <v>600</v>
      </c>
      <c r="M72" s="18"/>
      <c r="N72" s="356" t="s">
        <v>928</v>
      </c>
      <c r="O72" s="357"/>
      <c r="P72" s="16" t="s">
        <v>1005</v>
      </c>
      <c r="Q72" s="27"/>
      <c r="R72" s="28"/>
      <c r="S72" s="27"/>
    </row>
    <row r="73" spans="1:34" ht="15" customHeight="1" x14ac:dyDescent="0.2">
      <c r="A73" s="21"/>
      <c r="B73" s="22"/>
      <c r="C73" s="22"/>
      <c r="D73" s="22"/>
      <c r="E73" s="23"/>
      <c r="F73" s="23"/>
      <c r="G73" s="18"/>
      <c r="H73" s="18"/>
      <c r="I73" s="24" t="s">
        <v>16</v>
      </c>
      <c r="J73" s="16" t="s">
        <v>10</v>
      </c>
      <c r="K73" s="26"/>
      <c r="L73" s="113"/>
      <c r="M73" s="18"/>
      <c r="N73" s="356" t="s">
        <v>929</v>
      </c>
      <c r="O73" s="357"/>
      <c r="P73" s="16" t="s">
        <v>1024</v>
      </c>
      <c r="Q73" s="27"/>
      <c r="R73" s="28"/>
      <c r="S73" s="27"/>
    </row>
    <row r="74" spans="1:34" ht="15" customHeight="1" x14ac:dyDescent="0.2">
      <c r="A74" s="21"/>
      <c r="B74" s="22"/>
      <c r="C74" s="22"/>
      <c r="D74" s="22"/>
      <c r="E74" s="23"/>
      <c r="F74" s="23"/>
      <c r="G74" s="18"/>
      <c r="H74" s="18"/>
      <c r="I74" s="24" t="s">
        <v>17</v>
      </c>
      <c r="J74" s="16" t="s">
        <v>10</v>
      </c>
      <c r="K74" s="26"/>
      <c r="L74" s="113"/>
      <c r="M74" s="18"/>
      <c r="N74" s="356" t="s">
        <v>930</v>
      </c>
      <c r="O74" s="357"/>
      <c r="P74" s="16" t="s">
        <v>931</v>
      </c>
      <c r="Q74" s="27"/>
      <c r="R74" s="28"/>
      <c r="S74" s="27"/>
    </row>
    <row r="75" spans="1:34" ht="15" customHeight="1" x14ac:dyDescent="0.2">
      <c r="A75" s="21"/>
      <c r="B75" s="22"/>
      <c r="C75" s="22"/>
      <c r="D75" s="22"/>
      <c r="E75" s="23"/>
      <c r="F75" s="23"/>
      <c r="G75" s="18"/>
      <c r="H75" s="18"/>
      <c r="I75" s="24" t="s">
        <v>18</v>
      </c>
      <c r="J75" s="16" t="s">
        <v>10</v>
      </c>
      <c r="K75" s="26"/>
      <c r="L75" s="113"/>
      <c r="M75" s="18"/>
      <c r="N75" s="356" t="s">
        <v>932</v>
      </c>
      <c r="O75" s="357"/>
      <c r="P75" s="16" t="s">
        <v>933</v>
      </c>
      <c r="Q75" s="27"/>
      <c r="R75" s="28"/>
      <c r="S75" s="27"/>
    </row>
    <row r="76" spans="1:34" ht="15" customHeight="1" x14ac:dyDescent="0.2">
      <c r="A76" s="21"/>
      <c r="B76" s="22"/>
      <c r="C76" s="22"/>
      <c r="D76" s="22"/>
      <c r="E76" s="23"/>
      <c r="F76" s="23"/>
      <c r="G76" s="18"/>
      <c r="H76" s="18"/>
      <c r="I76" s="24" t="s">
        <v>19</v>
      </c>
      <c r="J76" s="16" t="s">
        <v>10</v>
      </c>
      <c r="K76" s="26"/>
      <c r="L76" s="25">
        <v>50</v>
      </c>
      <c r="M76" s="18"/>
      <c r="N76" s="356" t="s">
        <v>1101</v>
      </c>
      <c r="O76" s="357"/>
      <c r="P76" s="16" t="s">
        <v>935</v>
      </c>
      <c r="Q76" s="27"/>
      <c r="R76" s="28"/>
      <c r="S76" s="27"/>
    </row>
    <row r="77" spans="1:34" ht="15" customHeight="1" x14ac:dyDescent="0.2">
      <c r="A77" s="21"/>
      <c r="B77" s="22"/>
      <c r="C77" s="22"/>
      <c r="D77" s="22"/>
      <c r="E77" s="23"/>
      <c r="F77" s="23"/>
      <c r="G77" s="18"/>
      <c r="H77" s="18"/>
      <c r="I77" s="29" t="s">
        <v>20</v>
      </c>
      <c r="J77" s="16" t="s">
        <v>21</v>
      </c>
      <c r="K77" s="30"/>
      <c r="L77" s="31">
        <f>K67*K68/1000000</f>
        <v>2.08</v>
      </c>
      <c r="M77" s="18"/>
      <c r="N77" s="356" t="s">
        <v>936</v>
      </c>
      <c r="O77" s="357"/>
      <c r="P77" s="16" t="s">
        <v>937</v>
      </c>
      <c r="Q77" s="27"/>
      <c r="R77" s="28"/>
      <c r="S77" s="27"/>
    </row>
    <row r="78" spans="1:34" ht="15" customHeight="1" x14ac:dyDescent="0.2">
      <c r="A78" s="32"/>
      <c r="B78" s="33"/>
      <c r="C78" s="33"/>
      <c r="D78" s="33"/>
      <c r="E78" s="34"/>
      <c r="F78" s="34"/>
      <c r="G78" s="35"/>
      <c r="H78" s="35"/>
      <c r="I78" s="29" t="s">
        <v>22</v>
      </c>
      <c r="J78" s="16" t="s">
        <v>23</v>
      </c>
      <c r="K78" s="30"/>
      <c r="L78" s="36">
        <f>(K68+K67)*2/1000</f>
        <v>5.8</v>
      </c>
      <c r="M78" s="35"/>
      <c r="N78" s="356" t="s">
        <v>938</v>
      </c>
      <c r="O78" s="357"/>
      <c r="P78" s="16" t="s">
        <v>939</v>
      </c>
      <c r="Q78" s="37"/>
      <c r="R78" s="38"/>
      <c r="S78" s="27"/>
    </row>
    <row r="79" spans="1:34" ht="48" x14ac:dyDescent="0.15">
      <c r="A79" s="39" t="s">
        <v>24</v>
      </c>
      <c r="B79" s="560" t="s">
        <v>25</v>
      </c>
      <c r="C79" s="561"/>
      <c r="D79" s="562"/>
      <c r="E79" s="40" t="s">
        <v>26</v>
      </c>
      <c r="F79" s="40" t="s">
        <v>27</v>
      </c>
      <c r="G79" s="40" t="s">
        <v>28</v>
      </c>
      <c r="H79" s="40" t="s">
        <v>914</v>
      </c>
      <c r="I79" s="40" t="s">
        <v>29</v>
      </c>
      <c r="J79" s="40" t="s">
        <v>30</v>
      </c>
      <c r="K79" s="41" t="s">
        <v>31</v>
      </c>
      <c r="L79" s="40" t="s">
        <v>32</v>
      </c>
      <c r="M79" s="40" t="s">
        <v>33</v>
      </c>
      <c r="N79" s="40" t="s">
        <v>34</v>
      </c>
      <c r="O79" s="42" t="s">
        <v>35</v>
      </c>
      <c r="P79" s="338" t="s">
        <v>875</v>
      </c>
      <c r="Q79" s="43" t="s">
        <v>36</v>
      </c>
      <c r="R79" s="43" t="s">
        <v>37</v>
      </c>
      <c r="S79" s="458"/>
      <c r="U79" s="261" t="s">
        <v>804</v>
      </c>
      <c r="V79" s="261"/>
      <c r="W79" s="262" t="s">
        <v>805</v>
      </c>
      <c r="X79" s="263"/>
      <c r="Y79" s="262" t="s">
        <v>806</v>
      </c>
      <c r="Z79" s="274"/>
      <c r="AA79" s="206"/>
      <c r="AB79" s="153"/>
      <c r="AC79" s="206"/>
      <c r="AD79" s="153"/>
      <c r="AE79" s="206"/>
      <c r="AF79" s="153"/>
      <c r="AG79" s="206"/>
      <c r="AH79" s="153"/>
    </row>
    <row r="80" spans="1:34" ht="15" customHeight="1" x14ac:dyDescent="0.15">
      <c r="A80" s="188">
        <v>1</v>
      </c>
      <c r="B80" s="531" t="s">
        <v>38</v>
      </c>
      <c r="C80" s="532"/>
      <c r="D80" s="533"/>
      <c r="E80" s="47" t="str">
        <f>VLOOKUP($G:$G,型材表!$B$5:$I$448,2,0)</f>
        <v>边框</v>
      </c>
      <c r="F80" s="45" t="s">
        <v>39</v>
      </c>
      <c r="G80" s="45" t="str">
        <f>IF(F65=70,"ST70K001",IF(F65=80,"ST80K001",IF(F65=105,"ST105AK003")))</f>
        <v>ST80K001</v>
      </c>
      <c r="H80" s="207" t="s">
        <v>998</v>
      </c>
      <c r="I80" s="46">
        <f>L67</f>
        <v>1500</v>
      </c>
      <c r="J80" s="45">
        <v>2</v>
      </c>
      <c r="K80" s="47">
        <f>VLOOKUP($G:$G,型材表!$B$5:$I$448,4,0)</f>
        <v>1.738</v>
      </c>
      <c r="L80" s="46">
        <f>I80*J80*K80/1000</f>
        <v>5.2140000000000004</v>
      </c>
      <c r="M80" s="72">
        <f>VLOOKUP($G:$G,型材表!$B$5:$I$448,7,0)</f>
        <v>0</v>
      </c>
      <c r="N80" s="46">
        <f>M80*L80</f>
        <v>0</v>
      </c>
      <c r="O80" s="100">
        <f>VLOOKUP($G:$G,型材表!$B$5:$I$448,5,0)</f>
        <v>0.125</v>
      </c>
      <c r="P80" s="100" t="str">
        <f>VLOOKUP($G:$G,型材表!$B$5:$I$448,6,0)</f>
        <v>断桥隔热铝型材</v>
      </c>
      <c r="Q80" s="49"/>
      <c r="R80" s="50"/>
      <c r="S80" s="459"/>
      <c r="W80" s="264"/>
      <c r="X80" s="265"/>
      <c r="Y80" s="264"/>
      <c r="Z80" s="265"/>
      <c r="AA80" s="154"/>
      <c r="AB80" s="154"/>
      <c r="AC80" s="154"/>
      <c r="AD80" s="154"/>
      <c r="AE80" s="154"/>
      <c r="AF80" s="154"/>
      <c r="AG80" s="154"/>
      <c r="AH80" s="154"/>
    </row>
    <row r="81" spans="1:34" ht="15" customHeight="1" x14ac:dyDescent="0.15">
      <c r="A81" s="188">
        <v>2</v>
      </c>
      <c r="B81" s="534"/>
      <c r="C81" s="535"/>
      <c r="D81" s="536"/>
      <c r="E81" s="47" t="str">
        <f>VLOOKUP($G:$G,型材表!$B$5:$I$448,2,0)</f>
        <v>边框</v>
      </c>
      <c r="F81" s="45" t="s">
        <v>807</v>
      </c>
      <c r="G81" s="45" t="str">
        <f>IF(F65=70,"ST70K001",IF(F65=80,"ST80K001",IF(F65=105,"ST105AK001")))</f>
        <v>ST80K001</v>
      </c>
      <c r="H81" s="207" t="s">
        <v>1091</v>
      </c>
      <c r="I81" s="46">
        <f>IF(F65=70,L68-U81,IF(F65=80,L68-W81,IF(F65=105,L68-Y81)))</f>
        <v>1200</v>
      </c>
      <c r="J81" s="45">
        <v>1</v>
      </c>
      <c r="K81" s="47">
        <f>VLOOKUP($G:$G,型材表!$B$5:$I$448,4,0)</f>
        <v>1.738</v>
      </c>
      <c r="L81" s="46">
        <f t="shared" ref="L81:L88" si="11">I81*J81*K81/1000</f>
        <v>2.0855999999999999</v>
      </c>
      <c r="M81" s="72">
        <f>VLOOKUP($G:$G,型材表!$B$5:$I$448,7,0)</f>
        <v>0</v>
      </c>
      <c r="N81" s="46">
        <f t="shared" ref="N81:N88" si="12">M81*L81</f>
        <v>0</v>
      </c>
      <c r="O81" s="100">
        <f>VLOOKUP($G:$G,型材表!$B$5:$I$448,5,0)</f>
        <v>0.125</v>
      </c>
      <c r="P81" s="100" t="str">
        <f>VLOOKUP($G:$G,型材表!$B$5:$I$448,6,0)</f>
        <v>断桥隔热铝型材</v>
      </c>
      <c r="Q81" s="49"/>
      <c r="R81" s="50"/>
      <c r="S81" s="459"/>
      <c r="T81" s="374" t="s">
        <v>1114</v>
      </c>
      <c r="W81" s="264"/>
      <c r="X81" s="265"/>
      <c r="Y81" s="264">
        <f>20*2</f>
        <v>40</v>
      </c>
      <c r="Z81" s="265"/>
      <c r="AA81" s="154"/>
      <c r="AB81" s="154"/>
      <c r="AC81" s="154"/>
      <c r="AD81" s="154"/>
      <c r="AE81" s="154"/>
      <c r="AF81" s="154"/>
      <c r="AG81" s="154"/>
      <c r="AH81" s="154"/>
    </row>
    <row r="82" spans="1:34" ht="15" customHeight="1" x14ac:dyDescent="0.15">
      <c r="A82" s="350">
        <v>3</v>
      </c>
      <c r="B82" s="534"/>
      <c r="C82" s="535"/>
      <c r="D82" s="536"/>
      <c r="E82" s="47" t="str">
        <f>VLOOKUP($G:$G,型材表!$B$5:$I$448,2,0)</f>
        <v>边框</v>
      </c>
      <c r="F82" s="207" t="s">
        <v>646</v>
      </c>
      <c r="G82" s="207" t="str">
        <f>IF(F65=70,"ST70K001",IF(F65=80,"ST80K001",IF(F65=105,"ST105AK005")))</f>
        <v>ST80K001</v>
      </c>
      <c r="H82" s="207" t="s">
        <v>1091</v>
      </c>
      <c r="I82" s="208">
        <f>I81</f>
        <v>1200</v>
      </c>
      <c r="J82" s="207">
        <v>1</v>
      </c>
      <c r="K82" s="47">
        <f>VLOOKUP($G:$G,型材表!$B$5:$I$448,4,0)</f>
        <v>1.738</v>
      </c>
      <c r="L82" s="46">
        <f t="shared" si="11"/>
        <v>2.0855999999999999</v>
      </c>
      <c r="M82" s="72">
        <f>VLOOKUP($G:$G,型材表!$B$5:$I$448,7,0)</f>
        <v>0</v>
      </c>
      <c r="N82" s="46">
        <f t="shared" si="12"/>
        <v>0</v>
      </c>
      <c r="O82" s="100">
        <f>VLOOKUP($G:$G,型材表!$B$5:$I$448,5,0)</f>
        <v>0.125</v>
      </c>
      <c r="P82" s="100" t="str">
        <f>VLOOKUP($G:$G,型材表!$B$5:$I$448,6,0)</f>
        <v>断桥隔热铝型材</v>
      </c>
      <c r="Q82" s="210"/>
      <c r="R82" s="50"/>
      <c r="S82" s="459"/>
      <c r="W82" s="264"/>
      <c r="X82" s="265"/>
      <c r="Y82" s="264"/>
      <c r="Z82" s="265"/>
      <c r="AA82" s="154"/>
      <c r="AB82" s="154"/>
      <c r="AC82" s="154"/>
      <c r="AD82" s="154"/>
      <c r="AE82" s="154"/>
      <c r="AF82" s="154"/>
      <c r="AG82" s="154"/>
      <c r="AH82" s="154"/>
    </row>
    <row r="83" spans="1:34" ht="15" customHeight="1" x14ac:dyDescent="0.15">
      <c r="A83" s="445">
        <v>4</v>
      </c>
      <c r="B83" s="534"/>
      <c r="C83" s="535"/>
      <c r="D83" s="536"/>
      <c r="E83" s="47" t="str">
        <f>VLOOKUP($G:$G,型材表!$B$5:$I$448,2,0)</f>
        <v>固定框</v>
      </c>
      <c r="F83" s="207"/>
      <c r="G83" s="207" t="str">
        <f>IF(F65=70,"ST70K002",IF(F65=80,"ST80K002",0))</f>
        <v>ST80K002</v>
      </c>
      <c r="H83" s="207" t="s">
        <v>1649</v>
      </c>
      <c r="I83" s="208">
        <f>IF(F65=70,L68,IF(F65=80,L68,0))</f>
        <v>1200</v>
      </c>
      <c r="J83" s="207">
        <v>2</v>
      </c>
      <c r="K83" s="47">
        <f>VLOOKUP($G:$G,型材表!$B$5:$I$448,4,0)</f>
        <v>1.206</v>
      </c>
      <c r="L83" s="46">
        <f t="shared" ref="L83" si="13">I83*J83*K83/1000</f>
        <v>2.8944000000000001</v>
      </c>
      <c r="M83" s="72">
        <f>VLOOKUP($G:$G,型材表!$B$5:$I$448,7,0)</f>
        <v>0</v>
      </c>
      <c r="N83" s="46">
        <f t="shared" ref="N83" si="14">M83*L83</f>
        <v>0</v>
      </c>
      <c r="O83" s="100">
        <f>VLOOKUP($G:$G,型材表!$B$5:$I$448,5,0)</f>
        <v>0.125</v>
      </c>
      <c r="P83" s="100" t="str">
        <f>VLOOKUP($G:$G,型材表!$B$5:$I$448,6,0)</f>
        <v>断桥隔热铝型材</v>
      </c>
      <c r="Q83" s="210"/>
      <c r="R83" s="50"/>
      <c r="S83" s="459"/>
      <c r="W83" s="264"/>
      <c r="X83" s="265"/>
      <c r="Y83" s="264"/>
      <c r="Z83" s="265"/>
      <c r="AA83" s="154"/>
      <c r="AB83" s="154"/>
      <c r="AC83" s="154"/>
      <c r="AD83" s="154"/>
      <c r="AE83" s="154"/>
      <c r="AF83" s="154"/>
      <c r="AG83" s="154"/>
      <c r="AH83" s="154"/>
    </row>
    <row r="84" spans="1:34" s="315" customFormat="1" ht="15" customHeight="1" x14ac:dyDescent="0.15">
      <c r="A84" s="327">
        <v>5</v>
      </c>
      <c r="B84" s="537"/>
      <c r="C84" s="538"/>
      <c r="D84" s="539"/>
      <c r="E84" s="310">
        <f>VLOOKUP($G:$G,型材表!$B$5:$I$448,2,0)</f>
        <v>0</v>
      </c>
      <c r="F84" s="328"/>
      <c r="G84" s="328">
        <f>IF(F65=105,"ST105AK004",0)</f>
        <v>0</v>
      </c>
      <c r="H84" s="328" t="s">
        <v>1091</v>
      </c>
      <c r="I84" s="329">
        <f>IF(F65=105,L68-Y84,0)</f>
        <v>0</v>
      </c>
      <c r="J84" s="328">
        <v>1</v>
      </c>
      <c r="K84" s="310">
        <f>VLOOKUP($G:$G,型材表!$B$5:$I$448,4,0)</f>
        <v>0</v>
      </c>
      <c r="L84" s="147">
        <f t="shared" ref="L84" si="15">I84*J84*K84/1000</f>
        <v>0</v>
      </c>
      <c r="M84" s="311">
        <f>VLOOKUP($G:$G,型材表!$B$5:$I$448,7,0)</f>
        <v>0</v>
      </c>
      <c r="N84" s="147">
        <f t="shared" ref="N84" si="16">M84*L84</f>
        <v>0</v>
      </c>
      <c r="O84" s="312">
        <f>VLOOKUP($G:$G,型材表!$B$5:$I$448,5,0)</f>
        <v>0</v>
      </c>
      <c r="P84" s="312">
        <f>VLOOKUP($G:$G,型材表!$B$5:$I$448,6,0)</f>
        <v>0</v>
      </c>
      <c r="Q84" s="330"/>
      <c r="R84" s="314"/>
      <c r="S84" s="469"/>
      <c r="T84" s="376" t="s">
        <v>1031</v>
      </c>
      <c r="U84" s="316"/>
      <c r="V84" s="316"/>
      <c r="W84" s="317"/>
      <c r="X84" s="318"/>
      <c r="Y84" s="317">
        <f>20*2</f>
        <v>40</v>
      </c>
      <c r="Z84" s="318"/>
      <c r="AA84" s="489"/>
      <c r="AB84" s="489"/>
      <c r="AC84" s="489"/>
      <c r="AD84" s="489"/>
      <c r="AE84" s="489"/>
      <c r="AF84" s="489"/>
      <c r="AG84" s="489"/>
      <c r="AH84" s="489"/>
    </row>
    <row r="85" spans="1:34" ht="15" customHeight="1" x14ac:dyDescent="0.15">
      <c r="A85" s="445">
        <v>6</v>
      </c>
      <c r="B85" s="531" t="s">
        <v>41</v>
      </c>
      <c r="C85" s="532"/>
      <c r="D85" s="533"/>
      <c r="E85" s="47" t="str">
        <f>VLOOKUP($G:$G,型材表!$B$5:$I$448,2,0)</f>
        <v>扇料</v>
      </c>
      <c r="F85" s="45" t="s">
        <v>812</v>
      </c>
      <c r="G85" s="45" t="str">
        <f>IF(F65=70,"ST70S002",IF(F65=80,"ST80S001",IF(F65=105,"ST105AS004")))</f>
        <v>ST80S001</v>
      </c>
      <c r="H85" s="207" t="s">
        <v>1048</v>
      </c>
      <c r="I85" s="46">
        <f>IF(F65=70,L69-U85,IF(F65=80,L69-W85,IF(F65=105,L69-Y85)))</f>
        <v>1024</v>
      </c>
      <c r="J85" s="45">
        <v>2</v>
      </c>
      <c r="K85" s="47">
        <f>VLOOKUP($G:$G,型材表!$B$5:$I$448,4,0)</f>
        <v>1.1679999999999999</v>
      </c>
      <c r="L85" s="46">
        <f t="shared" si="11"/>
        <v>2.392064</v>
      </c>
      <c r="M85" s="72">
        <f>VLOOKUP($G:$G,型材表!$B$5:$I$448,7,0)</f>
        <v>0</v>
      </c>
      <c r="N85" s="46">
        <f t="shared" si="12"/>
        <v>0</v>
      </c>
      <c r="O85" s="100">
        <f>VLOOKUP($G:$G,型材表!$B$5:$I$448,5,0)</f>
        <v>0.125</v>
      </c>
      <c r="P85" s="100" t="str">
        <f>VLOOKUP($G:$G,型材表!$B$5:$I$448,6,0)</f>
        <v>断桥隔热铝型材</v>
      </c>
      <c r="Q85" s="49"/>
      <c r="R85" s="50"/>
      <c r="S85" s="459"/>
      <c r="T85" s="374" t="s">
        <v>1118</v>
      </c>
      <c r="U85" s="259">
        <f>42.5+28</f>
        <v>70.5</v>
      </c>
      <c r="W85" s="264">
        <f>42+34</f>
        <v>76</v>
      </c>
      <c r="X85" s="265"/>
      <c r="Y85" s="264">
        <f>34+42.5</f>
        <v>76.5</v>
      </c>
      <c r="Z85" s="265"/>
      <c r="AA85" s="154"/>
      <c r="AB85" s="154"/>
      <c r="AC85" s="154"/>
      <c r="AD85" s="154"/>
      <c r="AE85" s="154"/>
      <c r="AF85" s="154"/>
      <c r="AG85" s="154"/>
      <c r="AH85" s="154"/>
    </row>
    <row r="86" spans="1:34" ht="15" customHeight="1" x14ac:dyDescent="0.15">
      <c r="A86" s="445">
        <v>7</v>
      </c>
      <c r="B86" s="534"/>
      <c r="C86" s="535"/>
      <c r="D86" s="536"/>
      <c r="E86" s="47" t="str">
        <f>VLOOKUP($G:$G,型材表!$B$5:$I$448,2,0)</f>
        <v>扇料</v>
      </c>
      <c r="F86" s="45" t="s">
        <v>813</v>
      </c>
      <c r="G86" s="207" t="str">
        <f>IF(F65=70,"ST70S002",IF(F65=80,"ST80S001",IF(F65=105,"ST105AS004")))</f>
        <v>ST80S001</v>
      </c>
      <c r="H86" s="207" t="s">
        <v>1077</v>
      </c>
      <c r="I86" s="208">
        <f>IF(F65=70,L69-U86,IF(F65=80,L69-W86,IF(F65=105,L69-Y86)))</f>
        <v>1024</v>
      </c>
      <c r="J86" s="207">
        <v>2</v>
      </c>
      <c r="K86" s="47">
        <f>VLOOKUP($G:$G,型材表!$B$5:$I$448,4,0)</f>
        <v>1.1679999999999999</v>
      </c>
      <c r="L86" s="46">
        <f t="shared" ref="L86" si="17">I86*J86*K86/1000</f>
        <v>2.392064</v>
      </c>
      <c r="M86" s="72">
        <f>VLOOKUP($G:$G,型材表!$B$5:$I$448,7,0)</f>
        <v>0</v>
      </c>
      <c r="N86" s="46">
        <f t="shared" ref="N86" si="18">M86*L86</f>
        <v>0</v>
      </c>
      <c r="O86" s="100">
        <f>VLOOKUP($G:$G,型材表!$B$5:$I$448,5,0)</f>
        <v>0.125</v>
      </c>
      <c r="P86" s="100" t="str">
        <f>VLOOKUP($G:$G,型材表!$B$5:$I$448,6,0)</f>
        <v>断桥隔热铝型材</v>
      </c>
      <c r="Q86" s="210"/>
      <c r="R86" s="50"/>
      <c r="S86" s="459"/>
      <c r="T86" s="374" t="s">
        <v>1120</v>
      </c>
      <c r="U86" s="259">
        <f>42.5+28</f>
        <v>70.5</v>
      </c>
      <c r="W86" s="264">
        <f>42+34</f>
        <v>76</v>
      </c>
      <c r="X86" s="265"/>
      <c r="Y86" s="264">
        <f>34+27.5</f>
        <v>61.5</v>
      </c>
      <c r="Z86" s="265"/>
      <c r="AA86" s="154"/>
      <c r="AB86" s="154"/>
      <c r="AC86" s="154"/>
      <c r="AD86" s="154"/>
      <c r="AE86" s="154"/>
      <c r="AF86" s="154"/>
      <c r="AG86" s="154"/>
      <c r="AH86" s="154"/>
    </row>
    <row r="87" spans="1:34" ht="15" customHeight="1" x14ac:dyDescent="0.15">
      <c r="A87" s="445">
        <v>8</v>
      </c>
      <c r="B87" s="534"/>
      <c r="C87" s="535"/>
      <c r="D87" s="536"/>
      <c r="E87" s="47" t="str">
        <f>VLOOKUP($G:$G,型材表!$B$5:$I$448,2,0)</f>
        <v>扇料</v>
      </c>
      <c r="F87" s="45" t="s">
        <v>808</v>
      </c>
      <c r="G87" s="45" t="str">
        <f>IF(F65=70,"ST70S002",IF(F65=80,"ST80S001",IF(F65=105,"ST105AS001")))</f>
        <v>ST80S001</v>
      </c>
      <c r="H87" s="207" t="s">
        <v>1002</v>
      </c>
      <c r="I87" s="46">
        <f>IF(F65=70,L72-U87,IF(F65=80,L72-W87,IF(F65=105,L72-Y87)))</f>
        <v>593.15</v>
      </c>
      <c r="J87" s="45">
        <v>2</v>
      </c>
      <c r="K87" s="47">
        <f>VLOOKUP($G:$G,型材表!$B$5:$I$448,4,0)</f>
        <v>1.1679999999999999</v>
      </c>
      <c r="L87" s="46">
        <f t="shared" si="11"/>
        <v>1.3855983999999999</v>
      </c>
      <c r="M87" s="72">
        <f>VLOOKUP($G:$G,型材表!$B$5:$I$448,7,0)</f>
        <v>0</v>
      </c>
      <c r="N87" s="46">
        <f t="shared" si="12"/>
        <v>0</v>
      </c>
      <c r="O87" s="100">
        <f>VLOOKUP($G:$G,型材表!$B$5:$I$448,5,0)</f>
        <v>0.125</v>
      </c>
      <c r="P87" s="100" t="str">
        <f>VLOOKUP($G:$G,型材表!$B$5:$I$448,6,0)</f>
        <v>断桥隔热铝型材</v>
      </c>
      <c r="Q87" s="49"/>
      <c r="R87" s="50"/>
      <c r="S87" s="459"/>
      <c r="T87" s="374" t="s">
        <v>1116</v>
      </c>
      <c r="U87" s="259">
        <f>(42.5*2-66)/2+53*2</f>
        <v>115.5</v>
      </c>
      <c r="W87" s="264">
        <f>41.8-69.9/2</f>
        <v>6.8499999999999943</v>
      </c>
      <c r="X87" s="265"/>
      <c r="Y87" s="264">
        <f>20+57.2*2-73.5/2</f>
        <v>97.65</v>
      </c>
      <c r="Z87" s="265"/>
      <c r="AA87" s="154"/>
      <c r="AB87" s="154"/>
      <c r="AC87" s="154"/>
      <c r="AD87" s="154"/>
      <c r="AE87" s="154"/>
      <c r="AF87" s="154"/>
      <c r="AG87" s="154"/>
      <c r="AH87" s="154"/>
    </row>
    <row r="88" spans="1:34" ht="15" customHeight="1" x14ac:dyDescent="0.15">
      <c r="A88" s="445">
        <v>9</v>
      </c>
      <c r="B88" s="534"/>
      <c r="C88" s="535"/>
      <c r="D88" s="536"/>
      <c r="E88" s="47" t="str">
        <f>VLOOKUP($G:$G,型材表!$B$5:$I$448,2,0)</f>
        <v>扇料</v>
      </c>
      <c r="F88" s="45" t="s">
        <v>916</v>
      </c>
      <c r="G88" s="45" t="str">
        <f>IF(F65=70,"ST70S002",IF(F65=80,"ST80S001",IF(F65=105,"ST105AS002")))</f>
        <v>ST80S001</v>
      </c>
      <c r="H88" s="207" t="s">
        <v>1002</v>
      </c>
      <c r="I88" s="46">
        <f>I87</f>
        <v>593.15</v>
      </c>
      <c r="J88" s="45">
        <v>1</v>
      </c>
      <c r="K88" s="47">
        <f>VLOOKUP($G:$G,型材表!$B$5:$I$448,4,0)</f>
        <v>1.1679999999999999</v>
      </c>
      <c r="L88" s="46">
        <f t="shared" si="11"/>
        <v>0.69279919999999995</v>
      </c>
      <c r="M88" s="72">
        <f>VLOOKUP($G:$G,型材表!$B$5:$I$448,7,0)</f>
        <v>0</v>
      </c>
      <c r="N88" s="46">
        <f t="shared" si="12"/>
        <v>0</v>
      </c>
      <c r="O88" s="100">
        <f>VLOOKUP($G:$G,型材表!$B$5:$I$448,5,0)</f>
        <v>0.125</v>
      </c>
      <c r="P88" s="100" t="str">
        <f>VLOOKUP($G:$G,型材表!$B$5:$I$448,6,0)</f>
        <v>断桥隔热铝型材</v>
      </c>
      <c r="Q88" s="49"/>
      <c r="R88" s="50"/>
      <c r="S88" s="459"/>
      <c r="W88" s="264"/>
      <c r="X88" s="265"/>
      <c r="Y88" s="264"/>
      <c r="Z88" s="265"/>
      <c r="AA88" s="154"/>
      <c r="AB88" s="154"/>
      <c r="AC88" s="154"/>
      <c r="AD88" s="154"/>
      <c r="AE88" s="154"/>
      <c r="AF88" s="154"/>
      <c r="AG88" s="154"/>
      <c r="AH88" s="154"/>
    </row>
    <row r="89" spans="1:34" ht="15" customHeight="1" x14ac:dyDescent="0.15">
      <c r="A89" s="445">
        <v>10</v>
      </c>
      <c r="B89" s="534"/>
      <c r="C89" s="535"/>
      <c r="D89" s="536"/>
      <c r="E89" s="47" t="str">
        <f>VLOOKUP($G:$G,型材表!$B$5:$I$448,2,0)</f>
        <v>扇料</v>
      </c>
      <c r="F89" s="45" t="s">
        <v>917</v>
      </c>
      <c r="G89" s="207" t="str">
        <f>IF(F65=70,"ST70S002",IF(F65=80,"ST80S001",IF(F65=105,"ST105AS003")))</f>
        <v>ST80S001</v>
      </c>
      <c r="H89" s="207" t="s">
        <v>1001</v>
      </c>
      <c r="I89" s="208">
        <f>I88</f>
        <v>593.15</v>
      </c>
      <c r="J89" s="207">
        <v>1</v>
      </c>
      <c r="K89" s="47">
        <f>VLOOKUP($G:$G,型材表!$B$5:$I$448,4,0)</f>
        <v>1.1679999999999999</v>
      </c>
      <c r="L89" s="46">
        <f t="shared" ref="L89" si="19">I89*J89*K89/1000</f>
        <v>0.69279919999999995</v>
      </c>
      <c r="M89" s="72">
        <f>VLOOKUP($G:$G,型材表!$B$5:$I$448,7,0)</f>
        <v>0</v>
      </c>
      <c r="N89" s="46">
        <f t="shared" ref="N89" si="20">M89*L89</f>
        <v>0</v>
      </c>
      <c r="O89" s="100">
        <f>VLOOKUP($G:$G,型材表!$B$5:$I$448,5,0)</f>
        <v>0.125</v>
      </c>
      <c r="P89" s="100" t="str">
        <f>VLOOKUP($G:$G,型材表!$B$5:$I$448,6,0)</f>
        <v>断桥隔热铝型材</v>
      </c>
      <c r="Q89" s="210"/>
      <c r="R89" s="50"/>
      <c r="S89" s="459"/>
      <c r="W89" s="264"/>
      <c r="X89" s="265"/>
      <c r="Y89" s="264"/>
      <c r="Z89" s="265"/>
      <c r="AA89" s="154"/>
      <c r="AB89" s="154"/>
      <c r="AC89" s="154"/>
      <c r="AD89" s="154"/>
      <c r="AE89" s="154"/>
      <c r="AF89" s="154"/>
      <c r="AG89" s="154"/>
      <c r="AH89" s="154"/>
    </row>
    <row r="90" spans="1:34" ht="15" customHeight="1" x14ac:dyDescent="0.15">
      <c r="A90" s="445">
        <v>11</v>
      </c>
      <c r="B90" s="537"/>
      <c r="C90" s="538"/>
      <c r="D90" s="539"/>
      <c r="E90" s="47"/>
      <c r="F90" s="45"/>
      <c r="G90" s="45"/>
      <c r="H90" s="207"/>
      <c r="I90" s="46"/>
      <c r="J90" s="45"/>
      <c r="K90" s="47"/>
      <c r="L90" s="46"/>
      <c r="M90" s="72"/>
      <c r="N90" s="46"/>
      <c r="O90" s="100"/>
      <c r="P90" s="100"/>
      <c r="Q90" s="49"/>
      <c r="R90" s="50"/>
      <c r="S90" s="459"/>
      <c r="W90" s="264"/>
      <c r="X90" s="265"/>
      <c r="Y90" s="264"/>
      <c r="Z90" s="265"/>
      <c r="AA90" s="154"/>
      <c r="AB90" s="154"/>
      <c r="AC90" s="154"/>
      <c r="AD90" s="154"/>
      <c r="AE90" s="154"/>
      <c r="AF90" s="154"/>
      <c r="AG90" s="154"/>
      <c r="AH90" s="154"/>
    </row>
    <row r="91" spans="1:34" ht="15" customHeight="1" x14ac:dyDescent="0.15">
      <c r="A91" s="445">
        <v>12</v>
      </c>
      <c r="B91" s="531" t="s">
        <v>44</v>
      </c>
      <c r="C91" s="532"/>
      <c r="D91" s="533"/>
      <c r="E91" s="47" t="str">
        <f>VLOOKUP($G:$G,型材表!$B$5:$I$448,2,0)</f>
        <v>勾企盖板</v>
      </c>
      <c r="F91" s="51"/>
      <c r="G91" s="45" t="str">
        <f>IF(F65=70,"ST70F001",IF(F65=80,"ST80F001",IF(F65=105,"ST105AF002")))</f>
        <v>ST80F001</v>
      </c>
      <c r="H91" s="207" t="s">
        <v>1077</v>
      </c>
      <c r="I91" s="52">
        <f>I86</f>
        <v>1024</v>
      </c>
      <c r="J91" s="45">
        <v>2</v>
      </c>
      <c r="K91" s="47">
        <f>VLOOKUP($G:$G,型材表!$B$5:$I$448,4,0)</f>
        <v>0.34</v>
      </c>
      <c r="L91" s="46">
        <f t="shared" ref="L91:L95" si="21">I91*J91*K91/1000</f>
        <v>0.69632000000000005</v>
      </c>
      <c r="M91" s="72">
        <f>VLOOKUP($G:$G,型材表!$B$5:$I$448,7,0)</f>
        <v>0</v>
      </c>
      <c r="N91" s="46">
        <f t="shared" ref="N91:N95" si="22">M91*L91</f>
        <v>0</v>
      </c>
      <c r="O91" s="100">
        <f>VLOOKUP($G:$G,型材表!$B$5:$I$448,5,0)</f>
        <v>0.125</v>
      </c>
      <c r="P91" s="100" t="str">
        <f>VLOOKUP($G:$G,型材表!$B$5:$I$448,6,0)</f>
        <v>非断桥隔热铝型材</v>
      </c>
      <c r="Q91" s="49"/>
      <c r="R91" s="50"/>
      <c r="S91" s="459"/>
      <c r="W91" s="264"/>
      <c r="X91" s="265"/>
      <c r="Y91" s="264"/>
      <c r="Z91" s="265"/>
      <c r="AA91" s="154"/>
      <c r="AB91" s="154"/>
      <c r="AC91" s="154"/>
      <c r="AD91" s="154"/>
      <c r="AE91" s="154"/>
      <c r="AF91" s="154"/>
      <c r="AG91" s="154"/>
      <c r="AH91" s="154"/>
    </row>
    <row r="92" spans="1:34" ht="15" customHeight="1" x14ac:dyDescent="0.15">
      <c r="A92" s="445">
        <v>13</v>
      </c>
      <c r="B92" s="534"/>
      <c r="C92" s="535"/>
      <c r="D92" s="536"/>
      <c r="E92" s="47" t="str">
        <f>VLOOKUP($G:$G,型材表!$B$5:$I$448,2,0)</f>
        <v>压线</v>
      </c>
      <c r="F92" s="213" t="s">
        <v>1097</v>
      </c>
      <c r="G92" s="207" t="str">
        <f>IF(F65=70,"SN55Y001",IF(F65=80,"ST80Y001",IF(F65=105,"ST105AY001")))</f>
        <v>ST80Y001</v>
      </c>
      <c r="H92" s="207" t="s">
        <v>1100</v>
      </c>
      <c r="I92" s="214">
        <f>IF(F65=70,L70-U92,IF(F65=80,L70-W92,IF(F65=105,L70-Y92)))</f>
        <v>347</v>
      </c>
      <c r="J92" s="207">
        <v>2</v>
      </c>
      <c r="K92" s="47">
        <f>VLOOKUP($G:$G,型材表!$B$5:$I$448,4,0)</f>
        <v>0.23100000000000001</v>
      </c>
      <c r="L92" s="46">
        <f t="shared" ref="L92" si="23">I92*J92*K92/1000</f>
        <v>0.16031400000000001</v>
      </c>
      <c r="M92" s="72">
        <f>VLOOKUP($G:$G,型材表!$B$5:$I$448,7,0)</f>
        <v>0</v>
      </c>
      <c r="N92" s="46">
        <f t="shared" ref="N92" si="24">M92*L92</f>
        <v>0</v>
      </c>
      <c r="O92" s="100">
        <f>VLOOKUP($G:$G,型材表!$B$5:$I$448,5,0)</f>
        <v>0.125</v>
      </c>
      <c r="P92" s="100" t="str">
        <f>VLOOKUP($G:$G,型材表!$B$5:$I$448,6,0)</f>
        <v>非断桥隔热铝型材</v>
      </c>
      <c r="Q92" s="210"/>
      <c r="R92" s="50"/>
      <c r="S92" s="459"/>
      <c r="T92" s="374" t="s">
        <v>1121</v>
      </c>
      <c r="U92" s="259">
        <f>37.5+23</f>
        <v>60.5</v>
      </c>
      <c r="W92" s="264">
        <f>21.5+31.5</f>
        <v>53</v>
      </c>
      <c r="X92" s="265"/>
      <c r="Y92" s="264">
        <f>24</f>
        <v>24</v>
      </c>
      <c r="Z92" s="265"/>
      <c r="AA92" s="154"/>
      <c r="AB92" s="154"/>
      <c r="AC92" s="154"/>
      <c r="AD92" s="154"/>
      <c r="AE92" s="154"/>
      <c r="AF92" s="154"/>
      <c r="AG92" s="154"/>
      <c r="AH92" s="154"/>
    </row>
    <row r="93" spans="1:34" ht="15" customHeight="1" x14ac:dyDescent="0.15">
      <c r="A93" s="445">
        <v>14</v>
      </c>
      <c r="B93" s="534"/>
      <c r="C93" s="535"/>
      <c r="D93" s="536"/>
      <c r="E93" s="47" t="str">
        <f>VLOOKUP($G:$G,型材表!$B$5:$I$448,2,0)</f>
        <v>压线</v>
      </c>
      <c r="F93" s="213" t="s">
        <v>1098</v>
      </c>
      <c r="G93" s="207" t="str">
        <f>G92</f>
        <v>ST80Y001</v>
      </c>
      <c r="H93" s="207" t="s">
        <v>1099</v>
      </c>
      <c r="I93" s="214">
        <f>IF(F65=70,L68-U93,IF(F65=80,L68-W93,IF(F65=105,L68-Y93)))</f>
        <v>1157</v>
      </c>
      <c r="J93" s="207">
        <v>2</v>
      </c>
      <c r="K93" s="47">
        <f>VLOOKUP($G:$G,型材表!$B$5:$I$448,4,0)</f>
        <v>0.23100000000000001</v>
      </c>
      <c r="L93" s="46">
        <f t="shared" ref="L93" si="25">I93*J93*K93/1000</f>
        <v>0.53453399999999995</v>
      </c>
      <c r="M93" s="72">
        <f>VLOOKUP($G:$G,型材表!$B$5:$I$448,7,0)</f>
        <v>0</v>
      </c>
      <c r="N93" s="46">
        <f t="shared" ref="N93" si="26">M93*L93</f>
        <v>0</v>
      </c>
      <c r="O93" s="100">
        <f>VLOOKUP($G:$G,型材表!$B$5:$I$448,5,0)</f>
        <v>0.125</v>
      </c>
      <c r="P93" s="100" t="str">
        <f>VLOOKUP($G:$G,型材表!$B$5:$I$448,6,0)</f>
        <v>非断桥隔热铝型材</v>
      </c>
      <c r="Q93" s="210"/>
      <c r="R93" s="50"/>
      <c r="S93" s="459"/>
      <c r="T93" s="374" t="s">
        <v>1122</v>
      </c>
      <c r="U93" s="259">
        <f>23*2</f>
        <v>46</v>
      </c>
      <c r="W93" s="264">
        <f>21.5*2</f>
        <v>43</v>
      </c>
      <c r="X93" s="265"/>
      <c r="Y93" s="264">
        <f>24*2</f>
        <v>48</v>
      </c>
      <c r="Z93" s="265"/>
      <c r="AA93" s="154"/>
      <c r="AB93" s="154"/>
      <c r="AC93" s="154"/>
      <c r="AD93" s="154"/>
      <c r="AE93" s="154"/>
      <c r="AF93" s="154"/>
      <c r="AG93" s="154"/>
      <c r="AH93" s="154"/>
    </row>
    <row r="94" spans="1:34" ht="15" customHeight="1" x14ac:dyDescent="0.15">
      <c r="A94" s="445">
        <v>15</v>
      </c>
      <c r="B94" s="534"/>
      <c r="C94" s="535"/>
      <c r="D94" s="536"/>
      <c r="E94" s="47" t="str">
        <f>VLOOKUP($G:$G,型材表!$B$5:$I$448,2,0)</f>
        <v>挡水板</v>
      </c>
      <c r="F94" s="213"/>
      <c r="G94" s="207" t="str">
        <f>IF(F65=70,"ST70F002",IF(F65=80,"ST80F002",0))</f>
        <v>ST80F002</v>
      </c>
      <c r="H94" s="207" t="s">
        <v>1091</v>
      </c>
      <c r="I94" s="214">
        <f>IF(F65=105,0,I81)</f>
        <v>1200</v>
      </c>
      <c r="J94" s="207">
        <v>1</v>
      </c>
      <c r="K94" s="47">
        <f>VLOOKUP($G:$G,型材表!$B$5:$I$448,4,0)</f>
        <v>0.30199999999999999</v>
      </c>
      <c r="L94" s="46">
        <f t="shared" ref="L94" si="27">I94*J94*K94/1000</f>
        <v>0.3624</v>
      </c>
      <c r="M94" s="72">
        <f>VLOOKUP($G:$G,型材表!$B$5:$I$448,7,0)</f>
        <v>0</v>
      </c>
      <c r="N94" s="46">
        <f t="shared" ref="N94" si="28">M94*L94</f>
        <v>0</v>
      </c>
      <c r="O94" s="100">
        <f>VLOOKUP($G:$G,型材表!$B$5:$I$448,5,0)</f>
        <v>0.125</v>
      </c>
      <c r="P94" s="100" t="str">
        <f>VLOOKUP($G:$G,型材表!$B$5:$I$448,6,0)</f>
        <v>非断桥隔热铝型材</v>
      </c>
      <c r="Q94" s="210"/>
      <c r="R94" s="50"/>
      <c r="S94" s="459"/>
      <c r="W94" s="264"/>
      <c r="X94" s="265"/>
      <c r="Y94" s="264"/>
      <c r="Z94" s="265"/>
      <c r="AA94" s="154"/>
      <c r="AB94" s="154"/>
      <c r="AC94" s="154"/>
      <c r="AD94" s="154"/>
      <c r="AE94" s="154"/>
      <c r="AF94" s="154"/>
      <c r="AG94" s="154"/>
      <c r="AH94" s="154"/>
    </row>
    <row r="95" spans="1:34" ht="15" customHeight="1" x14ac:dyDescent="0.15">
      <c r="A95" s="445">
        <v>16</v>
      </c>
      <c r="B95" s="534"/>
      <c r="C95" s="535"/>
      <c r="D95" s="536"/>
      <c r="E95" s="47" t="str">
        <f>VLOOKUP($G:$G,型材表!$B$5:$I$448,2,0)</f>
        <v>角码</v>
      </c>
      <c r="F95" s="51" t="s">
        <v>446</v>
      </c>
      <c r="G95" s="45" t="str">
        <f>IF(F65=70,"SW50F002",IF(F65=80,"ST80F003",0))</f>
        <v>ST80F003</v>
      </c>
      <c r="H95" s="207" t="s">
        <v>1006</v>
      </c>
      <c r="I95" s="52">
        <f>IF(F65=70,U95,IF(F65=80,W95,0))</f>
        <v>41.6</v>
      </c>
      <c r="J95" s="45">
        <v>4</v>
      </c>
      <c r="K95" s="47">
        <f>VLOOKUP($G:$G,型材表!$B$5:$I$448,4,0)</f>
        <v>1.5680000000000001</v>
      </c>
      <c r="L95" s="46">
        <f t="shared" si="21"/>
        <v>0.26091520000000001</v>
      </c>
      <c r="M95" s="72">
        <f>VLOOKUP($G:$G,型材表!$B$5:$I$448,7,0)</f>
        <v>0</v>
      </c>
      <c r="N95" s="46">
        <f t="shared" si="22"/>
        <v>0</v>
      </c>
      <c r="O95" s="100">
        <f>VLOOKUP($G:$G,型材表!$B$5:$I$448,5,0)</f>
        <v>0.125</v>
      </c>
      <c r="P95" s="100" t="str">
        <f>VLOOKUP($G:$G,型材表!$B$5:$I$448,6,0)</f>
        <v>阳极氧化铝型材</v>
      </c>
      <c r="Q95" s="49"/>
      <c r="R95" s="50"/>
      <c r="S95" s="459"/>
      <c r="T95" s="374" t="s">
        <v>1110</v>
      </c>
      <c r="U95" s="259">
        <f>33.8-1+21.8-1</f>
        <v>53.599999999999994</v>
      </c>
      <c r="W95" s="264">
        <f>26.1-1+17.5-1</f>
        <v>41.6</v>
      </c>
      <c r="X95" s="265"/>
      <c r="Y95" s="264"/>
      <c r="Z95" s="265"/>
      <c r="AA95" s="154"/>
      <c r="AB95" s="154"/>
      <c r="AC95" s="154"/>
      <c r="AD95" s="154"/>
      <c r="AE95" s="154"/>
      <c r="AF95" s="154"/>
      <c r="AG95" s="154"/>
      <c r="AH95" s="154"/>
    </row>
    <row r="96" spans="1:34" ht="15" customHeight="1" x14ac:dyDescent="0.15">
      <c r="A96" s="445">
        <v>17</v>
      </c>
      <c r="B96" s="534"/>
      <c r="C96" s="535"/>
      <c r="D96" s="536"/>
      <c r="E96" s="47" t="str">
        <f>VLOOKUP($G:$G,型材表!$B$5:$I$448,2,0)</f>
        <v>角码</v>
      </c>
      <c r="F96" s="213" t="s">
        <v>818</v>
      </c>
      <c r="G96" s="207" t="str">
        <f>IF(F65=80,"ST80F003",0)</f>
        <v>ST80F003</v>
      </c>
      <c r="H96" s="207" t="s">
        <v>995</v>
      </c>
      <c r="I96" s="214">
        <f>IF(F65=80,W96,0)</f>
        <v>14.2</v>
      </c>
      <c r="J96" s="207">
        <v>8</v>
      </c>
      <c r="K96" s="47">
        <f>VLOOKUP($G:$G,型材表!$B$5:$I$448,4,0)</f>
        <v>1.5680000000000001</v>
      </c>
      <c r="L96" s="46">
        <f t="shared" ref="L96" si="29">I96*J96*K96/1000</f>
        <v>0.1781248</v>
      </c>
      <c r="M96" s="72">
        <f>VLOOKUP($G:$G,型材表!$B$5:$I$448,7,0)</f>
        <v>0</v>
      </c>
      <c r="N96" s="46">
        <f t="shared" ref="N96" si="30">M96*L96</f>
        <v>0</v>
      </c>
      <c r="O96" s="100">
        <f>VLOOKUP($G:$G,型材表!$B$5:$I$448,5,0)</f>
        <v>0.125</v>
      </c>
      <c r="P96" s="100" t="str">
        <f>VLOOKUP($G:$G,型材表!$B$5:$I$448,6,0)</f>
        <v>阳极氧化铝型材</v>
      </c>
      <c r="Q96" s="210"/>
      <c r="R96" s="50"/>
      <c r="S96" s="459"/>
      <c r="T96" s="374" t="s">
        <v>995</v>
      </c>
      <c r="W96" s="264">
        <f>8.1-1+8.1-1</f>
        <v>14.2</v>
      </c>
      <c r="X96" s="265"/>
      <c r="Y96" s="264"/>
      <c r="Z96" s="265"/>
      <c r="AA96" s="154"/>
      <c r="AB96" s="154"/>
      <c r="AC96" s="154"/>
      <c r="AD96" s="154"/>
      <c r="AE96" s="154"/>
      <c r="AF96" s="154"/>
      <c r="AG96" s="154"/>
      <c r="AH96" s="154"/>
    </row>
    <row r="97" spans="1:34" ht="15" customHeight="1" x14ac:dyDescent="0.15">
      <c r="A97" s="445">
        <v>18</v>
      </c>
      <c r="B97" s="537"/>
      <c r="C97" s="538"/>
      <c r="D97" s="539"/>
      <c r="E97" s="47" t="str">
        <f>VLOOKUP($G:$G,型材表!$B$5:$I$448,2,0)</f>
        <v>角码</v>
      </c>
      <c r="F97" s="51" t="s">
        <v>693</v>
      </c>
      <c r="G97" s="45" t="str">
        <f>IF(F65=70,"SW50F002",IF(F65=80,"ST80F003",0))</f>
        <v>ST80F003</v>
      </c>
      <c r="H97" s="207" t="s">
        <v>996</v>
      </c>
      <c r="I97" s="52">
        <f>IF(F65=70,U97,IF(F65=80,W97,0))</f>
        <v>41.6</v>
      </c>
      <c r="J97" s="45">
        <v>4</v>
      </c>
      <c r="K97" s="47">
        <f>VLOOKUP($G:$G,型材表!$B$5:$I$448,4,0)</f>
        <v>1.5680000000000001</v>
      </c>
      <c r="L97" s="46">
        <f t="shared" ref="L97" si="31">I97*J97*K97/1000</f>
        <v>0.26091520000000001</v>
      </c>
      <c r="M97" s="72">
        <f>VLOOKUP($G:$G,型材表!$B$5:$I$448,7,0)</f>
        <v>0</v>
      </c>
      <c r="N97" s="46">
        <f t="shared" ref="N97" si="32">M97*L97</f>
        <v>0</v>
      </c>
      <c r="O97" s="100">
        <f>VLOOKUP($G:$G,型材表!$B$5:$I$448,5,0)</f>
        <v>0.125</v>
      </c>
      <c r="P97" s="100" t="str">
        <f>VLOOKUP($G:$G,型材表!$B$5:$I$448,6,0)</f>
        <v>阳极氧化铝型材</v>
      </c>
      <c r="Q97" s="49"/>
      <c r="R97" s="50"/>
      <c r="S97" s="459"/>
      <c r="T97" s="374" t="s">
        <v>996</v>
      </c>
      <c r="U97" s="259">
        <f>10.3-1+24.6-1</f>
        <v>32.900000000000006</v>
      </c>
      <c r="W97" s="264">
        <f>21.8-1+21.8-1</f>
        <v>41.6</v>
      </c>
      <c r="X97" s="265"/>
      <c r="Y97" s="264"/>
      <c r="Z97" s="265"/>
      <c r="AA97" s="154"/>
      <c r="AB97" s="154"/>
      <c r="AC97" s="154"/>
      <c r="AD97" s="154"/>
      <c r="AE97" s="154"/>
      <c r="AF97" s="154"/>
      <c r="AG97" s="154"/>
      <c r="AH97" s="154"/>
    </row>
    <row r="98" spans="1:34" ht="15" customHeight="1" x14ac:dyDescent="0.15">
      <c r="A98" s="563" t="s">
        <v>877</v>
      </c>
      <c r="B98" s="563"/>
      <c r="C98" s="564"/>
      <c r="D98" s="564"/>
      <c r="E98" s="563"/>
      <c r="F98" s="563"/>
      <c r="G98" s="563"/>
      <c r="H98" s="564"/>
      <c r="I98" s="563"/>
      <c r="J98" s="563"/>
      <c r="K98" s="563"/>
      <c r="L98" s="46">
        <f>SUMIF($P$80:$P$97,A98,$L$80:$L$97)</f>
        <v>19.834924799999996</v>
      </c>
      <c r="M98" s="58"/>
      <c r="N98" s="46"/>
      <c r="O98" s="59"/>
      <c r="P98" s="336"/>
      <c r="Q98" s="60"/>
      <c r="R98" s="50"/>
      <c r="S98" s="459"/>
      <c r="W98" s="264"/>
      <c r="X98" s="265"/>
      <c r="Y98" s="264"/>
      <c r="Z98" s="265"/>
      <c r="AA98" s="154"/>
      <c r="AB98" s="154"/>
      <c r="AC98" s="154"/>
      <c r="AD98" s="154"/>
      <c r="AE98" s="154"/>
      <c r="AF98" s="154"/>
      <c r="AG98" s="154"/>
      <c r="AH98" s="154"/>
    </row>
    <row r="99" spans="1:34" ht="15" customHeight="1" x14ac:dyDescent="0.15">
      <c r="A99" s="563" t="s">
        <v>879</v>
      </c>
      <c r="B99" s="563"/>
      <c r="C99" s="564"/>
      <c r="D99" s="564"/>
      <c r="E99" s="563"/>
      <c r="F99" s="563"/>
      <c r="G99" s="563"/>
      <c r="H99" s="564"/>
      <c r="I99" s="563"/>
      <c r="J99" s="563"/>
      <c r="K99" s="563"/>
      <c r="L99" s="46">
        <f>SUMIF($P$80:$P$97,A99,$L$80:$L$97)</f>
        <v>1.753568</v>
      </c>
      <c r="M99" s="58"/>
      <c r="N99" s="46"/>
      <c r="O99" s="59"/>
      <c r="P99" s="336"/>
      <c r="Q99" s="60"/>
      <c r="R99" s="50"/>
      <c r="S99" s="459"/>
      <c r="W99" s="264"/>
      <c r="X99" s="265"/>
      <c r="Y99" s="264"/>
      <c r="Z99" s="265"/>
      <c r="AA99" s="154"/>
      <c r="AB99" s="154"/>
      <c r="AC99" s="154"/>
      <c r="AD99" s="154"/>
      <c r="AE99" s="154"/>
      <c r="AF99" s="154"/>
      <c r="AG99" s="154"/>
      <c r="AH99" s="154"/>
    </row>
    <row r="100" spans="1:34" ht="15" customHeight="1" x14ac:dyDescent="0.15">
      <c r="A100" s="563" t="s">
        <v>880</v>
      </c>
      <c r="B100" s="563"/>
      <c r="C100" s="564"/>
      <c r="D100" s="564"/>
      <c r="E100" s="563"/>
      <c r="F100" s="563"/>
      <c r="G100" s="563"/>
      <c r="H100" s="564"/>
      <c r="I100" s="563"/>
      <c r="J100" s="563"/>
      <c r="K100" s="563"/>
      <c r="L100" s="46">
        <f>SUMIF($P$80:$P$97,A100,$L$80:$L$97)</f>
        <v>0.6999552</v>
      </c>
      <c r="M100" s="58"/>
      <c r="N100" s="46"/>
      <c r="O100" s="59"/>
      <c r="P100" s="336"/>
      <c r="Q100" s="60"/>
      <c r="R100" s="50"/>
      <c r="S100" s="459"/>
      <c r="W100" s="264"/>
      <c r="X100" s="265"/>
      <c r="Y100" s="264"/>
      <c r="Z100" s="265"/>
      <c r="AA100" s="154"/>
      <c r="AB100" s="154"/>
      <c r="AC100" s="154"/>
      <c r="AD100" s="154"/>
      <c r="AE100" s="154"/>
      <c r="AF100" s="154"/>
      <c r="AG100" s="154"/>
      <c r="AH100" s="154"/>
    </row>
    <row r="101" spans="1:34" x14ac:dyDescent="0.15">
      <c r="A101" s="61"/>
      <c r="B101" s="552"/>
      <c r="C101" s="557"/>
      <c r="D101" s="553"/>
      <c r="E101" s="552" t="s">
        <v>48</v>
      </c>
      <c r="F101" s="557"/>
      <c r="G101" s="557"/>
      <c r="H101" s="557"/>
      <c r="I101" s="557"/>
      <c r="J101" s="557"/>
      <c r="K101" s="553"/>
      <c r="L101" s="62">
        <f>SUM(L98:L100)</f>
        <v>22.288447999999999</v>
      </c>
      <c r="M101" s="63"/>
      <c r="N101" s="62">
        <f>SUM(N80:N97)</f>
        <v>0</v>
      </c>
      <c r="O101" s="63"/>
      <c r="P101" s="337"/>
      <c r="Q101" s="64"/>
      <c r="R101" s="64"/>
      <c r="S101" s="460"/>
      <c r="W101" s="264"/>
      <c r="X101" s="265"/>
      <c r="Y101" s="264"/>
      <c r="Z101" s="265"/>
      <c r="AA101" s="154"/>
      <c r="AB101" s="154"/>
      <c r="AC101" s="154"/>
      <c r="AD101" s="154"/>
      <c r="AE101" s="154"/>
      <c r="AF101" s="154"/>
      <c r="AG101" s="154"/>
      <c r="AH101" s="154"/>
    </row>
    <row r="102" spans="1:34" ht="24" x14ac:dyDescent="0.15">
      <c r="A102" s="65"/>
      <c r="B102" s="560" t="s">
        <v>49</v>
      </c>
      <c r="C102" s="561"/>
      <c r="D102" s="562"/>
      <c r="E102" s="565" t="s">
        <v>26</v>
      </c>
      <c r="F102" s="566"/>
      <c r="G102" s="66" t="s">
        <v>1093</v>
      </c>
      <c r="H102" s="351" t="s">
        <v>1094</v>
      </c>
      <c r="I102" s="66" t="s">
        <v>50</v>
      </c>
      <c r="J102" s="66" t="s">
        <v>51</v>
      </c>
      <c r="K102" s="67" t="s">
        <v>30</v>
      </c>
      <c r="L102" s="66" t="s">
        <v>52</v>
      </c>
      <c r="M102" s="68" t="s">
        <v>53</v>
      </c>
      <c r="N102" s="68" t="s">
        <v>34</v>
      </c>
      <c r="O102" s="69" t="s">
        <v>35</v>
      </c>
      <c r="P102" s="42"/>
      <c r="Q102" s="67"/>
      <c r="R102" s="67"/>
      <c r="S102" s="461"/>
      <c r="U102" s="270" t="s">
        <v>352</v>
      </c>
      <c r="V102" s="270" t="s">
        <v>353</v>
      </c>
      <c r="W102" s="271" t="s">
        <v>352</v>
      </c>
      <c r="X102" s="272" t="s">
        <v>353</v>
      </c>
      <c r="Y102" s="271" t="s">
        <v>352</v>
      </c>
      <c r="Z102" s="272" t="s">
        <v>353</v>
      </c>
      <c r="AA102" s="155"/>
      <c r="AB102" s="155"/>
      <c r="AC102" s="155"/>
      <c r="AD102" s="155"/>
      <c r="AE102" s="155"/>
      <c r="AF102" s="155"/>
      <c r="AG102" s="155"/>
      <c r="AH102" s="155"/>
    </row>
    <row r="103" spans="1:34" ht="17.25" customHeight="1" x14ac:dyDescent="0.15">
      <c r="A103" s="188">
        <v>1</v>
      </c>
      <c r="B103" s="545" t="s">
        <v>54</v>
      </c>
      <c r="C103" s="546"/>
      <c r="D103" s="547"/>
      <c r="E103" s="545" t="s">
        <v>55</v>
      </c>
      <c r="F103" s="547"/>
      <c r="G103" s="45" t="s">
        <v>1095</v>
      </c>
      <c r="H103" s="207" t="s">
        <v>1103</v>
      </c>
      <c r="I103" s="46">
        <f>IF(F65=70,L72-U103,IF(F65=80,L72-W103,IF(F65=105,L72-Y103)))</f>
        <v>474.55</v>
      </c>
      <c r="J103" s="70">
        <f>IF(F65=70,L69-V103,IF(F65=80,L69-X103,IF(F65=105,L69-Z103)))</f>
        <v>905.9</v>
      </c>
      <c r="K103" s="70">
        <v>2</v>
      </c>
      <c r="L103" s="46">
        <f>I103*J103*K103/1000000</f>
        <v>0.85978968999999994</v>
      </c>
      <c r="M103" s="46"/>
      <c r="N103" s="46">
        <f>M103*L103</f>
        <v>0</v>
      </c>
      <c r="O103" s="71"/>
      <c r="P103" s="71"/>
      <c r="Q103" s="72"/>
      <c r="R103" s="72"/>
      <c r="S103" s="462" t="s">
        <v>1610</v>
      </c>
      <c r="T103" s="374" t="s">
        <v>1613</v>
      </c>
      <c r="U103" s="371">
        <f>99.58+48.15/2</f>
        <v>123.655</v>
      </c>
      <c r="V103" s="371">
        <f>99.58+85</f>
        <v>184.57999999999998</v>
      </c>
      <c r="W103" s="372">
        <f>101.1+48.7/2</f>
        <v>125.44999999999999</v>
      </c>
      <c r="X103" s="373">
        <f>101.1+93</f>
        <v>194.1</v>
      </c>
      <c r="Y103" s="372">
        <f>82.2+50.9/2</f>
        <v>107.65</v>
      </c>
      <c r="Z103" s="373">
        <f>83.17+107.5</f>
        <v>190.67000000000002</v>
      </c>
      <c r="AA103" s="154"/>
      <c r="AB103" s="154"/>
      <c r="AC103" s="154"/>
      <c r="AD103" s="154"/>
      <c r="AE103" s="154"/>
      <c r="AF103" s="154"/>
      <c r="AG103" s="154"/>
      <c r="AH103" s="154"/>
    </row>
    <row r="104" spans="1:34" x14ac:dyDescent="0.15">
      <c r="A104" s="188">
        <v>2</v>
      </c>
      <c r="B104" s="545" t="s">
        <v>915</v>
      </c>
      <c r="C104" s="546"/>
      <c r="D104" s="547"/>
      <c r="E104" s="545" t="s">
        <v>135</v>
      </c>
      <c r="F104" s="547"/>
      <c r="G104" s="45" t="s">
        <v>1102</v>
      </c>
      <c r="H104" s="207" t="s">
        <v>1104</v>
      </c>
      <c r="I104" s="45">
        <f>IF(F65=70,L68-U104,IF(F65=80,L68-W104,IF(F65=105,L68-Y104)))</f>
        <v>1137</v>
      </c>
      <c r="J104" s="45">
        <f>IF(F65=70,L70-V104,IF(F65=80,L70-X104,IF(F65=105,L70-Z104)))</f>
        <v>327</v>
      </c>
      <c r="K104" s="70">
        <v>1</v>
      </c>
      <c r="L104" s="46">
        <f>I104*J104*K104/1000000</f>
        <v>0.37179899999999999</v>
      </c>
      <c r="M104" s="46"/>
      <c r="N104" s="46">
        <f>M104*L104</f>
        <v>0</v>
      </c>
      <c r="O104" s="71"/>
      <c r="P104" s="71"/>
      <c r="Q104" s="72"/>
      <c r="R104" s="72"/>
      <c r="S104" s="462" t="s">
        <v>1612</v>
      </c>
      <c r="T104" s="374" t="s">
        <v>1614</v>
      </c>
      <c r="U104" s="371">
        <f>35*2</f>
        <v>70</v>
      </c>
      <c r="V104" s="371">
        <f>49.5+35</f>
        <v>84.5</v>
      </c>
      <c r="W104" s="372">
        <f>31.5*2</f>
        <v>63</v>
      </c>
      <c r="X104" s="373">
        <f>41.5+31.5</f>
        <v>73</v>
      </c>
      <c r="Y104" s="372">
        <f>29*2</f>
        <v>58</v>
      </c>
      <c r="Z104" s="373">
        <f>5+29</f>
        <v>34</v>
      </c>
      <c r="AA104" s="154"/>
      <c r="AB104" s="154"/>
      <c r="AC104" s="154"/>
      <c r="AD104" s="154"/>
      <c r="AE104" s="156"/>
      <c r="AF104" s="156"/>
      <c r="AG104" s="156"/>
    </row>
    <row r="105" spans="1:34" x14ac:dyDescent="0.15">
      <c r="A105" s="188"/>
      <c r="B105" s="545"/>
      <c r="C105" s="546"/>
      <c r="D105" s="547"/>
      <c r="E105" s="545"/>
      <c r="F105" s="547"/>
      <c r="G105" s="45"/>
      <c r="H105" s="207"/>
      <c r="I105" s="46"/>
      <c r="J105" s="188"/>
      <c r="K105" s="70"/>
      <c r="L105" s="46"/>
      <c r="M105" s="46"/>
      <c r="N105" s="46"/>
      <c r="O105" s="48"/>
      <c r="P105" s="48"/>
      <c r="Q105" s="73"/>
      <c r="R105" s="73"/>
      <c r="S105" s="463"/>
      <c r="W105" s="264"/>
      <c r="X105" s="265"/>
      <c r="AA105" s="156"/>
      <c r="AB105" s="156"/>
      <c r="AC105" s="156"/>
      <c r="AD105" s="156"/>
      <c r="AE105" s="156"/>
      <c r="AF105" s="156"/>
      <c r="AG105" s="156"/>
    </row>
    <row r="106" spans="1:34" x14ac:dyDescent="0.15">
      <c r="A106" s="74"/>
      <c r="B106" s="552"/>
      <c r="C106" s="557"/>
      <c r="D106" s="553"/>
      <c r="E106" s="554" t="s">
        <v>56</v>
      </c>
      <c r="F106" s="554"/>
      <c r="G106" s="554"/>
      <c r="H106" s="579"/>
      <c r="I106" s="570"/>
      <c r="J106" s="570"/>
      <c r="K106" s="554"/>
      <c r="L106" s="62">
        <f>SUM(L103:L105)</f>
        <v>1.2315886899999999</v>
      </c>
      <c r="M106" s="186"/>
      <c r="N106" s="62">
        <f>SUM(N103:N105)</f>
        <v>0</v>
      </c>
      <c r="O106" s="63" t="s">
        <v>57</v>
      </c>
      <c r="P106" s="337"/>
      <c r="Q106" s="64"/>
      <c r="R106" s="64"/>
      <c r="S106" s="460"/>
    </row>
    <row r="107" spans="1:34" ht="24" x14ac:dyDescent="0.15">
      <c r="A107" s="65"/>
      <c r="B107" s="560" t="s">
        <v>58</v>
      </c>
      <c r="C107" s="561"/>
      <c r="D107" s="562"/>
      <c r="E107" s="565" t="s">
        <v>26</v>
      </c>
      <c r="F107" s="566"/>
      <c r="G107" s="66" t="s">
        <v>59</v>
      </c>
      <c r="H107" s="351"/>
      <c r="I107" s="66" t="s">
        <v>60</v>
      </c>
      <c r="J107" s="66" t="s">
        <v>6</v>
      </c>
      <c r="K107" s="67" t="s">
        <v>61</v>
      </c>
      <c r="L107" s="66" t="s">
        <v>30</v>
      </c>
      <c r="M107" s="68" t="s">
        <v>62</v>
      </c>
      <c r="N107" s="68" t="s">
        <v>34</v>
      </c>
      <c r="O107" s="69" t="s">
        <v>57</v>
      </c>
      <c r="P107" s="42"/>
      <c r="Q107" s="67"/>
      <c r="R107" s="67"/>
      <c r="S107" s="461"/>
    </row>
    <row r="108" spans="1:34" ht="25.5" customHeight="1" x14ac:dyDescent="0.15">
      <c r="A108" s="188">
        <v>1</v>
      </c>
      <c r="B108" s="545"/>
      <c r="C108" s="546"/>
      <c r="D108" s="547"/>
      <c r="E108" s="545" t="s">
        <v>814</v>
      </c>
      <c r="F108" s="547"/>
      <c r="G108" s="45"/>
      <c r="H108" s="207"/>
      <c r="I108" s="45"/>
      <c r="J108" s="46" t="str">
        <f>VLOOKUP($E:$E,材料单价表!$B$3:$G$42,4,0)</f>
        <v>套</v>
      </c>
      <c r="K108" s="72"/>
      <c r="L108" s="46">
        <v>1</v>
      </c>
      <c r="M108" s="46">
        <f>VLOOKUP($E:$E,材料单价表!$B$3:$G$42,5,0)</f>
        <v>0</v>
      </c>
      <c r="N108" s="46">
        <f t="shared" ref="N108" si="33">M108*L108</f>
        <v>0</v>
      </c>
      <c r="O108" s="48"/>
      <c r="P108" s="48"/>
      <c r="Q108" s="73"/>
      <c r="R108" s="73"/>
      <c r="S108" s="463"/>
    </row>
    <row r="109" spans="1:34" x14ac:dyDescent="0.15">
      <c r="A109" s="74"/>
      <c r="B109" s="552"/>
      <c r="C109" s="557"/>
      <c r="D109" s="553"/>
      <c r="E109" s="554" t="s">
        <v>64</v>
      </c>
      <c r="F109" s="554"/>
      <c r="G109" s="554"/>
      <c r="H109" s="579"/>
      <c r="I109" s="570"/>
      <c r="J109" s="570"/>
      <c r="K109" s="554"/>
      <c r="L109" s="62">
        <f>L108</f>
        <v>1</v>
      </c>
      <c r="M109" s="186"/>
      <c r="N109" s="62">
        <f>SUM(N108:N108)</f>
        <v>0</v>
      </c>
      <c r="O109" s="63" t="s">
        <v>57</v>
      </c>
      <c r="P109" s="337"/>
      <c r="Q109" s="64"/>
      <c r="R109" s="64"/>
      <c r="S109" s="460"/>
    </row>
    <row r="110" spans="1:34" ht="24" x14ac:dyDescent="0.15">
      <c r="A110" s="65"/>
      <c r="B110" s="560" t="s">
        <v>65</v>
      </c>
      <c r="C110" s="561"/>
      <c r="D110" s="562"/>
      <c r="E110" s="565" t="s">
        <v>26</v>
      </c>
      <c r="F110" s="566"/>
      <c r="G110" s="66" t="s">
        <v>59</v>
      </c>
      <c r="H110" s="351"/>
      <c r="I110" s="66" t="s">
        <v>60</v>
      </c>
      <c r="J110" s="66" t="s">
        <v>6</v>
      </c>
      <c r="K110" s="67" t="s">
        <v>61</v>
      </c>
      <c r="L110" s="66" t="s">
        <v>30</v>
      </c>
      <c r="M110" s="68" t="s">
        <v>62</v>
      </c>
      <c r="N110" s="68" t="s">
        <v>34</v>
      </c>
      <c r="O110" s="69" t="s">
        <v>57</v>
      </c>
      <c r="P110" s="42"/>
      <c r="Q110" s="67"/>
      <c r="R110" s="67"/>
      <c r="S110" s="461"/>
    </row>
    <row r="111" spans="1:34" ht="13.5" customHeight="1" x14ac:dyDescent="0.15">
      <c r="A111" s="76">
        <v>1</v>
      </c>
      <c r="B111" s="545"/>
      <c r="C111" s="546"/>
      <c r="D111" s="547"/>
      <c r="E111" s="558" t="s">
        <v>66</v>
      </c>
      <c r="F111" s="559"/>
      <c r="G111" s="78"/>
      <c r="H111" s="352"/>
      <c r="I111" s="77"/>
      <c r="J111" s="46" t="str">
        <f>VLOOKUP($E:$E,材料单价表!$B$3:$G$42,4,0)</f>
        <v>m</v>
      </c>
      <c r="K111" s="46"/>
      <c r="L111" s="80">
        <f>L78</f>
        <v>5.8</v>
      </c>
      <c r="M111" s="46">
        <f>VLOOKUP($E:$E,材料单价表!$B$3:$G$42,5,0)</f>
        <v>0</v>
      </c>
      <c r="N111" s="46">
        <f>M111*L111</f>
        <v>0</v>
      </c>
      <c r="O111" s="48"/>
      <c r="P111" s="59"/>
      <c r="Q111" s="81"/>
      <c r="R111" s="79"/>
      <c r="S111" s="464"/>
    </row>
    <row r="112" spans="1:34" ht="15.75" customHeight="1" x14ac:dyDescent="0.15">
      <c r="A112" s="76">
        <v>2</v>
      </c>
      <c r="B112" s="545"/>
      <c r="C112" s="546"/>
      <c r="D112" s="547"/>
      <c r="E112" s="558" t="s">
        <v>68</v>
      </c>
      <c r="F112" s="559"/>
      <c r="G112" s="78" t="s">
        <v>67</v>
      </c>
      <c r="H112" s="352"/>
      <c r="I112" s="77"/>
      <c r="J112" s="46" t="str">
        <f>VLOOKUP($E:$E,材料单价表!$B$3:$G$42,4,0)</f>
        <v>m</v>
      </c>
      <c r="K112" s="46"/>
      <c r="L112" s="80">
        <f>(I85*J85+I86*J86+I87*J87+I88*J88+I89*J89)/1000*2</f>
        <v>12.937199999999999</v>
      </c>
      <c r="M112" s="46">
        <f>VLOOKUP($E:$E,材料单价表!$B$3:$G$42,5,0)</f>
        <v>0</v>
      </c>
      <c r="N112" s="46">
        <f t="shared" ref="N112:N117" si="34">M112*L112</f>
        <v>0</v>
      </c>
      <c r="O112" s="48"/>
      <c r="P112" s="59"/>
      <c r="Q112" s="81"/>
      <c r="R112" s="79"/>
      <c r="S112" s="464"/>
      <c r="U112" s="104"/>
      <c r="V112" s="104"/>
    </row>
    <row r="113" spans="1:22" ht="13.5" customHeight="1" x14ac:dyDescent="0.15">
      <c r="A113" s="76">
        <v>3</v>
      </c>
      <c r="B113" s="545"/>
      <c r="C113" s="546"/>
      <c r="D113" s="547"/>
      <c r="E113" s="558" t="s">
        <v>68</v>
      </c>
      <c r="F113" s="559"/>
      <c r="G113" s="78" t="s">
        <v>69</v>
      </c>
      <c r="H113" s="352"/>
      <c r="I113" s="77"/>
      <c r="J113" s="46" t="str">
        <f>VLOOKUP($E:$E,材料单价表!$B$3:$G$42,4,0)</f>
        <v>m</v>
      </c>
      <c r="K113" s="46"/>
      <c r="L113" s="80">
        <f>L78</f>
        <v>5.8</v>
      </c>
      <c r="M113" s="46">
        <f>VLOOKUP($E:$E,材料单价表!$B$3:$G$42,5,0)</f>
        <v>0</v>
      </c>
      <c r="N113" s="46">
        <f t="shared" si="34"/>
        <v>0</v>
      </c>
      <c r="O113" s="48"/>
      <c r="P113" s="59"/>
      <c r="Q113" s="81"/>
      <c r="R113" s="79"/>
      <c r="S113" s="464"/>
      <c r="U113" s="104"/>
      <c r="V113" s="104"/>
    </row>
    <row r="114" spans="1:22" ht="13.5" customHeight="1" x14ac:dyDescent="0.15">
      <c r="A114" s="76">
        <v>4</v>
      </c>
      <c r="B114" s="545"/>
      <c r="C114" s="546"/>
      <c r="D114" s="547"/>
      <c r="E114" s="558" t="s">
        <v>68</v>
      </c>
      <c r="F114" s="559"/>
      <c r="G114" s="78" t="s">
        <v>70</v>
      </c>
      <c r="H114" s="352"/>
      <c r="I114" s="77"/>
      <c r="J114" s="46" t="str">
        <f>VLOOKUP($E:$E,材料单价表!$B$3:$G$42,4,0)</f>
        <v>m</v>
      </c>
      <c r="K114" s="46"/>
      <c r="L114" s="80">
        <f>L78</f>
        <v>5.8</v>
      </c>
      <c r="M114" s="46">
        <f>VLOOKUP($E:$E,材料单价表!$B$3:$G$42,5,0)</f>
        <v>0</v>
      </c>
      <c r="N114" s="46">
        <f t="shared" si="34"/>
        <v>0</v>
      </c>
      <c r="O114" s="48"/>
      <c r="P114" s="59"/>
      <c r="Q114" s="81"/>
      <c r="R114" s="79"/>
      <c r="S114" s="464"/>
      <c r="U114" s="104"/>
      <c r="V114" s="104"/>
    </row>
    <row r="115" spans="1:22" ht="13.5" customHeight="1" x14ac:dyDescent="0.15">
      <c r="A115" s="76">
        <v>5</v>
      </c>
      <c r="B115" s="545"/>
      <c r="C115" s="546"/>
      <c r="D115" s="547"/>
      <c r="E115" s="558" t="s">
        <v>71</v>
      </c>
      <c r="F115" s="559"/>
      <c r="G115" s="78"/>
      <c r="H115" s="352"/>
      <c r="I115" s="77"/>
      <c r="J115" s="46" t="str">
        <f>VLOOKUP($E:$E,材料单价表!$B$3:$G$42,4,0)</f>
        <v>个</v>
      </c>
      <c r="K115" s="79"/>
      <c r="L115" s="80">
        <f>J95+J96+J97</f>
        <v>16</v>
      </c>
      <c r="M115" s="46">
        <f>VLOOKUP($E:$E,材料单价表!$B$3:$G$42,5,0)</f>
        <v>0</v>
      </c>
      <c r="N115" s="46">
        <f t="shared" si="34"/>
        <v>0</v>
      </c>
      <c r="O115" s="48"/>
      <c r="P115" s="59"/>
      <c r="Q115" s="81"/>
      <c r="R115" s="79"/>
      <c r="S115" s="464"/>
    </row>
    <row r="116" spans="1:22" ht="13.5" customHeight="1" x14ac:dyDescent="0.15">
      <c r="A116" s="76">
        <v>6</v>
      </c>
      <c r="B116" s="545"/>
      <c r="C116" s="546"/>
      <c r="D116" s="547"/>
      <c r="E116" s="558" t="s">
        <v>809</v>
      </c>
      <c r="F116" s="559"/>
      <c r="G116" s="78"/>
      <c r="H116" s="352"/>
      <c r="I116" s="77"/>
      <c r="J116" s="46" t="str">
        <f>VLOOKUP($E:$E,材料单价表!$B$3:$G$42,4,0)</f>
        <v>m</v>
      </c>
      <c r="K116" s="79"/>
      <c r="L116" s="80">
        <f>(I85*J85+I86*J86+I87*J87+I88*J88+I89*J89)/1000*2</f>
        <v>12.937199999999999</v>
      </c>
      <c r="M116" s="46">
        <f>VLOOKUP($E:$E,材料单价表!$B$3:$G$42,5,0)</f>
        <v>0</v>
      </c>
      <c r="N116" s="46">
        <f t="shared" si="34"/>
        <v>0</v>
      </c>
      <c r="O116" s="48"/>
      <c r="P116" s="59"/>
      <c r="Q116" s="81"/>
      <c r="R116" s="46"/>
      <c r="S116" s="465"/>
    </row>
    <row r="117" spans="1:22" x14ac:dyDescent="0.15">
      <c r="A117" s="76">
        <v>7</v>
      </c>
      <c r="B117" s="545"/>
      <c r="C117" s="546"/>
      <c r="D117" s="547"/>
      <c r="E117" s="558" t="s">
        <v>72</v>
      </c>
      <c r="F117" s="559"/>
      <c r="G117" s="45"/>
      <c r="H117" s="207"/>
      <c r="I117" s="45"/>
      <c r="J117" s="46" t="str">
        <f>VLOOKUP($E:$E,材料单价表!$B$3:$G$42,4,0)</f>
        <v>m2</v>
      </c>
      <c r="K117" s="72"/>
      <c r="L117" s="46">
        <f>L123</f>
        <v>2.08</v>
      </c>
      <c r="M117" s="46">
        <f>VLOOKUP($E:$E,材料单价表!$B$3:$G$42,5,0)</f>
        <v>0</v>
      </c>
      <c r="N117" s="46">
        <f t="shared" si="34"/>
        <v>0</v>
      </c>
      <c r="O117" s="48"/>
      <c r="P117" s="48"/>
      <c r="Q117" s="73"/>
      <c r="R117" s="73"/>
      <c r="S117" s="463"/>
    </row>
    <row r="118" spans="1:22" x14ac:dyDescent="0.15">
      <c r="A118" s="76">
        <v>8</v>
      </c>
      <c r="B118" s="545"/>
      <c r="C118" s="546"/>
      <c r="D118" s="547"/>
      <c r="E118" s="183"/>
      <c r="F118" s="184"/>
      <c r="G118" s="207"/>
      <c r="H118" s="207"/>
      <c r="I118" s="207"/>
      <c r="J118" s="208"/>
      <c r="K118" s="209"/>
      <c r="L118" s="208"/>
      <c r="M118" s="208"/>
      <c r="N118" s="208"/>
      <c r="O118" s="211"/>
      <c r="P118" s="48"/>
      <c r="Q118" s="212"/>
      <c r="R118" s="212"/>
      <c r="S118" s="463"/>
    </row>
    <row r="119" spans="1:22" x14ac:dyDescent="0.15">
      <c r="A119" s="76">
        <v>9</v>
      </c>
      <c r="B119" s="545"/>
      <c r="C119" s="546"/>
      <c r="D119" s="547"/>
      <c r="E119" s="558"/>
      <c r="F119" s="559"/>
      <c r="G119" s="45"/>
      <c r="H119" s="207"/>
      <c r="I119" s="45"/>
      <c r="J119" s="45"/>
      <c r="K119" s="72"/>
      <c r="L119" s="46"/>
      <c r="M119" s="46"/>
      <c r="N119" s="82"/>
      <c r="O119" s="48"/>
      <c r="P119" s="48"/>
      <c r="Q119" s="73"/>
      <c r="R119" s="73"/>
      <c r="S119" s="463"/>
    </row>
    <row r="120" spans="1:22" x14ac:dyDescent="0.15">
      <c r="A120" s="74"/>
      <c r="B120" s="552"/>
      <c r="C120" s="557"/>
      <c r="D120" s="553"/>
      <c r="E120" s="552" t="s">
        <v>73</v>
      </c>
      <c r="F120" s="557"/>
      <c r="G120" s="557"/>
      <c r="H120" s="557"/>
      <c r="I120" s="557"/>
      <c r="J120" s="557"/>
      <c r="K120" s="557"/>
      <c r="L120" s="61"/>
      <c r="M120" s="61"/>
      <c r="N120" s="62">
        <f>SUM(N111:N119)</f>
        <v>0</v>
      </c>
      <c r="O120" s="63" t="s">
        <v>57</v>
      </c>
      <c r="P120" s="337"/>
      <c r="Q120" s="64"/>
      <c r="R120" s="64"/>
      <c r="S120" s="460"/>
    </row>
    <row r="121" spans="1:22" x14ac:dyDescent="0.15">
      <c r="A121" s="74"/>
      <c r="B121" s="552"/>
      <c r="C121" s="557"/>
      <c r="D121" s="553"/>
      <c r="E121" s="552" t="s">
        <v>74</v>
      </c>
      <c r="F121" s="557"/>
      <c r="G121" s="557"/>
      <c r="H121" s="557"/>
      <c r="I121" s="557"/>
      <c r="J121" s="557"/>
      <c r="K121" s="557"/>
      <c r="L121" s="557"/>
      <c r="M121" s="553"/>
      <c r="N121" s="62">
        <f>N120+N109+N106+N101</f>
        <v>0</v>
      </c>
      <c r="O121" s="63" t="s">
        <v>57</v>
      </c>
      <c r="P121" s="337"/>
      <c r="Q121" s="64"/>
      <c r="R121" s="64"/>
      <c r="S121" s="460"/>
    </row>
    <row r="122" spans="1:22" ht="24" x14ac:dyDescent="0.15">
      <c r="A122" s="65"/>
      <c r="B122" s="560" t="s">
        <v>75</v>
      </c>
      <c r="C122" s="561"/>
      <c r="D122" s="562"/>
      <c r="E122" s="565" t="s">
        <v>26</v>
      </c>
      <c r="F122" s="566"/>
      <c r="G122" s="66"/>
      <c r="H122" s="351"/>
      <c r="I122" s="66"/>
      <c r="J122" s="66" t="s">
        <v>6</v>
      </c>
      <c r="K122" s="83" t="s">
        <v>61</v>
      </c>
      <c r="L122" s="66" t="s">
        <v>76</v>
      </c>
      <c r="M122" s="68" t="s">
        <v>62</v>
      </c>
      <c r="N122" s="68" t="s">
        <v>34</v>
      </c>
      <c r="O122" s="84" t="s">
        <v>57</v>
      </c>
      <c r="P122" s="84"/>
      <c r="Q122" s="67"/>
      <c r="R122" s="67"/>
      <c r="S122" s="461"/>
    </row>
    <row r="123" spans="1:22" x14ac:dyDescent="0.15">
      <c r="A123" s="188">
        <v>1</v>
      </c>
      <c r="B123" s="545"/>
      <c r="C123" s="546"/>
      <c r="D123" s="547"/>
      <c r="E123" s="545" t="s">
        <v>77</v>
      </c>
      <c r="F123" s="547"/>
      <c r="G123" s="45"/>
      <c r="H123" s="207"/>
      <c r="I123" s="46"/>
      <c r="J123" s="45" t="s">
        <v>78</v>
      </c>
      <c r="K123" s="72"/>
      <c r="L123" s="85">
        <f>N65</f>
        <v>2.08</v>
      </c>
      <c r="M123" s="46">
        <f>VLOOKUP($E:$E,材料单价表!$B$3:$G$42,5,0)</f>
        <v>0</v>
      </c>
      <c r="N123" s="46">
        <f>M123*L123</f>
        <v>0</v>
      </c>
      <c r="O123" s="48"/>
      <c r="P123" s="48"/>
      <c r="Q123" s="72"/>
      <c r="R123" s="72"/>
      <c r="S123" s="462"/>
    </row>
    <row r="124" spans="1:22" x14ac:dyDescent="0.15">
      <c r="A124" s="188">
        <v>2</v>
      </c>
      <c r="B124" s="545"/>
      <c r="C124" s="546"/>
      <c r="D124" s="547"/>
      <c r="E124" s="545" t="s">
        <v>79</v>
      </c>
      <c r="F124" s="547"/>
      <c r="G124" s="45"/>
      <c r="H124" s="207"/>
      <c r="I124" s="46"/>
      <c r="J124" s="45" t="s">
        <v>78</v>
      </c>
      <c r="K124" s="72"/>
      <c r="L124" s="85">
        <f>L123</f>
        <v>2.08</v>
      </c>
      <c r="M124" s="46">
        <f>VLOOKUP($E:$E,材料单价表!$B$3:$G$42,5,0)</f>
        <v>0</v>
      </c>
      <c r="N124" s="46">
        <f>M124*L124</f>
        <v>0</v>
      </c>
      <c r="O124" s="48"/>
      <c r="P124" s="48"/>
      <c r="Q124" s="72"/>
      <c r="R124" s="72"/>
      <c r="S124" s="462"/>
    </row>
    <row r="125" spans="1:22" ht="24.75" customHeight="1" x14ac:dyDescent="0.15">
      <c r="A125" s="74"/>
      <c r="B125" s="552"/>
      <c r="C125" s="557"/>
      <c r="D125" s="553"/>
      <c r="E125" s="552" t="s">
        <v>80</v>
      </c>
      <c r="F125" s="553"/>
      <c r="G125" s="185"/>
      <c r="H125" s="344"/>
      <c r="I125" s="554" t="s">
        <v>81</v>
      </c>
      <c r="J125" s="554"/>
      <c r="K125" s="554"/>
      <c r="L125" s="554"/>
      <c r="M125" s="87"/>
      <c r="N125" s="62">
        <f>N121+N123+N124</f>
        <v>0</v>
      </c>
      <c r="O125" s="63" t="s">
        <v>57</v>
      </c>
      <c r="P125" s="337"/>
      <c r="Q125" s="64"/>
      <c r="R125" s="64"/>
      <c r="S125" s="460"/>
    </row>
    <row r="126" spans="1:22" ht="24" customHeight="1" x14ac:dyDescent="0.15">
      <c r="A126" s="74"/>
      <c r="B126" s="552"/>
      <c r="C126" s="557"/>
      <c r="D126" s="553"/>
      <c r="E126" s="555" t="s">
        <v>82</v>
      </c>
      <c r="F126" s="556"/>
      <c r="G126" s="187"/>
      <c r="H126" s="345"/>
      <c r="I126" s="552" t="s">
        <v>81</v>
      </c>
      <c r="J126" s="557"/>
      <c r="K126" s="557"/>
      <c r="L126" s="557"/>
      <c r="M126" s="62"/>
      <c r="N126" s="62">
        <f>N125/N65</f>
        <v>0</v>
      </c>
      <c r="O126" s="89" t="s">
        <v>57</v>
      </c>
      <c r="P126" s="89"/>
      <c r="Q126" s="90"/>
      <c r="R126" s="90"/>
      <c r="S126" s="466"/>
    </row>
  </sheetData>
  <autoFilter ref="S1:T126"/>
  <mergeCells count="124">
    <mergeCell ref="B125:D125"/>
    <mergeCell ref="B126:D126"/>
    <mergeCell ref="B80:D84"/>
    <mergeCell ref="B85:D90"/>
    <mergeCell ref="B91:D97"/>
    <mergeCell ref="B123:D123"/>
    <mergeCell ref="B124:D124"/>
    <mergeCell ref="B101:D101"/>
    <mergeCell ref="B106:D106"/>
    <mergeCell ref="B109:D109"/>
    <mergeCell ref="B120:D120"/>
    <mergeCell ref="B121:D121"/>
    <mergeCell ref="B122:D122"/>
    <mergeCell ref="B103:D103"/>
    <mergeCell ref="B104:D104"/>
    <mergeCell ref="B105:D105"/>
    <mergeCell ref="B108:D108"/>
    <mergeCell ref="B111:D111"/>
    <mergeCell ref="B112:D112"/>
    <mergeCell ref="B113:D113"/>
    <mergeCell ref="B114:D114"/>
    <mergeCell ref="B115:D115"/>
    <mergeCell ref="B116:D116"/>
    <mergeCell ref="B117:D117"/>
    <mergeCell ref="B118:D118"/>
    <mergeCell ref="B119:D119"/>
    <mergeCell ref="B63:D63"/>
    <mergeCell ref="B79:D79"/>
    <mergeCell ref="B102:D102"/>
    <mergeCell ref="B107:D107"/>
    <mergeCell ref="B110:D110"/>
    <mergeCell ref="B43:D43"/>
    <mergeCell ref="B46:D46"/>
    <mergeCell ref="B57:D57"/>
    <mergeCell ref="B58:D58"/>
    <mergeCell ref="B62:D62"/>
    <mergeCell ref="B54:D54"/>
    <mergeCell ref="B55:D55"/>
    <mergeCell ref="B56:D56"/>
    <mergeCell ref="B60:D60"/>
    <mergeCell ref="B61:D61"/>
    <mergeCell ref="B44:D44"/>
    <mergeCell ref="B47:D47"/>
    <mergeCell ref="B59:D59"/>
    <mergeCell ref="B50:D50"/>
    <mergeCell ref="B51:D51"/>
    <mergeCell ref="B52:D52"/>
    <mergeCell ref="B53:D53"/>
    <mergeCell ref="B17:D19"/>
    <mergeCell ref="B20:D23"/>
    <mergeCell ref="B24:D29"/>
    <mergeCell ref="B40:D40"/>
    <mergeCell ref="B41:D41"/>
    <mergeCell ref="B42:D42"/>
    <mergeCell ref="B45:D45"/>
    <mergeCell ref="B48:D48"/>
    <mergeCell ref="B49:D49"/>
    <mergeCell ref="E113:F113"/>
    <mergeCell ref="E114:F114"/>
    <mergeCell ref="E115:F115"/>
    <mergeCell ref="E116:F116"/>
    <mergeCell ref="E117:F117"/>
    <mergeCell ref="E107:F107"/>
    <mergeCell ref="E110:F110"/>
    <mergeCell ref="E112:F112"/>
    <mergeCell ref="E108:F108"/>
    <mergeCell ref="E125:F125"/>
    <mergeCell ref="E126:F126"/>
    <mergeCell ref="I125:L125"/>
    <mergeCell ref="I126:L126"/>
    <mergeCell ref="E119:F119"/>
    <mergeCell ref="E124:F124"/>
    <mergeCell ref="E120:K120"/>
    <mergeCell ref="E121:M121"/>
    <mergeCell ref="E122:F122"/>
    <mergeCell ref="E123:F123"/>
    <mergeCell ref="E47:F47"/>
    <mergeCell ref="E48:F48"/>
    <mergeCell ref="E49:F49"/>
    <mergeCell ref="E50:F50"/>
    <mergeCell ref="E51:F51"/>
    <mergeCell ref="E52:F52"/>
    <mergeCell ref="E109:K109"/>
    <mergeCell ref="E111:F111"/>
    <mergeCell ref="E104:F104"/>
    <mergeCell ref="E105:F105"/>
    <mergeCell ref="E102:F102"/>
    <mergeCell ref="E103:F103"/>
    <mergeCell ref="E106:K106"/>
    <mergeCell ref="E60:F60"/>
    <mergeCell ref="E61:F61"/>
    <mergeCell ref="E62:F62"/>
    <mergeCell ref="I62:L62"/>
    <mergeCell ref="E63:F63"/>
    <mergeCell ref="I63:L63"/>
    <mergeCell ref="A64:R64"/>
    <mergeCell ref="A98:K98"/>
    <mergeCell ref="A99:K99"/>
    <mergeCell ref="E101:K101"/>
    <mergeCell ref="A100:K100"/>
    <mergeCell ref="N66:O66"/>
    <mergeCell ref="E41:F41"/>
    <mergeCell ref="A1:R1"/>
    <mergeCell ref="A35:K35"/>
    <mergeCell ref="A36:K36"/>
    <mergeCell ref="A37:K37"/>
    <mergeCell ref="E38:K38"/>
    <mergeCell ref="E39:F39"/>
    <mergeCell ref="E40:F40"/>
    <mergeCell ref="B16:D16"/>
    <mergeCell ref="B39:D39"/>
    <mergeCell ref="B38:D38"/>
    <mergeCell ref="N3:O3"/>
    <mergeCell ref="E54:F54"/>
    <mergeCell ref="E56:F56"/>
    <mergeCell ref="E57:K57"/>
    <mergeCell ref="E58:M58"/>
    <mergeCell ref="E59:F59"/>
    <mergeCell ref="E53:F53"/>
    <mergeCell ref="E42:F42"/>
    <mergeCell ref="E43:K43"/>
    <mergeCell ref="E44:F44"/>
    <mergeCell ref="E45:F45"/>
    <mergeCell ref="E46:K46"/>
  </mergeCells>
  <phoneticPr fontId="9" type="noConversion"/>
  <pageMargins left="0.7" right="0.7" top="0.75" bottom="0.75" header="0.3" footer="0.3"/>
  <pageSetup paperSize="9" scale="69" orientation="portrait" r:id="rId1"/>
  <rowBreaks count="1" manualBreakCount="1">
    <brk id="63" max="1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8"/>
  <sheetViews>
    <sheetView view="pageBreakPreview" zoomScale="98" zoomScaleNormal="100" zoomScaleSheetLayoutView="98" workbookViewId="0">
      <selection activeCell="L22" sqref="L22"/>
    </sheetView>
  </sheetViews>
  <sheetFormatPr defaultColWidth="8.125" defaultRowHeight="13.5" x14ac:dyDescent="0.15"/>
  <cols>
    <col min="1" max="1" width="6.375" style="1" customWidth="1"/>
    <col min="2" max="2" width="3.5" style="1" customWidth="1"/>
    <col min="3" max="3" width="3.125" style="1" customWidth="1"/>
    <col min="4" max="4" width="3.625" style="1" customWidth="1"/>
    <col min="5" max="5" width="14.25" style="1" customWidth="1"/>
    <col min="6" max="6" width="7" style="1" customWidth="1"/>
    <col min="7" max="8" width="12.5" style="1" customWidth="1"/>
    <col min="9" max="9" width="13.125" style="1" customWidth="1"/>
    <col min="10" max="10" width="7.5" style="1" customWidth="1"/>
    <col min="11" max="11" width="9.125" style="1" customWidth="1"/>
    <col min="12" max="12" width="7.875" style="1" customWidth="1"/>
    <col min="13" max="14" width="9.25" style="1" customWidth="1"/>
    <col min="15" max="15" width="8" style="1" customWidth="1"/>
    <col min="16" max="16" width="15.875" style="1" customWidth="1"/>
    <col min="17" max="17" width="7.125" style="1" customWidth="1"/>
    <col min="18" max="18" width="8.125" style="1" customWidth="1"/>
    <col min="19" max="19" width="2.5" style="1" customWidth="1"/>
    <col min="20" max="20" width="3" style="374" customWidth="1"/>
    <col min="21" max="21" width="7.25" style="259" customWidth="1"/>
    <col min="22" max="22" width="6.125" style="259" customWidth="1"/>
    <col min="23" max="23" width="8" style="259" customWidth="1"/>
    <col min="24" max="24" width="6.875" style="259" customWidth="1"/>
    <col min="25" max="25" width="8.125" style="260" customWidth="1"/>
    <col min="26" max="26" width="7.125" style="260" customWidth="1"/>
    <col min="27" max="27" width="7.875" style="260" customWidth="1"/>
    <col min="28" max="28" width="6.875" style="260" customWidth="1"/>
    <col min="29" max="29" width="8.5" style="260" bestFit="1" customWidth="1"/>
    <col min="30" max="30" width="6.5" style="260" customWidth="1"/>
    <col min="31" max="31" width="7.75" style="1" customWidth="1"/>
    <col min="32" max="16384" width="8.125" style="1"/>
  </cols>
  <sheetData>
    <row r="1" spans="1:30" ht="18.75" customHeight="1" x14ac:dyDescent="0.15">
      <c r="A1" s="549" t="s">
        <v>0</v>
      </c>
      <c r="B1" s="549"/>
      <c r="C1" s="549"/>
      <c r="D1" s="549"/>
      <c r="E1" s="549"/>
      <c r="F1" s="549"/>
      <c r="G1" s="549"/>
      <c r="H1" s="549"/>
      <c r="I1" s="549"/>
      <c r="J1" s="549"/>
      <c r="K1" s="550"/>
      <c r="L1" s="549"/>
      <c r="M1" s="549"/>
      <c r="N1" s="549"/>
      <c r="O1" s="549"/>
      <c r="P1" s="549"/>
      <c r="Q1" s="551"/>
      <c r="R1" s="551"/>
      <c r="S1" s="415"/>
    </row>
    <row r="2" spans="1:30" ht="15" customHeight="1" x14ac:dyDescent="0.15">
      <c r="A2" s="2" t="s">
        <v>1</v>
      </c>
      <c r="B2" s="3" t="s">
        <v>1449</v>
      </c>
      <c r="C2" s="3">
        <v>1</v>
      </c>
      <c r="D2" s="340"/>
      <c r="E2" s="4" t="s">
        <v>2</v>
      </c>
      <c r="F2" s="5">
        <v>80</v>
      </c>
      <c r="G2" s="106" t="s">
        <v>86</v>
      </c>
      <c r="H2" s="106"/>
      <c r="I2" s="4" t="s">
        <v>3</v>
      </c>
      <c r="J2" s="6">
        <f>K5</f>
        <v>1800</v>
      </c>
      <c r="K2" s="7" t="s">
        <v>83</v>
      </c>
      <c r="L2" s="6">
        <f>K4</f>
        <v>2400</v>
      </c>
      <c r="M2" s="8" t="s">
        <v>4</v>
      </c>
      <c r="N2" s="9">
        <f>L14</f>
        <v>4.32</v>
      </c>
      <c r="O2" s="10"/>
      <c r="P2" s="10"/>
      <c r="Q2" s="10" t="s">
        <v>5</v>
      </c>
      <c r="R2" s="11"/>
      <c r="S2" s="457"/>
    </row>
    <row r="3" spans="1:30" ht="15" customHeight="1" x14ac:dyDescent="0.2">
      <c r="A3" s="12"/>
      <c r="B3" s="13"/>
      <c r="C3" s="13"/>
      <c r="D3" s="13"/>
      <c r="E3" s="14"/>
      <c r="F3" s="14"/>
      <c r="G3" s="15"/>
      <c r="H3" s="15"/>
      <c r="I3" s="16"/>
      <c r="J3" s="16" t="s">
        <v>6</v>
      </c>
      <c r="K3" s="17" t="s">
        <v>7</v>
      </c>
      <c r="L3" s="16" t="s">
        <v>8</v>
      </c>
      <c r="M3" s="18"/>
      <c r="N3" s="548" t="s">
        <v>1087</v>
      </c>
      <c r="O3" s="548"/>
      <c r="P3" s="16" t="s">
        <v>1018</v>
      </c>
      <c r="Q3" s="19"/>
      <c r="R3" s="20"/>
      <c r="S3" s="27"/>
    </row>
    <row r="4" spans="1:30" ht="15" customHeight="1" x14ac:dyDescent="0.2">
      <c r="A4" s="398" t="s">
        <v>918</v>
      </c>
      <c r="B4" s="405" t="s">
        <v>1457</v>
      </c>
      <c r="C4" s="343"/>
      <c r="D4" s="343"/>
      <c r="E4" s="23"/>
      <c r="F4" s="23"/>
      <c r="G4" s="107"/>
      <c r="H4" s="107"/>
      <c r="I4" s="24" t="s">
        <v>9</v>
      </c>
      <c r="J4" s="16" t="s">
        <v>10</v>
      </c>
      <c r="K4" s="25">
        <v>2400</v>
      </c>
      <c r="L4" s="113">
        <f>K4-L13*2</f>
        <v>2300</v>
      </c>
      <c r="M4" s="18"/>
      <c r="N4" s="356" t="s">
        <v>1088</v>
      </c>
      <c r="O4" s="357"/>
      <c r="P4" s="16" t="s">
        <v>1019</v>
      </c>
      <c r="Q4" s="27"/>
      <c r="R4" s="28"/>
      <c r="S4" s="27"/>
    </row>
    <row r="5" spans="1:30" ht="15" customHeight="1" x14ac:dyDescent="0.2">
      <c r="A5" s="21"/>
      <c r="B5" s="22"/>
      <c r="C5" s="22"/>
      <c r="D5" s="22"/>
      <c r="E5" s="23"/>
      <c r="F5" s="23"/>
      <c r="G5" s="18"/>
      <c r="H5" s="18"/>
      <c r="I5" s="24" t="s">
        <v>11</v>
      </c>
      <c r="J5" s="16" t="s">
        <v>10</v>
      </c>
      <c r="K5" s="25">
        <v>1800</v>
      </c>
      <c r="L5" s="113">
        <f>K5-L13*2</f>
        <v>1700</v>
      </c>
      <c r="M5" s="18"/>
      <c r="N5" s="356" t="s">
        <v>1089</v>
      </c>
      <c r="O5" s="357"/>
      <c r="P5" s="16" t="s">
        <v>1022</v>
      </c>
      <c r="Q5" s="27"/>
      <c r="R5" s="28"/>
      <c r="S5" s="27"/>
    </row>
    <row r="6" spans="1:30" ht="15" customHeight="1" x14ac:dyDescent="0.2">
      <c r="A6" s="21"/>
      <c r="B6" s="22"/>
      <c r="C6" s="22"/>
      <c r="D6" s="22"/>
      <c r="E6" s="23"/>
      <c r="F6" s="23"/>
      <c r="G6" s="18"/>
      <c r="H6" s="18"/>
      <c r="I6" s="24" t="s">
        <v>12</v>
      </c>
      <c r="J6" s="16" t="s">
        <v>10</v>
      </c>
      <c r="K6" s="26"/>
      <c r="L6" s="113">
        <f>L4</f>
        <v>2300</v>
      </c>
      <c r="M6" s="18"/>
      <c r="N6" s="356" t="s">
        <v>1092</v>
      </c>
      <c r="O6" s="357"/>
      <c r="P6" s="16" t="s">
        <v>1020</v>
      </c>
      <c r="Q6" s="27"/>
      <c r="R6" s="28"/>
      <c r="S6" s="27"/>
    </row>
    <row r="7" spans="1:30" ht="15" customHeight="1" x14ac:dyDescent="0.2">
      <c r="A7" s="21"/>
      <c r="B7" s="22"/>
      <c r="C7" s="22"/>
      <c r="D7" s="22"/>
      <c r="E7" s="23"/>
      <c r="F7" s="23"/>
      <c r="G7" s="18"/>
      <c r="H7" s="18"/>
      <c r="I7" s="24" t="s">
        <v>13</v>
      </c>
      <c r="J7" s="16" t="s">
        <v>10</v>
      </c>
      <c r="K7" s="26"/>
      <c r="L7" s="113"/>
      <c r="M7" s="18"/>
      <c r="N7" s="356" t="s">
        <v>925</v>
      </c>
      <c r="O7" s="357"/>
      <c r="P7" s="16" t="s">
        <v>1021</v>
      </c>
      <c r="Q7" s="27"/>
      <c r="R7" s="28"/>
      <c r="S7" s="27"/>
    </row>
    <row r="8" spans="1:30" ht="15" customHeight="1" x14ac:dyDescent="0.2">
      <c r="A8" s="21"/>
      <c r="B8" s="22"/>
      <c r="C8" s="22"/>
      <c r="D8" s="22"/>
      <c r="E8" s="23"/>
      <c r="F8" s="23"/>
      <c r="G8" s="18"/>
      <c r="H8" s="18"/>
      <c r="I8" s="24" t="s">
        <v>14</v>
      </c>
      <c r="J8" s="16" t="s">
        <v>10</v>
      </c>
      <c r="K8" s="26"/>
      <c r="L8" s="113"/>
      <c r="M8" s="18"/>
      <c r="N8" s="356"/>
      <c r="O8" s="357"/>
      <c r="P8" s="16"/>
      <c r="Q8" s="27"/>
      <c r="R8" s="28"/>
      <c r="S8" s="27"/>
    </row>
    <row r="9" spans="1:30" ht="15" customHeight="1" x14ac:dyDescent="0.2">
      <c r="A9" s="21"/>
      <c r="B9" s="22"/>
      <c r="C9" s="22"/>
      <c r="D9" s="22"/>
      <c r="E9" s="23"/>
      <c r="F9" s="23"/>
      <c r="G9" s="18"/>
      <c r="H9" s="18"/>
      <c r="I9" s="24" t="s">
        <v>15</v>
      </c>
      <c r="J9" s="16" t="s">
        <v>10</v>
      </c>
      <c r="K9" s="26"/>
      <c r="L9" s="113">
        <f>L5/2</f>
        <v>850</v>
      </c>
      <c r="M9" s="18"/>
      <c r="N9" s="356" t="s">
        <v>928</v>
      </c>
      <c r="O9" s="357"/>
      <c r="P9" s="16" t="s">
        <v>1005</v>
      </c>
      <c r="Q9" s="27"/>
      <c r="R9" s="28"/>
      <c r="S9" s="27"/>
    </row>
    <row r="10" spans="1:30" ht="15" customHeight="1" x14ac:dyDescent="0.2">
      <c r="A10" s="21"/>
      <c r="B10" s="22"/>
      <c r="C10" s="22"/>
      <c r="D10" s="22"/>
      <c r="E10" s="23"/>
      <c r="F10" s="23"/>
      <c r="G10" s="18"/>
      <c r="H10" s="18"/>
      <c r="I10" s="24" t="s">
        <v>16</v>
      </c>
      <c r="J10" s="16" t="s">
        <v>10</v>
      </c>
      <c r="K10" s="26"/>
      <c r="L10" s="113"/>
      <c r="M10" s="18"/>
      <c r="N10" s="356" t="s">
        <v>929</v>
      </c>
      <c r="O10" s="357"/>
      <c r="P10" s="16" t="s">
        <v>1024</v>
      </c>
      <c r="Q10" s="27"/>
      <c r="R10" s="28"/>
      <c r="S10" s="27"/>
    </row>
    <row r="11" spans="1:30" ht="15" customHeight="1" x14ac:dyDescent="0.2">
      <c r="A11" s="21"/>
      <c r="B11" s="22"/>
      <c r="C11" s="22"/>
      <c r="D11" s="22"/>
      <c r="E11" s="23"/>
      <c r="F11" s="23"/>
      <c r="G11" s="18"/>
      <c r="H11" s="18"/>
      <c r="I11" s="24" t="s">
        <v>17</v>
      </c>
      <c r="J11" s="16" t="s">
        <v>10</v>
      </c>
      <c r="K11" s="26"/>
      <c r="L11" s="113"/>
      <c r="M11" s="18"/>
      <c r="N11" s="356" t="s">
        <v>930</v>
      </c>
      <c r="O11" s="357"/>
      <c r="P11" s="16" t="s">
        <v>931</v>
      </c>
      <c r="Q11" s="27"/>
      <c r="R11" s="28"/>
      <c r="S11" s="27"/>
    </row>
    <row r="12" spans="1:30" ht="15" customHeight="1" x14ac:dyDescent="0.2">
      <c r="A12" s="21"/>
      <c r="B12" s="22"/>
      <c r="C12" s="22"/>
      <c r="D12" s="22"/>
      <c r="E12" s="23"/>
      <c r="F12" s="23"/>
      <c r="G12" s="18"/>
      <c r="H12" s="18"/>
      <c r="I12" s="24" t="s">
        <v>18</v>
      </c>
      <c r="J12" s="16" t="s">
        <v>10</v>
      </c>
      <c r="K12" s="26"/>
      <c r="L12" s="113"/>
      <c r="M12" s="18"/>
      <c r="N12" s="356" t="s">
        <v>932</v>
      </c>
      <c r="O12" s="357"/>
      <c r="P12" s="16" t="s">
        <v>933</v>
      </c>
      <c r="Q12" s="27"/>
      <c r="R12" s="28"/>
      <c r="S12" s="27"/>
    </row>
    <row r="13" spans="1:30" ht="15" customHeight="1" x14ac:dyDescent="0.2">
      <c r="A13" s="21"/>
      <c r="B13" s="22"/>
      <c r="C13" s="22"/>
      <c r="D13" s="22"/>
      <c r="E13" s="23"/>
      <c r="F13" s="23"/>
      <c r="G13" s="18"/>
      <c r="H13" s="18"/>
      <c r="I13" s="24" t="s">
        <v>19</v>
      </c>
      <c r="J13" s="16" t="s">
        <v>10</v>
      </c>
      <c r="K13" s="26"/>
      <c r="L13" s="25">
        <v>50</v>
      </c>
      <c r="M13" s="18"/>
      <c r="N13" s="356" t="s">
        <v>1101</v>
      </c>
      <c r="O13" s="357"/>
      <c r="P13" s="16" t="s">
        <v>935</v>
      </c>
      <c r="Q13" s="27"/>
      <c r="R13" s="28"/>
      <c r="S13" s="27"/>
    </row>
    <row r="14" spans="1:30" ht="15" customHeight="1" x14ac:dyDescent="0.2">
      <c r="A14" s="21"/>
      <c r="B14" s="22"/>
      <c r="C14" s="22"/>
      <c r="D14" s="22"/>
      <c r="E14" s="23"/>
      <c r="F14" s="23"/>
      <c r="G14" s="18"/>
      <c r="H14" s="18"/>
      <c r="I14" s="29" t="s">
        <v>20</v>
      </c>
      <c r="J14" s="16" t="s">
        <v>21</v>
      </c>
      <c r="K14" s="30"/>
      <c r="L14" s="31">
        <f>K4*K5/1000000</f>
        <v>4.32</v>
      </c>
      <c r="M14" s="18"/>
      <c r="N14" s="356" t="s">
        <v>936</v>
      </c>
      <c r="O14" s="357"/>
      <c r="P14" s="16" t="s">
        <v>937</v>
      </c>
      <c r="Q14" s="27"/>
      <c r="R14" s="28"/>
      <c r="S14" s="27"/>
    </row>
    <row r="15" spans="1:30" ht="15" customHeight="1" x14ac:dyDescent="0.2">
      <c r="A15" s="32"/>
      <c r="B15" s="33"/>
      <c r="C15" s="33"/>
      <c r="D15" s="33"/>
      <c r="E15" s="34"/>
      <c r="F15" s="34"/>
      <c r="G15" s="35"/>
      <c r="H15" s="35"/>
      <c r="I15" s="29" t="s">
        <v>22</v>
      </c>
      <c r="J15" s="16" t="s">
        <v>23</v>
      </c>
      <c r="K15" s="30"/>
      <c r="L15" s="36">
        <f>(K5+K4)*2/1000</f>
        <v>8.4</v>
      </c>
      <c r="M15" s="35"/>
      <c r="N15" s="356" t="s">
        <v>938</v>
      </c>
      <c r="O15" s="357"/>
      <c r="P15" s="16" t="s">
        <v>939</v>
      </c>
      <c r="Q15" s="37"/>
      <c r="R15" s="38"/>
      <c r="S15" s="27"/>
    </row>
    <row r="16" spans="1:30" ht="48.75" customHeight="1" x14ac:dyDescent="0.15">
      <c r="A16" s="39" t="s">
        <v>24</v>
      </c>
      <c r="B16" s="560" t="s">
        <v>25</v>
      </c>
      <c r="C16" s="561"/>
      <c r="D16" s="562"/>
      <c r="E16" s="40" t="s">
        <v>26</v>
      </c>
      <c r="F16" s="40" t="s">
        <v>27</v>
      </c>
      <c r="G16" s="40" t="s">
        <v>28</v>
      </c>
      <c r="H16" s="40" t="s">
        <v>914</v>
      </c>
      <c r="I16" s="40" t="s">
        <v>29</v>
      </c>
      <c r="J16" s="40" t="s">
        <v>30</v>
      </c>
      <c r="K16" s="41" t="s">
        <v>31</v>
      </c>
      <c r="L16" s="40" t="s">
        <v>32</v>
      </c>
      <c r="M16" s="40" t="s">
        <v>33</v>
      </c>
      <c r="N16" s="40" t="s">
        <v>34</v>
      </c>
      <c r="O16" s="42" t="s">
        <v>35</v>
      </c>
      <c r="P16" s="338" t="s">
        <v>875</v>
      </c>
      <c r="Q16" s="43" t="s">
        <v>36</v>
      </c>
      <c r="R16" s="43" t="s">
        <v>37</v>
      </c>
      <c r="S16" s="458"/>
      <c r="U16" s="261" t="s">
        <v>804</v>
      </c>
      <c r="V16" s="261"/>
      <c r="W16" s="262" t="s">
        <v>805</v>
      </c>
      <c r="X16" s="263"/>
      <c r="Y16" s="262" t="s">
        <v>806</v>
      </c>
      <c r="Z16" s="274"/>
      <c r="AA16" s="262" t="s">
        <v>816</v>
      </c>
      <c r="AB16" s="274"/>
      <c r="AC16" s="262" t="s">
        <v>817</v>
      </c>
      <c r="AD16" s="274"/>
    </row>
    <row r="17" spans="1:30" ht="13.5" customHeight="1" x14ac:dyDescent="0.15">
      <c r="A17" s="188">
        <v>1</v>
      </c>
      <c r="B17" s="531" t="s">
        <v>38</v>
      </c>
      <c r="C17" s="532"/>
      <c r="D17" s="533"/>
      <c r="E17" s="47" t="str">
        <f>VLOOKUP($G:$G,型材表!$B$5:$I$448,2,0)</f>
        <v>边框</v>
      </c>
      <c r="F17" s="45" t="s">
        <v>39</v>
      </c>
      <c r="G17" s="45" t="str">
        <f>IF(F2=70,"ST70MK001",IF(F2=80,"ST80MK001",IF(F2=105,"ST105AMK003",IF(F2=115,"ST115MK003",IF(F2=90,"ST90MK003")))))</f>
        <v>ST80MK001</v>
      </c>
      <c r="H17" s="45" t="s">
        <v>912</v>
      </c>
      <c r="I17" s="46">
        <f>L4</f>
        <v>2300</v>
      </c>
      <c r="J17" s="45">
        <v>2</v>
      </c>
      <c r="K17" s="47">
        <f>VLOOKUP($G:$G,型材表!$B$5:$I$448,4,0)</f>
        <v>2.141</v>
      </c>
      <c r="L17" s="46">
        <f>I17*J17*K17/1000</f>
        <v>9.8486000000000011</v>
      </c>
      <c r="M17" s="72">
        <f>VLOOKUP($G:$G,型材表!$B$5:$I$448,7,0)</f>
        <v>0</v>
      </c>
      <c r="N17" s="46">
        <f>M17*L17</f>
        <v>0</v>
      </c>
      <c r="O17" s="100">
        <f>VLOOKUP($G:$G,型材表!$B$5:$I$448,5,0)</f>
        <v>0.125</v>
      </c>
      <c r="P17" s="100" t="str">
        <f>VLOOKUP($G:$G,型材表!$B$5:$I$448,6,0)</f>
        <v>断桥隔热铝型材</v>
      </c>
      <c r="Q17" s="49"/>
      <c r="R17" s="50"/>
      <c r="S17" s="459"/>
      <c r="W17" s="264"/>
      <c r="X17" s="265"/>
      <c r="Y17" s="264"/>
      <c r="Z17" s="265"/>
      <c r="AA17" s="264"/>
      <c r="AB17" s="265"/>
      <c r="AC17" s="264"/>
      <c r="AD17" s="265"/>
    </row>
    <row r="18" spans="1:30" x14ac:dyDescent="0.15">
      <c r="A18" s="188">
        <v>2</v>
      </c>
      <c r="B18" s="534"/>
      <c r="C18" s="535"/>
      <c r="D18" s="536"/>
      <c r="E18" s="47" t="str">
        <f>VLOOKUP($G:$G,型材表!$B$5:$I$448,2,0)</f>
        <v>边框</v>
      </c>
      <c r="F18" s="45" t="s">
        <v>807</v>
      </c>
      <c r="G18" s="45" t="str">
        <f>IF(F2=70,"ST70MK001",IF(F2=80,"ST80MK001",IF(F2=105,"ST105AMK001",IF(F2=115,"ST115MK001",IF(F2=90,"ST90MK001")))))</f>
        <v>ST80MK001</v>
      </c>
      <c r="H18" s="45" t="s">
        <v>1091</v>
      </c>
      <c r="I18" s="46">
        <f>IF(F2=70,L5-U18,IF(F2=80,L5-W18,IF(F2=105,L5-Y18,IF(F2=115,L5-AA18,IF(F2=90,L5-AC18)))))</f>
        <v>1700</v>
      </c>
      <c r="J18" s="45">
        <v>1</v>
      </c>
      <c r="K18" s="47">
        <f>VLOOKUP($G:$G,型材表!$B$5:$I$448,4,0)</f>
        <v>2.141</v>
      </c>
      <c r="L18" s="46">
        <f t="shared" ref="L18:L25" si="0">I18*J18*K18/1000</f>
        <v>3.6396999999999999</v>
      </c>
      <c r="M18" s="72">
        <f>VLOOKUP($G:$G,型材表!$B$5:$I$448,7,0)</f>
        <v>0</v>
      </c>
      <c r="N18" s="46">
        <f t="shared" ref="N18:N25" si="1">M18*L18</f>
        <v>0</v>
      </c>
      <c r="O18" s="100">
        <f>VLOOKUP($G:$G,型材表!$B$5:$I$448,5,0)</f>
        <v>0.125</v>
      </c>
      <c r="P18" s="100" t="str">
        <f>VLOOKUP($G:$G,型材表!$B$5:$I$448,6,0)</f>
        <v>断桥隔热铝型材</v>
      </c>
      <c r="Q18" s="49"/>
      <c r="R18" s="50"/>
      <c r="S18" s="459"/>
      <c r="T18" s="374" t="s">
        <v>1114</v>
      </c>
      <c r="W18" s="264"/>
      <c r="X18" s="265"/>
      <c r="Y18" s="264">
        <f>21*2</f>
        <v>42</v>
      </c>
      <c r="Z18" s="265"/>
      <c r="AA18" s="264">
        <f>21.8*2</f>
        <v>43.6</v>
      </c>
      <c r="AB18" s="265"/>
      <c r="AC18" s="264">
        <f>20.67*2</f>
        <v>41.34</v>
      </c>
      <c r="AD18" s="265"/>
    </row>
    <row r="19" spans="1:30" x14ac:dyDescent="0.15">
      <c r="A19" s="188">
        <v>3</v>
      </c>
      <c r="B19" s="534"/>
      <c r="C19" s="535"/>
      <c r="D19" s="536"/>
      <c r="E19" s="47" t="str">
        <f>VLOOKUP($G:$G,型材表!$B$5:$I$448,2,0)</f>
        <v>边框</v>
      </c>
      <c r="F19" s="207" t="s">
        <v>646</v>
      </c>
      <c r="G19" s="207" t="str">
        <f>IF(F2=70,"ST70MK001",IF(F2=80,"ST80MK001",IF(F2=105,"ST105AMK002",IF(F2=115,"ST115MK002",IF(F2=90,"ST90MK004")))))</f>
        <v>ST80MK001</v>
      </c>
      <c r="H19" s="45" t="s">
        <v>1091</v>
      </c>
      <c r="I19" s="208">
        <f>I18</f>
        <v>1700</v>
      </c>
      <c r="J19" s="207">
        <v>1</v>
      </c>
      <c r="K19" s="47">
        <f>VLOOKUP($G:$G,型材表!$B$5:$I$448,4,0)</f>
        <v>2.141</v>
      </c>
      <c r="L19" s="46">
        <f t="shared" si="0"/>
        <v>3.6396999999999999</v>
      </c>
      <c r="M19" s="72">
        <f>VLOOKUP($G:$G,型材表!$B$5:$I$448,7,0)</f>
        <v>0</v>
      </c>
      <c r="N19" s="46">
        <f t="shared" si="1"/>
        <v>0</v>
      </c>
      <c r="O19" s="100">
        <f>VLOOKUP($G:$G,型材表!$B$5:$I$448,5,0)</f>
        <v>0.125</v>
      </c>
      <c r="P19" s="100" t="str">
        <f>VLOOKUP($G:$G,型材表!$B$5:$I$448,6,0)</f>
        <v>断桥隔热铝型材</v>
      </c>
      <c r="Q19" s="210"/>
      <c r="R19" s="50"/>
      <c r="S19" s="459"/>
      <c r="W19" s="264"/>
      <c r="X19" s="265"/>
      <c r="Y19" s="264"/>
      <c r="Z19" s="265"/>
      <c r="AA19" s="264"/>
      <c r="AB19" s="265"/>
      <c r="AC19" s="264"/>
      <c r="AD19" s="265"/>
    </row>
    <row r="20" spans="1:30" s="229" customFormat="1" x14ac:dyDescent="0.15">
      <c r="A20" s="200">
        <v>4</v>
      </c>
      <c r="B20" s="537"/>
      <c r="C20" s="538"/>
      <c r="D20" s="539"/>
      <c r="E20" s="221"/>
      <c r="F20" s="222"/>
      <c r="G20" s="222"/>
      <c r="H20" s="233"/>
      <c r="I20" s="223"/>
      <c r="J20" s="222"/>
      <c r="K20" s="221"/>
      <c r="L20" s="224"/>
      <c r="M20" s="225"/>
      <c r="N20" s="224"/>
      <c r="O20" s="226"/>
      <c r="P20" s="100"/>
      <c r="Q20" s="227"/>
      <c r="R20" s="228"/>
      <c r="S20" s="467"/>
      <c r="T20" s="375"/>
      <c r="U20" s="266"/>
      <c r="V20" s="266"/>
      <c r="W20" s="267"/>
      <c r="X20" s="268"/>
      <c r="Y20" s="267"/>
      <c r="Z20" s="268"/>
      <c r="AA20" s="267"/>
      <c r="AB20" s="268"/>
      <c r="AC20" s="267"/>
      <c r="AD20" s="268"/>
    </row>
    <row r="21" spans="1:30" ht="13.5" customHeight="1" x14ac:dyDescent="0.15">
      <c r="A21" s="200">
        <v>5</v>
      </c>
      <c r="B21" s="531" t="s">
        <v>41</v>
      </c>
      <c r="C21" s="532"/>
      <c r="D21" s="533"/>
      <c r="E21" s="47" t="str">
        <f>VLOOKUP($G:$G,型材表!$B$5:$I$448,2,0)</f>
        <v>扇料</v>
      </c>
      <c r="F21" s="45" t="s">
        <v>812</v>
      </c>
      <c r="G21" s="45" t="str">
        <f>IF(F2=70,"ST70MS001",IF(F2=80,"ST80MS001",IF(F2=105,"ST105AMS003",IF(F2=115,"ST115MS002",IF(F2=90,"ST90MS004")))))</f>
        <v>ST80MS001</v>
      </c>
      <c r="H21" s="45" t="s">
        <v>1012</v>
      </c>
      <c r="I21" s="46">
        <f>IF(F2=70,L6-U21,IF(F2=80,L6-W21,IF(F2=105,L6-Y21,IF(F2=115,L6-AA21,IF(F2=90,L6-AC21)))))</f>
        <v>2216</v>
      </c>
      <c r="J21" s="45">
        <v>2</v>
      </c>
      <c r="K21" s="47">
        <f>VLOOKUP($G:$G,型材表!$B$5:$I$448,4,0)</f>
        <v>1.4890000000000001</v>
      </c>
      <c r="L21" s="46">
        <f t="shared" si="0"/>
        <v>6.5992480000000002</v>
      </c>
      <c r="M21" s="72">
        <f>VLOOKUP($G:$G,型材表!$B$5:$I$448,7,0)</f>
        <v>0</v>
      </c>
      <c r="N21" s="46">
        <f t="shared" si="1"/>
        <v>0</v>
      </c>
      <c r="O21" s="100">
        <f>VLOOKUP($G:$G,型材表!$B$5:$I$448,5,0)</f>
        <v>0.125</v>
      </c>
      <c r="P21" s="100" t="str">
        <f>VLOOKUP($G:$G,型材表!$B$5:$I$448,6,0)</f>
        <v>断桥隔热铝型材</v>
      </c>
      <c r="Q21" s="49"/>
      <c r="R21" s="50"/>
      <c r="S21" s="459"/>
      <c r="T21" s="374" t="s">
        <v>1115</v>
      </c>
      <c r="U21" s="259">
        <f>42.5*2</f>
        <v>85</v>
      </c>
      <c r="W21" s="264">
        <f>42*2</f>
        <v>84</v>
      </c>
      <c r="X21" s="265"/>
      <c r="Y21" s="264">
        <f>35+32.5</f>
        <v>67.5</v>
      </c>
      <c r="Z21" s="265"/>
      <c r="AA21" s="264">
        <f>42+37.3</f>
        <v>79.3</v>
      </c>
      <c r="AB21" s="265"/>
      <c r="AC21" s="264">
        <f>30+19</f>
        <v>49</v>
      </c>
      <c r="AD21" s="265"/>
    </row>
    <row r="22" spans="1:30" x14ac:dyDescent="0.15">
      <c r="A22" s="200">
        <v>6</v>
      </c>
      <c r="B22" s="534"/>
      <c r="C22" s="535"/>
      <c r="D22" s="536"/>
      <c r="E22" s="47" t="str">
        <f>VLOOKUP($G:$G,型材表!$B$5:$I$448,2,0)</f>
        <v>扇料</v>
      </c>
      <c r="F22" s="45" t="s">
        <v>813</v>
      </c>
      <c r="G22" s="207" t="str">
        <f>IF(F2=70,"ST70MS001",IF(F2=80,"ST80MS001",IF(F2=105,"ST105AMS003",IF(F2=115,"ST115MS002",IF(F2=90,"ST90MS005")))))</f>
        <v>ST80MS001</v>
      </c>
      <c r="H22" s="45" t="s">
        <v>1012</v>
      </c>
      <c r="I22" s="208">
        <f>IF(F2=70,L6-U22,IF(F2=80,L6-W22,IF(F2=105,L6-Y22,IF(F2=115,L6-AA22,IF(F2=90,L6-AC22)))))</f>
        <v>2216</v>
      </c>
      <c r="J22" s="207">
        <v>2</v>
      </c>
      <c r="K22" s="47">
        <f>VLOOKUP($G:$G,型材表!$B$5:$I$448,4,0)</f>
        <v>1.4890000000000001</v>
      </c>
      <c r="L22" s="46">
        <f t="shared" si="0"/>
        <v>6.5992480000000002</v>
      </c>
      <c r="M22" s="72">
        <f>VLOOKUP($G:$G,型材表!$B$5:$I$448,7,0)</f>
        <v>0</v>
      </c>
      <c r="N22" s="46">
        <f t="shared" si="1"/>
        <v>0</v>
      </c>
      <c r="O22" s="100">
        <f>VLOOKUP($G:$G,型材表!$B$5:$I$448,5,0)</f>
        <v>0.125</v>
      </c>
      <c r="P22" s="100" t="str">
        <f>VLOOKUP($G:$G,型材表!$B$5:$I$448,6,0)</f>
        <v>断桥隔热铝型材</v>
      </c>
      <c r="Q22" s="210"/>
      <c r="R22" s="50"/>
      <c r="S22" s="459"/>
      <c r="T22" s="374" t="s">
        <v>1115</v>
      </c>
      <c r="U22" s="259">
        <f>42.5*2</f>
        <v>85</v>
      </c>
      <c r="W22" s="264">
        <f>42*2</f>
        <v>84</v>
      </c>
      <c r="X22" s="265"/>
      <c r="Y22" s="264">
        <f>35+32.5</f>
        <v>67.5</v>
      </c>
      <c r="Z22" s="265"/>
      <c r="AA22" s="264">
        <f>42+37.3</f>
        <v>79.3</v>
      </c>
      <c r="AB22" s="265"/>
      <c r="AC22" s="264">
        <f>30+19</f>
        <v>49</v>
      </c>
      <c r="AD22" s="265"/>
    </row>
    <row r="23" spans="1:30" x14ac:dyDescent="0.15">
      <c r="A23" s="200">
        <v>7</v>
      </c>
      <c r="B23" s="534"/>
      <c r="C23" s="535"/>
      <c r="D23" s="536"/>
      <c r="E23" s="47" t="str">
        <f>VLOOKUP($G:$G,型材表!$B$5:$I$448,2,0)</f>
        <v>扇料</v>
      </c>
      <c r="F23" s="45" t="s">
        <v>808</v>
      </c>
      <c r="G23" s="45" t="str">
        <f>IF(F2=70,"ST70MS001",IF(F2=80,"ST80MS001",IF(F2=105,"ST105AMS001",IF(F2=115,"ST115MS001",IF(F2=90,"ST90MS001")))))</f>
        <v>ST80MS001</v>
      </c>
      <c r="H23" s="45" t="s">
        <v>1002</v>
      </c>
      <c r="I23" s="46">
        <f>IF(F2=70,L9-U23,IF(F2=80,L9-W23,IF(F2=105,L9-Y23,IF(F2=115,L9-AA23,IF(F2=90,L9-AC23)))))</f>
        <v>843.15</v>
      </c>
      <c r="J23" s="45">
        <v>2</v>
      </c>
      <c r="K23" s="47">
        <f>VLOOKUP($G:$G,型材表!$B$5:$I$448,4,0)</f>
        <v>1.4890000000000001</v>
      </c>
      <c r="L23" s="46">
        <f t="shared" si="0"/>
        <v>2.5109007000000001</v>
      </c>
      <c r="M23" s="72">
        <f>VLOOKUP($G:$G,型材表!$B$5:$I$448,7,0)</f>
        <v>0</v>
      </c>
      <c r="N23" s="46">
        <f t="shared" si="1"/>
        <v>0</v>
      </c>
      <c r="O23" s="100">
        <f>VLOOKUP($G:$G,型材表!$B$5:$I$448,5,0)</f>
        <v>0.125</v>
      </c>
      <c r="P23" s="100" t="str">
        <f>VLOOKUP($G:$G,型材表!$B$5:$I$448,6,0)</f>
        <v>断桥隔热铝型材</v>
      </c>
      <c r="Q23" s="49"/>
      <c r="R23" s="50"/>
      <c r="S23" s="459"/>
      <c r="T23" s="374" t="s">
        <v>1116</v>
      </c>
      <c r="U23" s="259">
        <f>(42.5*2-66)/2+53*2</f>
        <v>115.5</v>
      </c>
      <c r="W23" s="264">
        <f>41.8-69.9/2</f>
        <v>6.8499999999999943</v>
      </c>
      <c r="X23" s="265"/>
      <c r="Y23" s="264">
        <f>21+58.4*2-74/2</f>
        <v>100.80000000000001</v>
      </c>
      <c r="Z23" s="265"/>
      <c r="AA23" s="264">
        <f>25.6+55*2-72.1/2</f>
        <v>99.55</v>
      </c>
      <c r="AB23" s="265"/>
      <c r="AC23" s="264">
        <f>20.67+47.09*2-50/2</f>
        <v>89.850000000000009</v>
      </c>
      <c r="AD23" s="265"/>
    </row>
    <row r="24" spans="1:30" x14ac:dyDescent="0.15">
      <c r="A24" s="200">
        <v>8</v>
      </c>
      <c r="B24" s="534"/>
      <c r="C24" s="535"/>
      <c r="D24" s="536"/>
      <c r="E24" s="47" t="str">
        <f>VLOOKUP($G:$G,型材表!$B$5:$I$448,2,0)</f>
        <v>扇料</v>
      </c>
      <c r="F24" s="45" t="s">
        <v>819</v>
      </c>
      <c r="G24" s="45" t="str">
        <f>IF(F2=70,"ST70MS001",IF(F2=80,"ST80MS001",IF(F2=105,"ST105AMS002",IF(F2=115,"ST115MS001",IF(F2=90,"ST90MS002")))))</f>
        <v>ST80MS001</v>
      </c>
      <c r="H24" s="45" t="s">
        <v>1002</v>
      </c>
      <c r="I24" s="46">
        <f>I23</f>
        <v>843.15</v>
      </c>
      <c r="J24" s="45">
        <v>1</v>
      </c>
      <c r="K24" s="47">
        <f>VLOOKUP($G:$G,型材表!$B$5:$I$448,4,0)</f>
        <v>1.4890000000000001</v>
      </c>
      <c r="L24" s="46">
        <f t="shared" si="0"/>
        <v>1.25545035</v>
      </c>
      <c r="M24" s="72">
        <f>VLOOKUP($G:$G,型材表!$B$5:$I$448,7,0)</f>
        <v>0</v>
      </c>
      <c r="N24" s="46">
        <f t="shared" si="1"/>
        <v>0</v>
      </c>
      <c r="O24" s="100">
        <f>VLOOKUP($G:$G,型材表!$B$5:$I$448,5,0)</f>
        <v>0.125</v>
      </c>
      <c r="P24" s="100" t="str">
        <f>VLOOKUP($G:$G,型材表!$B$5:$I$448,6,0)</f>
        <v>断桥隔热铝型材</v>
      </c>
      <c r="Q24" s="49"/>
      <c r="R24" s="50"/>
      <c r="S24" s="459"/>
      <c r="W24" s="264"/>
      <c r="X24" s="265"/>
      <c r="Y24" s="264"/>
      <c r="Z24" s="265"/>
      <c r="AA24" s="264"/>
      <c r="AB24" s="265"/>
      <c r="AC24" s="264"/>
      <c r="AD24" s="265"/>
    </row>
    <row r="25" spans="1:30" x14ac:dyDescent="0.15">
      <c r="A25" s="200">
        <v>9</v>
      </c>
      <c r="B25" s="534"/>
      <c r="C25" s="535"/>
      <c r="D25" s="536"/>
      <c r="E25" s="47" t="str">
        <f>VLOOKUP($G:$G,型材表!$B$5:$I$448,2,0)</f>
        <v>扇料</v>
      </c>
      <c r="F25" s="45" t="s">
        <v>820</v>
      </c>
      <c r="G25" s="207" t="str">
        <f>IF(F2=70,"ST70MS001",IF(F2=80,"ST80MS001",IF(F2=105,"ST105AMS002",IF(F2=115,"ST115MS001",IF(F2=90,"ST90MS002")))))</f>
        <v>ST80MS001</v>
      </c>
      <c r="H25" s="45" t="s">
        <v>1002</v>
      </c>
      <c r="I25" s="208">
        <f>I24</f>
        <v>843.15</v>
      </c>
      <c r="J25" s="207">
        <v>1</v>
      </c>
      <c r="K25" s="47">
        <f>VLOOKUP($G:$G,型材表!$B$5:$I$448,4,0)</f>
        <v>1.4890000000000001</v>
      </c>
      <c r="L25" s="46">
        <f t="shared" si="0"/>
        <v>1.25545035</v>
      </c>
      <c r="M25" s="72">
        <f>VLOOKUP($G:$G,型材表!$B$5:$I$448,7,0)</f>
        <v>0</v>
      </c>
      <c r="N25" s="46">
        <f t="shared" si="1"/>
        <v>0</v>
      </c>
      <c r="O25" s="100">
        <f>VLOOKUP($G:$G,型材表!$B$5:$I$448,5,0)</f>
        <v>0.125</v>
      </c>
      <c r="P25" s="100" t="str">
        <f>VLOOKUP($G:$G,型材表!$B$5:$I$448,6,0)</f>
        <v>断桥隔热铝型材</v>
      </c>
      <c r="Q25" s="210"/>
      <c r="R25" s="50"/>
      <c r="S25" s="459"/>
      <c r="W25" s="264"/>
      <c r="X25" s="265"/>
      <c r="Y25" s="264"/>
      <c r="Z25" s="265"/>
      <c r="AA25" s="264"/>
      <c r="AB25" s="265"/>
      <c r="AC25" s="264"/>
      <c r="AD25" s="265"/>
    </row>
    <row r="26" spans="1:30" x14ac:dyDescent="0.15">
      <c r="A26" s="200">
        <v>10</v>
      </c>
      <c r="B26" s="537"/>
      <c r="C26" s="538"/>
      <c r="D26" s="539"/>
      <c r="E26" s="47"/>
      <c r="F26" s="45"/>
      <c r="G26" s="45"/>
      <c r="H26" s="45"/>
      <c r="I26" s="46"/>
      <c r="J26" s="45"/>
      <c r="K26" s="47"/>
      <c r="L26" s="46"/>
      <c r="M26" s="72"/>
      <c r="N26" s="46"/>
      <c r="O26" s="100"/>
      <c r="P26" s="100"/>
      <c r="Q26" s="49"/>
      <c r="R26" s="50"/>
      <c r="S26" s="459"/>
      <c r="W26" s="264"/>
      <c r="X26" s="265"/>
      <c r="Y26" s="264"/>
      <c r="Z26" s="265"/>
      <c r="AA26" s="264"/>
      <c r="AB26" s="265"/>
      <c r="AC26" s="264"/>
      <c r="AD26" s="265"/>
    </row>
    <row r="27" spans="1:30" ht="13.5" customHeight="1" x14ac:dyDescent="0.15">
      <c r="A27" s="200">
        <v>11</v>
      </c>
      <c r="B27" s="531" t="s">
        <v>44</v>
      </c>
      <c r="C27" s="532"/>
      <c r="D27" s="533"/>
      <c r="E27" s="47" t="str">
        <f>VLOOKUP($G:$G,型材表!$B$5:$I$448,2,0)</f>
        <v>勾企盖板</v>
      </c>
      <c r="F27" s="51"/>
      <c r="G27" s="45" t="str">
        <f>IF(F2=70,"ST70F001",IF(F2=80,"ST80F001",IF(F2=105,"ST105AMF002",IF(F2=115,"ST115MF002",0))))</f>
        <v>ST80F001</v>
      </c>
      <c r="H27" s="45" t="s">
        <v>1012</v>
      </c>
      <c r="I27" s="52">
        <f>I22</f>
        <v>2216</v>
      </c>
      <c r="J27" s="45">
        <v>2</v>
      </c>
      <c r="K27" s="47">
        <f>VLOOKUP($G:$G,型材表!$B$5:$I$448,4,0)</f>
        <v>0.34</v>
      </c>
      <c r="L27" s="46">
        <f t="shared" ref="L27:L31" si="2">I27*J27*K27/1000</f>
        <v>1.5068800000000002</v>
      </c>
      <c r="M27" s="72">
        <f>VLOOKUP($G:$G,型材表!$B$5:$I$448,7,0)</f>
        <v>0</v>
      </c>
      <c r="N27" s="46">
        <f t="shared" ref="N27:N31" si="3">M27*L27</f>
        <v>0</v>
      </c>
      <c r="O27" s="100">
        <f>VLOOKUP($G:$G,型材表!$B$5:$I$448,5,0)</f>
        <v>0.125</v>
      </c>
      <c r="P27" s="100" t="str">
        <f>VLOOKUP($G:$G,型材表!$B$5:$I$448,6,0)</f>
        <v>非断桥隔热铝型材</v>
      </c>
      <c r="Q27" s="49"/>
      <c r="R27" s="50"/>
      <c r="S27" s="459"/>
      <c r="W27" s="264"/>
      <c r="X27" s="265"/>
      <c r="Y27" s="264"/>
      <c r="Z27" s="265"/>
      <c r="AA27" s="264"/>
      <c r="AB27" s="265"/>
      <c r="AC27" s="264"/>
      <c r="AD27" s="265"/>
    </row>
    <row r="28" spans="1:30" s="229" customFormat="1" x14ac:dyDescent="0.15">
      <c r="A28" s="200">
        <v>12</v>
      </c>
      <c r="B28" s="534"/>
      <c r="C28" s="535"/>
      <c r="D28" s="536"/>
      <c r="E28" s="221"/>
      <c r="F28" s="230"/>
      <c r="G28" s="222"/>
      <c r="H28" s="233"/>
      <c r="I28" s="231"/>
      <c r="J28" s="222"/>
      <c r="K28" s="221"/>
      <c r="L28" s="224"/>
      <c r="M28" s="225"/>
      <c r="N28" s="224"/>
      <c r="O28" s="226"/>
      <c r="P28" s="100"/>
      <c r="Q28" s="227"/>
      <c r="R28" s="228"/>
      <c r="S28" s="467"/>
      <c r="T28" s="375"/>
      <c r="U28" s="266"/>
      <c r="V28" s="266"/>
      <c r="W28" s="267"/>
      <c r="X28" s="268"/>
      <c r="Y28" s="267"/>
      <c r="Z28" s="268"/>
      <c r="AA28" s="267"/>
      <c r="AB28" s="268"/>
      <c r="AC28" s="267"/>
      <c r="AD28" s="268"/>
    </row>
    <row r="29" spans="1:30" x14ac:dyDescent="0.15">
      <c r="A29" s="200">
        <v>13</v>
      </c>
      <c r="B29" s="534"/>
      <c r="C29" s="535"/>
      <c r="D29" s="536"/>
      <c r="E29" s="47" t="str">
        <f>VLOOKUP($G:$G,型材表!$B$5:$I$448,2,0)</f>
        <v>挡水板</v>
      </c>
      <c r="F29" s="213"/>
      <c r="G29" s="207" t="str">
        <f>IF(F2=70,"ST70F002",IF(F2=80,"ST80F002",0))</f>
        <v>ST80F002</v>
      </c>
      <c r="H29" s="45" t="s">
        <v>1091</v>
      </c>
      <c r="I29" s="214">
        <f>IF(F2=105,0,I18)</f>
        <v>1700</v>
      </c>
      <c r="J29" s="207">
        <v>1</v>
      </c>
      <c r="K29" s="47">
        <f>VLOOKUP($G:$G,型材表!$B$5:$I$448,4,0)</f>
        <v>0.30199999999999999</v>
      </c>
      <c r="L29" s="46">
        <f t="shared" si="2"/>
        <v>0.51339999999999997</v>
      </c>
      <c r="M29" s="72">
        <f>VLOOKUP($G:$G,型材表!$B$5:$I$448,7,0)</f>
        <v>0</v>
      </c>
      <c r="N29" s="46">
        <f t="shared" si="3"/>
        <v>0</v>
      </c>
      <c r="O29" s="100">
        <f>VLOOKUP($G:$G,型材表!$B$5:$I$448,5,0)</f>
        <v>0.125</v>
      </c>
      <c r="P29" s="100" t="str">
        <f>VLOOKUP($G:$G,型材表!$B$5:$I$448,6,0)</f>
        <v>非断桥隔热铝型材</v>
      </c>
      <c r="Q29" s="210"/>
      <c r="R29" s="50"/>
      <c r="S29" s="459"/>
      <c r="W29" s="264"/>
      <c r="X29" s="265"/>
      <c r="Y29" s="264"/>
      <c r="Z29" s="265"/>
      <c r="AA29" s="264"/>
      <c r="AB29" s="265"/>
      <c r="AC29" s="264"/>
      <c r="AD29" s="265"/>
    </row>
    <row r="30" spans="1:30" s="229" customFormat="1" x14ac:dyDescent="0.15">
      <c r="A30" s="200">
        <v>14</v>
      </c>
      <c r="B30" s="534"/>
      <c r="C30" s="535"/>
      <c r="D30" s="536"/>
      <c r="E30" s="221"/>
      <c r="F30" s="230"/>
      <c r="G30" s="222"/>
      <c r="H30" s="233"/>
      <c r="I30" s="231"/>
      <c r="J30" s="222"/>
      <c r="K30" s="221"/>
      <c r="L30" s="224"/>
      <c r="M30" s="225"/>
      <c r="N30" s="224"/>
      <c r="O30" s="226"/>
      <c r="P30" s="100"/>
      <c r="Q30" s="227"/>
      <c r="R30" s="228"/>
      <c r="S30" s="467"/>
      <c r="T30" s="375"/>
      <c r="U30" s="266"/>
      <c r="V30" s="266"/>
      <c r="W30" s="267"/>
      <c r="X30" s="268"/>
      <c r="Y30" s="267"/>
      <c r="Z30" s="268"/>
      <c r="AA30" s="267"/>
      <c r="AB30" s="268"/>
      <c r="AC30" s="267"/>
      <c r="AD30" s="268"/>
    </row>
    <row r="31" spans="1:30" x14ac:dyDescent="0.15">
      <c r="A31" s="200">
        <v>15</v>
      </c>
      <c r="B31" s="534"/>
      <c r="C31" s="535"/>
      <c r="D31" s="536"/>
      <c r="E31" s="47" t="str">
        <f>VLOOKUP($G:$G,型材表!$B$5:$I$448,2,0)</f>
        <v>角码</v>
      </c>
      <c r="F31" s="51" t="s">
        <v>446</v>
      </c>
      <c r="G31" s="45" t="str">
        <f>IF(F2=70,"SW50F002",IF(F2=80,"ST80MF002",0))</f>
        <v>ST80MF002</v>
      </c>
      <c r="H31" s="45" t="s">
        <v>1006</v>
      </c>
      <c r="I31" s="52">
        <f>IF(F2=70,U31,IF(F2=80,W31,0))</f>
        <v>39.799999999999997</v>
      </c>
      <c r="J31" s="45">
        <v>4</v>
      </c>
      <c r="K31" s="47">
        <f>VLOOKUP($G:$G,型材表!$B$5:$I$448,4,0)</f>
        <v>3.2589999999999999</v>
      </c>
      <c r="L31" s="46">
        <f t="shared" si="2"/>
        <v>0.51883279999999987</v>
      </c>
      <c r="M31" s="72">
        <f>VLOOKUP($G:$G,型材表!$B$5:$I$448,7,0)</f>
        <v>0</v>
      </c>
      <c r="N31" s="46">
        <f t="shared" si="3"/>
        <v>0</v>
      </c>
      <c r="O31" s="100">
        <f>VLOOKUP($G:$G,型材表!$B$5:$I$448,5,0)</f>
        <v>0.125</v>
      </c>
      <c r="P31" s="100" t="str">
        <f>VLOOKUP($G:$G,型材表!$B$5:$I$448,6,0)</f>
        <v>阳极氧化铝型材</v>
      </c>
      <c r="Q31" s="49"/>
      <c r="R31" s="50"/>
      <c r="S31" s="459"/>
      <c r="T31" s="374" t="s">
        <v>1110</v>
      </c>
      <c r="U31" s="259">
        <f>20.8-1+32.8-1</f>
        <v>51.599999999999994</v>
      </c>
      <c r="W31" s="264">
        <f>25.2-1+16.6-1</f>
        <v>39.799999999999997</v>
      </c>
      <c r="X31" s="265"/>
      <c r="Y31" s="264"/>
      <c r="Z31" s="265"/>
      <c r="AA31" s="264"/>
      <c r="AB31" s="265"/>
      <c r="AC31" s="264"/>
      <c r="AD31" s="265"/>
    </row>
    <row r="32" spans="1:30" x14ac:dyDescent="0.15">
      <c r="A32" s="200">
        <v>16</v>
      </c>
      <c r="B32" s="534"/>
      <c r="C32" s="535"/>
      <c r="D32" s="536"/>
      <c r="E32" s="47" t="str">
        <f>VLOOKUP($G:$G,型材表!$B$5:$I$448,2,0)</f>
        <v>角码</v>
      </c>
      <c r="F32" s="213" t="s">
        <v>447</v>
      </c>
      <c r="G32" s="207" t="str">
        <f>IF(F2=80,"ST80MF002",0)</f>
        <v>ST80MF002</v>
      </c>
      <c r="H32" s="45" t="s">
        <v>995</v>
      </c>
      <c r="I32" s="214">
        <f>IF(F2=80,W32,0)</f>
        <v>13.4</v>
      </c>
      <c r="J32" s="207">
        <v>8</v>
      </c>
      <c r="K32" s="47">
        <f>VLOOKUP($G:$G,型材表!$B$5:$I$448,4,0)</f>
        <v>3.2589999999999999</v>
      </c>
      <c r="L32" s="46">
        <f t="shared" ref="L32" si="4">I32*J32*K32/1000</f>
        <v>0.34936479999999998</v>
      </c>
      <c r="M32" s="72">
        <f>VLOOKUP($G:$G,型材表!$B$5:$I$448,7,0)</f>
        <v>0</v>
      </c>
      <c r="N32" s="46">
        <f t="shared" ref="N32" si="5">M32*L32</f>
        <v>0</v>
      </c>
      <c r="O32" s="100">
        <f>VLOOKUP($G:$G,型材表!$B$5:$I$448,5,0)</f>
        <v>0.125</v>
      </c>
      <c r="P32" s="100" t="str">
        <f>VLOOKUP($G:$G,型材表!$B$5:$I$448,6,0)</f>
        <v>阳极氧化铝型材</v>
      </c>
      <c r="Q32" s="210"/>
      <c r="R32" s="50"/>
      <c r="S32" s="459"/>
      <c r="T32" s="374" t="s">
        <v>995</v>
      </c>
      <c r="W32" s="264">
        <f>7.7-1+7.7-1</f>
        <v>13.4</v>
      </c>
      <c r="X32" s="265"/>
      <c r="Y32" s="264"/>
      <c r="Z32" s="265"/>
      <c r="AA32" s="264"/>
      <c r="AB32" s="265"/>
      <c r="AC32" s="264"/>
      <c r="AD32" s="265"/>
    </row>
    <row r="33" spans="1:30" s="229" customFormat="1" x14ac:dyDescent="0.15">
      <c r="A33" s="200">
        <v>17</v>
      </c>
      <c r="B33" s="537"/>
      <c r="C33" s="538"/>
      <c r="D33" s="539"/>
      <c r="E33" s="221"/>
      <c r="F33" s="232"/>
      <c r="G33" s="233"/>
      <c r="H33" s="233"/>
      <c r="I33" s="234"/>
      <c r="J33" s="233"/>
      <c r="K33" s="221"/>
      <c r="L33" s="224"/>
      <c r="M33" s="225"/>
      <c r="N33" s="224"/>
      <c r="O33" s="226"/>
      <c r="P33" s="226"/>
      <c r="Q33" s="235"/>
      <c r="R33" s="228"/>
      <c r="S33" s="467"/>
      <c r="T33" s="375"/>
      <c r="U33" s="266"/>
      <c r="V33" s="266"/>
      <c r="W33" s="267"/>
      <c r="X33" s="268"/>
      <c r="Y33" s="267"/>
      <c r="Z33" s="268"/>
      <c r="AA33" s="267"/>
      <c r="AB33" s="268"/>
      <c r="AC33" s="267"/>
      <c r="AD33" s="268"/>
    </row>
    <row r="34" spans="1:30" s="229" customFormat="1" x14ac:dyDescent="0.15">
      <c r="A34" s="567" t="s">
        <v>919</v>
      </c>
      <c r="B34" s="568"/>
      <c r="C34" s="568"/>
      <c r="D34" s="568"/>
      <c r="E34" s="568"/>
      <c r="F34" s="568"/>
      <c r="G34" s="568"/>
      <c r="H34" s="568"/>
      <c r="I34" s="568"/>
      <c r="J34" s="568"/>
      <c r="K34" s="569"/>
      <c r="L34" s="224">
        <f>SUMIF($P$17:$P$33,A34,$L$17:$L$33)</f>
        <v>35.348297399999993</v>
      </c>
      <c r="M34" s="353"/>
      <c r="N34" s="224"/>
      <c r="O34" s="354"/>
      <c r="P34" s="355"/>
      <c r="Q34" s="296"/>
      <c r="R34" s="228"/>
      <c r="S34" s="467"/>
      <c r="T34" s="375"/>
      <c r="U34" s="266"/>
      <c r="V34" s="266"/>
      <c r="W34" s="267"/>
      <c r="X34" s="268"/>
      <c r="Y34" s="267"/>
      <c r="Z34" s="268"/>
      <c r="AA34" s="267"/>
      <c r="AB34" s="268"/>
      <c r="AC34" s="267"/>
      <c r="AD34" s="268"/>
    </row>
    <row r="35" spans="1:30" s="229" customFormat="1" x14ac:dyDescent="0.15">
      <c r="A35" s="567" t="s">
        <v>920</v>
      </c>
      <c r="B35" s="568"/>
      <c r="C35" s="568"/>
      <c r="D35" s="568"/>
      <c r="E35" s="568"/>
      <c r="F35" s="568"/>
      <c r="G35" s="568"/>
      <c r="H35" s="568"/>
      <c r="I35" s="568"/>
      <c r="J35" s="568"/>
      <c r="K35" s="569"/>
      <c r="L35" s="224">
        <f t="shared" ref="L35:L36" si="6">SUMIF($P$17:$P$33,A35,$L$17:$L$33)</f>
        <v>2.0202800000000001</v>
      </c>
      <c r="M35" s="353"/>
      <c r="N35" s="224"/>
      <c r="O35" s="354"/>
      <c r="P35" s="355"/>
      <c r="Q35" s="296"/>
      <c r="R35" s="228"/>
      <c r="S35" s="467"/>
      <c r="T35" s="375"/>
      <c r="U35" s="266"/>
      <c r="V35" s="266"/>
      <c r="W35" s="267"/>
      <c r="X35" s="268"/>
      <c r="Y35" s="267"/>
      <c r="Z35" s="268"/>
      <c r="AA35" s="267"/>
      <c r="AB35" s="268"/>
      <c r="AC35" s="267"/>
      <c r="AD35" s="268"/>
    </row>
    <row r="36" spans="1:30" s="229" customFormat="1" x14ac:dyDescent="0.15">
      <c r="A36" s="567" t="s">
        <v>921</v>
      </c>
      <c r="B36" s="568"/>
      <c r="C36" s="568"/>
      <c r="D36" s="568"/>
      <c r="E36" s="568"/>
      <c r="F36" s="568"/>
      <c r="G36" s="568"/>
      <c r="H36" s="568"/>
      <c r="I36" s="568"/>
      <c r="J36" s="568"/>
      <c r="K36" s="569"/>
      <c r="L36" s="224">
        <f t="shared" si="6"/>
        <v>0.86819759999999979</v>
      </c>
      <c r="M36" s="353"/>
      <c r="N36" s="224"/>
      <c r="O36" s="354"/>
      <c r="P36" s="355"/>
      <c r="Q36" s="296"/>
      <c r="R36" s="228"/>
      <c r="S36" s="467"/>
      <c r="T36" s="375"/>
      <c r="U36" s="266"/>
      <c r="V36" s="266"/>
      <c r="W36" s="267"/>
      <c r="X36" s="268"/>
      <c r="Y36" s="267"/>
      <c r="Z36" s="268"/>
      <c r="AA36" s="267"/>
      <c r="AB36" s="268"/>
      <c r="AC36" s="267"/>
      <c r="AD36" s="268"/>
    </row>
    <row r="37" spans="1:30" x14ac:dyDescent="0.15">
      <c r="A37" s="61"/>
      <c r="B37" s="571"/>
      <c r="C37" s="572"/>
      <c r="D37" s="573"/>
      <c r="E37" s="552" t="s">
        <v>48</v>
      </c>
      <c r="F37" s="557"/>
      <c r="G37" s="557"/>
      <c r="H37" s="557"/>
      <c r="I37" s="557"/>
      <c r="J37" s="557"/>
      <c r="K37" s="553"/>
      <c r="L37" s="62">
        <f>SUM(L34:L36)</f>
        <v>38.236774999999994</v>
      </c>
      <c r="M37" s="63"/>
      <c r="N37" s="62">
        <f>SUM(N17:N33)</f>
        <v>0</v>
      </c>
      <c r="O37" s="63"/>
      <c r="P37" s="337"/>
      <c r="Q37" s="64"/>
      <c r="R37" s="64"/>
      <c r="S37" s="460"/>
      <c r="W37" s="264"/>
      <c r="X37" s="265"/>
      <c r="Y37" s="264"/>
      <c r="Z37" s="265"/>
      <c r="AA37" s="264"/>
      <c r="AB37" s="265"/>
      <c r="AC37" s="264"/>
      <c r="AD37" s="265"/>
    </row>
    <row r="38" spans="1:30" ht="24" x14ac:dyDescent="0.15">
      <c r="A38" s="65"/>
      <c r="B38" s="560" t="s">
        <v>49</v>
      </c>
      <c r="C38" s="561"/>
      <c r="D38" s="562"/>
      <c r="E38" s="565" t="s">
        <v>26</v>
      </c>
      <c r="F38" s="566"/>
      <c r="G38" s="66" t="s">
        <v>1093</v>
      </c>
      <c r="H38" s="66" t="s">
        <v>1094</v>
      </c>
      <c r="I38" s="66" t="s">
        <v>50</v>
      </c>
      <c r="J38" s="66" t="s">
        <v>51</v>
      </c>
      <c r="K38" s="67" t="s">
        <v>30</v>
      </c>
      <c r="L38" s="66" t="s">
        <v>52</v>
      </c>
      <c r="M38" s="68" t="s">
        <v>53</v>
      </c>
      <c r="N38" s="68" t="s">
        <v>34</v>
      </c>
      <c r="O38" s="69" t="s">
        <v>35</v>
      </c>
      <c r="P38" s="42"/>
      <c r="Q38" s="67"/>
      <c r="R38" s="67"/>
      <c r="S38" s="461"/>
      <c r="U38" s="270" t="s">
        <v>352</v>
      </c>
      <c r="V38" s="270" t="s">
        <v>353</v>
      </c>
      <c r="W38" s="271" t="s">
        <v>352</v>
      </c>
      <c r="X38" s="272" t="s">
        <v>353</v>
      </c>
      <c r="Y38" s="271" t="s">
        <v>352</v>
      </c>
      <c r="Z38" s="272" t="s">
        <v>353</v>
      </c>
      <c r="AA38" s="271" t="s">
        <v>352</v>
      </c>
      <c r="AB38" s="272" t="s">
        <v>353</v>
      </c>
      <c r="AC38" s="271" t="s">
        <v>352</v>
      </c>
      <c r="AD38" s="272" t="s">
        <v>353</v>
      </c>
    </row>
    <row r="39" spans="1:30" ht="24" customHeight="1" x14ac:dyDescent="0.15">
      <c r="A39" s="188">
        <v>1</v>
      </c>
      <c r="B39" s="545" t="s">
        <v>54</v>
      </c>
      <c r="C39" s="546"/>
      <c r="D39" s="547"/>
      <c r="E39" s="545" t="s">
        <v>55</v>
      </c>
      <c r="F39" s="547"/>
      <c r="G39" s="45" t="s">
        <v>1095</v>
      </c>
      <c r="H39" s="45" t="s">
        <v>1096</v>
      </c>
      <c r="I39" s="46">
        <f>IF(F2=70,L9-U39,IF(F2=80,L9-W39,IF(F2=105,L9-Y39,IF(F2=115,L9-AA39,IF(F2=90,L9-AC39)))))</f>
        <v>724.35</v>
      </c>
      <c r="J39" s="70">
        <f>IF(F2=70,L6-V39,IF(F2=80,L6-X39,IF(F2=105,L6-Z39,IF(F2=115,L6-AB39,IF(F2=90,L6-AD39)))))</f>
        <v>2097.4</v>
      </c>
      <c r="K39" s="70">
        <v>2</v>
      </c>
      <c r="L39" s="46">
        <f>I39*J39*K39/1000000</f>
        <v>3.0385033800000003</v>
      </c>
      <c r="M39" s="46"/>
      <c r="N39" s="46">
        <f>M39*L39</f>
        <v>0</v>
      </c>
      <c r="O39" s="71"/>
      <c r="P39" s="71"/>
      <c r="Q39" s="72"/>
      <c r="R39" s="72"/>
      <c r="S39" s="462" t="s">
        <v>1610</v>
      </c>
      <c r="T39" s="374" t="s">
        <v>1611</v>
      </c>
      <c r="U39" s="371">
        <f>99.57+48.13/2</f>
        <v>123.63499999999999</v>
      </c>
      <c r="V39" s="371">
        <f>99.57*2</f>
        <v>199.14</v>
      </c>
      <c r="W39" s="372">
        <f>101.3+48.7/2</f>
        <v>125.65</v>
      </c>
      <c r="X39" s="373">
        <f>101.3*2</f>
        <v>202.6</v>
      </c>
      <c r="Y39" s="372">
        <f>84.4+52.1/2</f>
        <v>110.45</v>
      </c>
      <c r="Z39" s="373">
        <f>84.4+96</f>
        <v>180.4</v>
      </c>
      <c r="AA39" s="372">
        <f>85.6+47.9/2</f>
        <v>109.55</v>
      </c>
      <c r="AB39" s="373">
        <f>97.96+93.3</f>
        <v>191.26</v>
      </c>
      <c r="AC39" s="372">
        <f>72.67+20/2</f>
        <v>82.67</v>
      </c>
      <c r="AD39" s="373">
        <f>70+69</f>
        <v>139</v>
      </c>
    </row>
    <row r="40" spans="1:30" x14ac:dyDescent="0.15">
      <c r="A40" s="188"/>
      <c r="B40" s="545"/>
      <c r="C40" s="546"/>
      <c r="D40" s="547"/>
      <c r="E40" s="545"/>
      <c r="F40" s="547"/>
      <c r="G40" s="45"/>
      <c r="H40" s="45"/>
      <c r="I40" s="45"/>
      <c r="J40" s="45"/>
      <c r="K40" s="70"/>
      <c r="L40" s="46"/>
      <c r="M40" s="46"/>
      <c r="N40" s="46"/>
      <c r="O40" s="71"/>
      <c r="P40" s="71"/>
      <c r="Q40" s="72"/>
      <c r="R40" s="72"/>
      <c r="S40" s="462"/>
      <c r="W40" s="264"/>
      <c r="X40" s="265"/>
      <c r="Y40" s="264"/>
      <c r="Z40" s="265"/>
      <c r="AA40" s="264"/>
      <c r="AB40" s="265"/>
      <c r="AC40" s="264"/>
      <c r="AD40" s="265"/>
    </row>
    <row r="41" spans="1:30" x14ac:dyDescent="0.15">
      <c r="A41" s="188"/>
      <c r="B41" s="545"/>
      <c r="C41" s="546"/>
      <c r="D41" s="547"/>
      <c r="E41" s="545"/>
      <c r="F41" s="547"/>
      <c r="G41" s="45"/>
      <c r="H41" s="45"/>
      <c r="I41" s="46"/>
      <c r="J41" s="188"/>
      <c r="K41" s="70"/>
      <c r="L41" s="46"/>
      <c r="M41" s="46"/>
      <c r="N41" s="46"/>
      <c r="O41" s="48"/>
      <c r="P41" s="48"/>
      <c r="Q41" s="73"/>
      <c r="R41" s="73"/>
      <c r="S41" s="463"/>
      <c r="W41" s="264"/>
      <c r="X41" s="265"/>
      <c r="AA41" s="277"/>
      <c r="AB41" s="277"/>
      <c r="AC41" s="277"/>
      <c r="AD41" s="277"/>
    </row>
    <row r="42" spans="1:30" x14ac:dyDescent="0.15">
      <c r="A42" s="74"/>
      <c r="B42" s="571"/>
      <c r="C42" s="572"/>
      <c r="D42" s="573"/>
      <c r="E42" s="554" t="s">
        <v>56</v>
      </c>
      <c r="F42" s="554"/>
      <c r="G42" s="554"/>
      <c r="H42" s="554"/>
      <c r="I42" s="570"/>
      <c r="J42" s="570"/>
      <c r="K42" s="554"/>
      <c r="L42" s="62">
        <f>SUM(L39:L41)</f>
        <v>3.0385033800000003</v>
      </c>
      <c r="M42" s="186"/>
      <c r="N42" s="62">
        <f>SUM(N39:N41)</f>
        <v>0</v>
      </c>
      <c r="O42" s="63" t="s">
        <v>57</v>
      </c>
      <c r="P42" s="337"/>
      <c r="Q42" s="64"/>
      <c r="R42" s="64"/>
      <c r="S42" s="460"/>
    </row>
    <row r="43" spans="1:30" ht="24" x14ac:dyDescent="0.15">
      <c r="A43" s="65"/>
      <c r="B43" s="560" t="s">
        <v>58</v>
      </c>
      <c r="C43" s="561"/>
      <c r="D43" s="562"/>
      <c r="E43" s="565" t="s">
        <v>26</v>
      </c>
      <c r="F43" s="566"/>
      <c r="G43" s="66" t="s">
        <v>59</v>
      </c>
      <c r="H43" s="66"/>
      <c r="I43" s="66" t="s">
        <v>60</v>
      </c>
      <c r="J43" s="66" t="s">
        <v>6</v>
      </c>
      <c r="K43" s="67" t="s">
        <v>61</v>
      </c>
      <c r="L43" s="66" t="s">
        <v>30</v>
      </c>
      <c r="M43" s="68" t="s">
        <v>62</v>
      </c>
      <c r="N43" s="68" t="s">
        <v>34</v>
      </c>
      <c r="O43" s="69" t="s">
        <v>57</v>
      </c>
      <c r="P43" s="42"/>
      <c r="Q43" s="67"/>
      <c r="R43" s="67"/>
      <c r="S43" s="461"/>
    </row>
    <row r="44" spans="1:30" ht="25.5" customHeight="1" x14ac:dyDescent="0.15">
      <c r="A44" s="188">
        <v>1</v>
      </c>
      <c r="B44" s="545"/>
      <c r="C44" s="546"/>
      <c r="D44" s="547"/>
      <c r="E44" s="545" t="s">
        <v>815</v>
      </c>
      <c r="F44" s="547"/>
      <c r="G44" s="45"/>
      <c r="H44" s="45"/>
      <c r="I44" s="45"/>
      <c r="J44" s="46" t="str">
        <f>VLOOKUP($E:$E,材料单价表!$B$3:$G$42,4,0)</f>
        <v>套</v>
      </c>
      <c r="K44" s="72"/>
      <c r="L44" s="46">
        <v>2</v>
      </c>
      <c r="M44" s="46">
        <f>VLOOKUP($E:$E,材料单价表!$B$3:$G$42,5,0)</f>
        <v>0</v>
      </c>
      <c r="N44" s="46">
        <f t="shared" ref="N44" si="7">M44*L44</f>
        <v>0</v>
      </c>
      <c r="O44" s="48"/>
      <c r="P44" s="48"/>
      <c r="Q44" s="73"/>
      <c r="R44" s="73"/>
      <c r="S44" s="463"/>
    </row>
    <row r="45" spans="1:30" x14ac:dyDescent="0.15">
      <c r="A45" s="74"/>
      <c r="B45" s="571"/>
      <c r="C45" s="572"/>
      <c r="D45" s="573"/>
      <c r="E45" s="554" t="s">
        <v>64</v>
      </c>
      <c r="F45" s="554"/>
      <c r="G45" s="554"/>
      <c r="H45" s="554"/>
      <c r="I45" s="570"/>
      <c r="J45" s="570"/>
      <c r="K45" s="554"/>
      <c r="L45" s="62">
        <f>L44</f>
        <v>2</v>
      </c>
      <c r="M45" s="186"/>
      <c r="N45" s="62">
        <f>SUM(N44:N44)</f>
        <v>0</v>
      </c>
      <c r="O45" s="63" t="s">
        <v>57</v>
      </c>
      <c r="P45" s="337"/>
      <c r="Q45" s="64"/>
      <c r="R45" s="64"/>
      <c r="S45" s="460"/>
    </row>
    <row r="46" spans="1:30" ht="24" x14ac:dyDescent="0.15">
      <c r="A46" s="65"/>
      <c r="B46" s="560" t="s">
        <v>65</v>
      </c>
      <c r="C46" s="561"/>
      <c r="D46" s="562"/>
      <c r="E46" s="565" t="s">
        <v>26</v>
      </c>
      <c r="F46" s="566"/>
      <c r="G46" s="66" t="s">
        <v>59</v>
      </c>
      <c r="H46" s="66"/>
      <c r="I46" s="66" t="s">
        <v>60</v>
      </c>
      <c r="J46" s="66" t="s">
        <v>6</v>
      </c>
      <c r="K46" s="67" t="s">
        <v>61</v>
      </c>
      <c r="L46" s="66" t="s">
        <v>30</v>
      </c>
      <c r="M46" s="68" t="s">
        <v>62</v>
      </c>
      <c r="N46" s="68" t="s">
        <v>34</v>
      </c>
      <c r="O46" s="69" t="s">
        <v>57</v>
      </c>
      <c r="P46" s="42"/>
      <c r="Q46" s="67"/>
      <c r="R46" s="67"/>
      <c r="S46" s="461"/>
    </row>
    <row r="47" spans="1:30" ht="13.5" customHeight="1" x14ac:dyDescent="0.15">
      <c r="A47" s="76">
        <v>1</v>
      </c>
      <c r="B47" s="545"/>
      <c r="C47" s="546"/>
      <c r="D47" s="547"/>
      <c r="E47" s="558" t="s">
        <v>66</v>
      </c>
      <c r="F47" s="559"/>
      <c r="G47" s="78"/>
      <c r="H47" s="78"/>
      <c r="I47" s="77"/>
      <c r="J47" s="46" t="str">
        <f>VLOOKUP($E:$E,材料单价表!$B$3:$G$42,4,0)</f>
        <v>m</v>
      </c>
      <c r="K47" s="46"/>
      <c r="L47" s="80">
        <f>L15</f>
        <v>8.4</v>
      </c>
      <c r="M47" s="46">
        <f>VLOOKUP($E:$E,材料单价表!$B$3:$G$42,5,0)</f>
        <v>0</v>
      </c>
      <c r="N47" s="46">
        <f>M47*L47</f>
        <v>0</v>
      </c>
      <c r="O47" s="48"/>
      <c r="P47" s="59"/>
      <c r="Q47" s="81"/>
      <c r="R47" s="79"/>
      <c r="S47" s="464"/>
    </row>
    <row r="48" spans="1:30" ht="15.75" customHeight="1" x14ac:dyDescent="0.15">
      <c r="A48" s="76">
        <v>2</v>
      </c>
      <c r="B48" s="545"/>
      <c r="C48" s="546"/>
      <c r="D48" s="547"/>
      <c r="E48" s="558" t="s">
        <v>68</v>
      </c>
      <c r="F48" s="559"/>
      <c r="G48" s="78" t="s">
        <v>67</v>
      </c>
      <c r="H48" s="78"/>
      <c r="I48" s="77"/>
      <c r="J48" s="46" t="str">
        <f>VLOOKUP($E:$E,材料单价表!$B$3:$G$42,4,0)</f>
        <v>m</v>
      </c>
      <c r="K48" s="46"/>
      <c r="L48" s="80">
        <f>(I21*J21+I22*J22+I23*J23+I24*J24+I25*J25)/1000*2</f>
        <v>24.473199999999999</v>
      </c>
      <c r="M48" s="46">
        <f>VLOOKUP($E:$E,材料单价表!$B$3:$G$42,5,0)</f>
        <v>0</v>
      </c>
      <c r="N48" s="46">
        <f t="shared" ref="N48:N53" si="8">M48*L48</f>
        <v>0</v>
      </c>
      <c r="O48" s="48"/>
      <c r="P48" s="59"/>
      <c r="Q48" s="81"/>
      <c r="R48" s="79"/>
      <c r="S48" s="464"/>
      <c r="U48" s="104"/>
      <c r="V48" s="104"/>
    </row>
    <row r="49" spans="1:22" ht="13.5" customHeight="1" x14ac:dyDescent="0.15">
      <c r="A49" s="76">
        <v>3</v>
      </c>
      <c r="B49" s="545"/>
      <c r="C49" s="546"/>
      <c r="D49" s="547"/>
      <c r="E49" s="558" t="s">
        <v>68</v>
      </c>
      <c r="F49" s="559"/>
      <c r="G49" s="78" t="s">
        <v>69</v>
      </c>
      <c r="H49" s="78"/>
      <c r="I49" s="77"/>
      <c r="J49" s="46" t="str">
        <f>VLOOKUP($E:$E,材料单价表!$B$3:$G$42,4,0)</f>
        <v>m</v>
      </c>
      <c r="K49" s="46"/>
      <c r="L49" s="80">
        <f>L15</f>
        <v>8.4</v>
      </c>
      <c r="M49" s="46">
        <f>VLOOKUP($E:$E,材料单价表!$B$3:$G$42,5,0)</f>
        <v>0</v>
      </c>
      <c r="N49" s="46">
        <f t="shared" si="8"/>
        <v>0</v>
      </c>
      <c r="O49" s="48"/>
      <c r="P49" s="59"/>
      <c r="Q49" s="81"/>
      <c r="R49" s="79"/>
      <c r="S49" s="464"/>
      <c r="U49" s="104"/>
      <c r="V49" s="104"/>
    </row>
    <row r="50" spans="1:22" ht="13.5" customHeight="1" x14ac:dyDescent="0.15">
      <c r="A50" s="76">
        <v>4</v>
      </c>
      <c r="B50" s="545"/>
      <c r="C50" s="546"/>
      <c r="D50" s="547"/>
      <c r="E50" s="558" t="s">
        <v>68</v>
      </c>
      <c r="F50" s="559"/>
      <c r="G50" s="78" t="s">
        <v>70</v>
      </c>
      <c r="H50" s="78"/>
      <c r="I50" s="77"/>
      <c r="J50" s="46" t="str">
        <f>VLOOKUP($E:$E,材料单价表!$B$3:$G$42,4,0)</f>
        <v>m</v>
      </c>
      <c r="K50" s="46"/>
      <c r="L50" s="80">
        <f>L15</f>
        <v>8.4</v>
      </c>
      <c r="M50" s="46">
        <f>VLOOKUP($E:$E,材料单价表!$B$3:$G$42,5,0)</f>
        <v>0</v>
      </c>
      <c r="N50" s="46">
        <f t="shared" si="8"/>
        <v>0</v>
      </c>
      <c r="O50" s="48"/>
      <c r="P50" s="59"/>
      <c r="Q50" s="81"/>
      <c r="R50" s="79"/>
      <c r="S50" s="464"/>
      <c r="U50" s="104"/>
      <c r="V50" s="104"/>
    </row>
    <row r="51" spans="1:22" ht="13.5" customHeight="1" x14ac:dyDescent="0.15">
      <c r="A51" s="76">
        <v>5</v>
      </c>
      <c r="B51" s="545"/>
      <c r="C51" s="546"/>
      <c r="D51" s="547"/>
      <c r="E51" s="558" t="s">
        <v>71</v>
      </c>
      <c r="F51" s="559"/>
      <c r="G51" s="78"/>
      <c r="H51" s="78"/>
      <c r="I51" s="77"/>
      <c r="J51" s="46" t="str">
        <f>VLOOKUP($E:$E,材料单价表!$B$3:$G$42,4,0)</f>
        <v>个</v>
      </c>
      <c r="K51" s="79"/>
      <c r="L51" s="80">
        <f>J31+J32</f>
        <v>12</v>
      </c>
      <c r="M51" s="46">
        <f>VLOOKUP($E:$E,材料单价表!$B$3:$G$42,5,0)</f>
        <v>0</v>
      </c>
      <c r="N51" s="46">
        <f t="shared" si="8"/>
        <v>0</v>
      </c>
      <c r="O51" s="48"/>
      <c r="P51" s="59"/>
      <c r="Q51" s="81"/>
      <c r="R51" s="79"/>
      <c r="S51" s="464"/>
    </row>
    <row r="52" spans="1:22" ht="13.5" customHeight="1" x14ac:dyDescent="0.15">
      <c r="A52" s="76">
        <v>6</v>
      </c>
      <c r="B52" s="545"/>
      <c r="C52" s="546"/>
      <c r="D52" s="547"/>
      <c r="E52" s="558" t="s">
        <v>809</v>
      </c>
      <c r="F52" s="559"/>
      <c r="G52" s="78"/>
      <c r="H52" s="78"/>
      <c r="I52" s="77"/>
      <c r="J52" s="46" t="str">
        <f>VLOOKUP($E:$E,材料单价表!$B$3:$G$42,4,0)</f>
        <v>m</v>
      </c>
      <c r="K52" s="79"/>
      <c r="L52" s="80">
        <f>(I21*J21+I22*J22+I23*J23+I24*J24+I25*J25)/1000*2</f>
        <v>24.473199999999999</v>
      </c>
      <c r="M52" s="46">
        <f>VLOOKUP($E:$E,材料单价表!$B$3:$G$42,5,0)</f>
        <v>0</v>
      </c>
      <c r="N52" s="46">
        <f t="shared" si="8"/>
        <v>0</v>
      </c>
      <c r="O52" s="48"/>
      <c r="P52" s="59"/>
      <c r="Q52" s="81"/>
      <c r="R52" s="46"/>
      <c r="S52" s="465"/>
    </row>
    <row r="53" spans="1:22" x14ac:dyDescent="0.15">
      <c r="A53" s="76">
        <v>7</v>
      </c>
      <c r="B53" s="545"/>
      <c r="C53" s="546"/>
      <c r="D53" s="547"/>
      <c r="E53" s="558" t="s">
        <v>72</v>
      </c>
      <c r="F53" s="559"/>
      <c r="G53" s="45"/>
      <c r="H53" s="45"/>
      <c r="I53" s="45"/>
      <c r="J53" s="46" t="str">
        <f>VLOOKUP($E:$E,材料单价表!$B$3:$G$42,4,0)</f>
        <v>m2</v>
      </c>
      <c r="K53" s="72"/>
      <c r="L53" s="46">
        <f>L59</f>
        <v>4.32</v>
      </c>
      <c r="M53" s="46">
        <f>VLOOKUP($E:$E,材料单价表!$B$3:$G$42,5,0)</f>
        <v>0</v>
      </c>
      <c r="N53" s="46">
        <f t="shared" si="8"/>
        <v>0</v>
      </c>
      <c r="O53" s="48"/>
      <c r="P53" s="48"/>
      <c r="Q53" s="73"/>
      <c r="R53" s="73"/>
      <c r="S53" s="463"/>
    </row>
    <row r="54" spans="1:22" x14ac:dyDescent="0.15">
      <c r="A54" s="76">
        <v>8</v>
      </c>
      <c r="B54" s="545"/>
      <c r="C54" s="546"/>
      <c r="D54" s="547"/>
      <c r="E54" s="183"/>
      <c r="F54" s="184"/>
      <c r="G54" s="207"/>
      <c r="H54" s="45"/>
      <c r="I54" s="207"/>
      <c r="J54" s="208"/>
      <c r="K54" s="209"/>
      <c r="L54" s="208"/>
      <c r="M54" s="208"/>
      <c r="N54" s="208"/>
      <c r="O54" s="211"/>
      <c r="P54" s="48"/>
      <c r="Q54" s="212"/>
      <c r="R54" s="212"/>
      <c r="S54" s="463"/>
    </row>
    <row r="55" spans="1:22" x14ac:dyDescent="0.15">
      <c r="A55" s="76">
        <v>9</v>
      </c>
      <c r="B55" s="545"/>
      <c r="C55" s="546"/>
      <c r="D55" s="547"/>
      <c r="E55" s="558"/>
      <c r="F55" s="559"/>
      <c r="G55" s="45"/>
      <c r="H55" s="45"/>
      <c r="I55" s="45"/>
      <c r="J55" s="45"/>
      <c r="K55" s="72"/>
      <c r="L55" s="46"/>
      <c r="M55" s="46"/>
      <c r="N55" s="82"/>
      <c r="O55" s="48"/>
      <c r="P55" s="48"/>
      <c r="Q55" s="73"/>
      <c r="R55" s="73"/>
      <c r="S55" s="463"/>
    </row>
    <row r="56" spans="1:22" x14ac:dyDescent="0.15">
      <c r="A56" s="74"/>
      <c r="B56" s="571"/>
      <c r="C56" s="572"/>
      <c r="D56" s="573"/>
      <c r="E56" s="552" t="s">
        <v>73</v>
      </c>
      <c r="F56" s="557"/>
      <c r="G56" s="557"/>
      <c r="H56" s="557"/>
      <c r="I56" s="557"/>
      <c r="J56" s="557"/>
      <c r="K56" s="557"/>
      <c r="L56" s="61"/>
      <c r="M56" s="61"/>
      <c r="N56" s="62">
        <f>SUM(N47:N55)</f>
        <v>0</v>
      </c>
      <c r="O56" s="63" t="s">
        <v>57</v>
      </c>
      <c r="P56" s="337"/>
      <c r="Q56" s="64"/>
      <c r="R56" s="64"/>
      <c r="S56" s="460"/>
    </row>
    <row r="57" spans="1:22" x14ac:dyDescent="0.15">
      <c r="A57" s="74"/>
      <c r="B57" s="571"/>
      <c r="C57" s="572"/>
      <c r="D57" s="573"/>
      <c r="E57" s="552" t="s">
        <v>74</v>
      </c>
      <c r="F57" s="557"/>
      <c r="G57" s="557"/>
      <c r="H57" s="557"/>
      <c r="I57" s="557"/>
      <c r="J57" s="557"/>
      <c r="K57" s="557"/>
      <c r="L57" s="557"/>
      <c r="M57" s="553"/>
      <c r="N57" s="62">
        <f>N56+N45+N42+N37</f>
        <v>0</v>
      </c>
      <c r="O57" s="63" t="s">
        <v>57</v>
      </c>
      <c r="P57" s="337"/>
      <c r="Q57" s="64"/>
      <c r="R57" s="64"/>
      <c r="S57" s="460"/>
    </row>
    <row r="58" spans="1:22" ht="24" x14ac:dyDescent="0.15">
      <c r="A58" s="65"/>
      <c r="B58" s="560" t="s">
        <v>75</v>
      </c>
      <c r="C58" s="561"/>
      <c r="D58" s="562"/>
      <c r="E58" s="565" t="s">
        <v>26</v>
      </c>
      <c r="F58" s="566"/>
      <c r="G58" s="66"/>
      <c r="H58" s="66"/>
      <c r="I58" s="66"/>
      <c r="J58" s="66" t="s">
        <v>6</v>
      </c>
      <c r="K58" s="83" t="s">
        <v>61</v>
      </c>
      <c r="L58" s="66" t="s">
        <v>76</v>
      </c>
      <c r="M58" s="68" t="s">
        <v>62</v>
      </c>
      <c r="N58" s="68" t="s">
        <v>34</v>
      </c>
      <c r="O58" s="84" t="s">
        <v>57</v>
      </c>
      <c r="P58" s="84"/>
      <c r="Q58" s="67"/>
      <c r="R58" s="67"/>
      <c r="S58" s="461"/>
    </row>
    <row r="59" spans="1:22" x14ac:dyDescent="0.15">
      <c r="A59" s="188">
        <v>1</v>
      </c>
      <c r="B59" s="545"/>
      <c r="C59" s="546"/>
      <c r="D59" s="547"/>
      <c r="E59" s="545" t="s">
        <v>77</v>
      </c>
      <c r="F59" s="547"/>
      <c r="G59" s="45"/>
      <c r="H59" s="45"/>
      <c r="I59" s="46"/>
      <c r="J59" s="45" t="s">
        <v>78</v>
      </c>
      <c r="K59" s="72"/>
      <c r="L59" s="85">
        <f>N2</f>
        <v>4.32</v>
      </c>
      <c r="M59" s="46">
        <f>VLOOKUP($E:$E,材料单价表!$B$3:$G$42,5,0)</f>
        <v>0</v>
      </c>
      <c r="N59" s="46">
        <f>M59*L59</f>
        <v>0</v>
      </c>
      <c r="O59" s="48"/>
      <c r="P59" s="48"/>
      <c r="Q59" s="72"/>
      <c r="R59" s="72"/>
      <c r="S59" s="462"/>
    </row>
    <row r="60" spans="1:22" x14ac:dyDescent="0.15">
      <c r="A60" s="188">
        <v>2</v>
      </c>
      <c r="B60" s="545"/>
      <c r="C60" s="546"/>
      <c r="D60" s="547"/>
      <c r="E60" s="545" t="s">
        <v>79</v>
      </c>
      <c r="F60" s="547"/>
      <c r="G60" s="45"/>
      <c r="H60" s="45"/>
      <c r="I60" s="46"/>
      <c r="J60" s="45" t="s">
        <v>78</v>
      </c>
      <c r="K60" s="72"/>
      <c r="L60" s="85">
        <f>L59</f>
        <v>4.32</v>
      </c>
      <c r="M60" s="46">
        <f>VLOOKUP($E:$E,材料单价表!$B$3:$G$42,5,0)</f>
        <v>0</v>
      </c>
      <c r="N60" s="46">
        <f>M60*L60</f>
        <v>0</v>
      </c>
      <c r="O60" s="48"/>
      <c r="P60" s="48"/>
      <c r="Q60" s="72"/>
      <c r="R60" s="72"/>
      <c r="S60" s="462"/>
    </row>
    <row r="61" spans="1:22" ht="24.75" customHeight="1" x14ac:dyDescent="0.15">
      <c r="A61" s="74"/>
      <c r="B61" s="571"/>
      <c r="C61" s="572"/>
      <c r="D61" s="573"/>
      <c r="E61" s="552" t="s">
        <v>80</v>
      </c>
      <c r="F61" s="553"/>
      <c r="G61" s="185"/>
      <c r="H61" s="344"/>
      <c r="I61" s="554" t="s">
        <v>81</v>
      </c>
      <c r="J61" s="554"/>
      <c r="K61" s="554"/>
      <c r="L61" s="554"/>
      <c r="M61" s="87"/>
      <c r="N61" s="62">
        <f>N57+N59+N60</f>
        <v>0</v>
      </c>
      <c r="O61" s="63" t="s">
        <v>57</v>
      </c>
      <c r="P61" s="337"/>
      <c r="Q61" s="64"/>
      <c r="R61" s="64"/>
      <c r="S61" s="460"/>
    </row>
    <row r="62" spans="1:22" ht="24" customHeight="1" x14ac:dyDescent="0.15">
      <c r="A62" s="74"/>
      <c r="B62" s="571"/>
      <c r="C62" s="572"/>
      <c r="D62" s="573"/>
      <c r="E62" s="555" t="s">
        <v>82</v>
      </c>
      <c r="F62" s="556"/>
      <c r="G62" s="187"/>
      <c r="H62" s="345"/>
      <c r="I62" s="552" t="s">
        <v>81</v>
      </c>
      <c r="J62" s="557"/>
      <c r="K62" s="557"/>
      <c r="L62" s="557"/>
      <c r="M62" s="62"/>
      <c r="N62" s="62">
        <f>N61/N2</f>
        <v>0</v>
      </c>
      <c r="O62" s="89" t="s">
        <v>57</v>
      </c>
      <c r="P62" s="89"/>
      <c r="Q62" s="90"/>
      <c r="R62" s="90"/>
      <c r="S62" s="466"/>
    </row>
    <row r="63" spans="1:22" ht="18.75" customHeight="1" x14ac:dyDescent="0.15">
      <c r="A63" s="549" t="s">
        <v>0</v>
      </c>
      <c r="B63" s="549"/>
      <c r="C63" s="549"/>
      <c r="D63" s="549"/>
      <c r="E63" s="549"/>
      <c r="F63" s="549"/>
      <c r="G63" s="549"/>
      <c r="H63" s="549"/>
      <c r="I63" s="549"/>
      <c r="J63" s="549"/>
      <c r="K63" s="550"/>
      <c r="L63" s="549"/>
      <c r="M63" s="549"/>
      <c r="N63" s="549"/>
      <c r="O63" s="549"/>
      <c r="P63" s="549"/>
      <c r="Q63" s="551"/>
      <c r="R63" s="551"/>
      <c r="S63" s="415"/>
    </row>
    <row r="64" spans="1:22" ht="15" customHeight="1" x14ac:dyDescent="0.15">
      <c r="A64" s="2" t="s">
        <v>1</v>
      </c>
      <c r="B64" s="3" t="str">
        <f>$B$2</f>
        <v>TLM</v>
      </c>
      <c r="C64" s="3">
        <v>4</v>
      </c>
      <c r="D64" s="340"/>
      <c r="E64" s="4" t="s">
        <v>2</v>
      </c>
      <c r="F64" s="5">
        <v>91</v>
      </c>
      <c r="G64" s="106" t="s">
        <v>86</v>
      </c>
      <c r="H64" s="106"/>
      <c r="I64" s="4" t="s">
        <v>3</v>
      </c>
      <c r="J64" s="6">
        <f>K67</f>
        <v>2500</v>
      </c>
      <c r="K64" s="7" t="s">
        <v>83</v>
      </c>
      <c r="L64" s="6">
        <f>K66</f>
        <v>2400</v>
      </c>
      <c r="M64" s="8" t="s">
        <v>4</v>
      </c>
      <c r="N64" s="9">
        <f>L76</f>
        <v>6</v>
      </c>
      <c r="O64" s="10"/>
      <c r="P64" s="10"/>
      <c r="Q64" s="10" t="s">
        <v>5</v>
      </c>
      <c r="R64" s="11"/>
      <c r="S64" s="457"/>
    </row>
    <row r="65" spans="1:30" ht="15" customHeight="1" x14ac:dyDescent="0.2">
      <c r="A65" s="12"/>
      <c r="B65" s="13"/>
      <c r="C65" s="13"/>
      <c r="D65" s="13"/>
      <c r="E65" s="14"/>
      <c r="F65" s="14"/>
      <c r="G65" s="15"/>
      <c r="H65" s="15"/>
      <c r="I65" s="16"/>
      <c r="J65" s="16" t="s">
        <v>6</v>
      </c>
      <c r="K65" s="17" t="s">
        <v>7</v>
      </c>
      <c r="L65" s="16" t="s">
        <v>8</v>
      </c>
      <c r="M65" s="18"/>
      <c r="N65" s="548" t="s">
        <v>1087</v>
      </c>
      <c r="O65" s="548"/>
      <c r="P65" s="16" t="s">
        <v>1018</v>
      </c>
      <c r="Q65" s="19"/>
      <c r="R65" s="20"/>
      <c r="S65" s="27"/>
    </row>
    <row r="66" spans="1:30" ht="15" customHeight="1" x14ac:dyDescent="0.2">
      <c r="A66" s="398" t="s">
        <v>918</v>
      </c>
      <c r="B66" s="404" t="s">
        <v>922</v>
      </c>
      <c r="C66" s="343"/>
      <c r="D66" s="22"/>
      <c r="E66" s="23"/>
      <c r="F66" s="23"/>
      <c r="G66" s="107"/>
      <c r="H66" s="107"/>
      <c r="I66" s="24" t="s">
        <v>9</v>
      </c>
      <c r="J66" s="16" t="s">
        <v>10</v>
      </c>
      <c r="K66" s="25">
        <v>2400</v>
      </c>
      <c r="L66" s="113">
        <f>K66-L75*2</f>
        <v>2300</v>
      </c>
      <c r="M66" s="18"/>
      <c r="N66" s="356" t="s">
        <v>1088</v>
      </c>
      <c r="O66" s="357"/>
      <c r="P66" s="16" t="s">
        <v>1019</v>
      </c>
      <c r="Q66" s="27"/>
      <c r="R66" s="28"/>
      <c r="S66" s="27"/>
    </row>
    <row r="67" spans="1:30" ht="15" customHeight="1" x14ac:dyDescent="0.2">
      <c r="A67" s="21"/>
      <c r="B67" s="22"/>
      <c r="C67" s="22"/>
      <c r="D67" s="22"/>
      <c r="E67" s="23"/>
      <c r="F67" s="23"/>
      <c r="G67" s="18"/>
      <c r="H67" s="18"/>
      <c r="I67" s="24" t="s">
        <v>11</v>
      </c>
      <c r="J67" s="16" t="s">
        <v>10</v>
      </c>
      <c r="K67" s="25">
        <v>2500</v>
      </c>
      <c r="L67" s="113">
        <f>K67-L75*2</f>
        <v>2400</v>
      </c>
      <c r="M67" s="18"/>
      <c r="N67" s="356" t="s">
        <v>1089</v>
      </c>
      <c r="O67" s="357"/>
      <c r="P67" s="16" t="s">
        <v>1022</v>
      </c>
      <c r="Q67" s="27"/>
      <c r="R67" s="28"/>
      <c r="S67" s="27"/>
    </row>
    <row r="68" spans="1:30" ht="15" customHeight="1" x14ac:dyDescent="0.2">
      <c r="A68" s="21"/>
      <c r="B68" s="22"/>
      <c r="C68" s="22"/>
      <c r="D68" s="22"/>
      <c r="E68" s="23"/>
      <c r="F68" s="23"/>
      <c r="G68" s="18"/>
      <c r="H68" s="18"/>
      <c r="I68" s="24" t="s">
        <v>12</v>
      </c>
      <c r="J68" s="16" t="s">
        <v>10</v>
      </c>
      <c r="K68" s="26"/>
      <c r="L68" s="113">
        <f>L66</f>
        <v>2300</v>
      </c>
      <c r="M68" s="18"/>
      <c r="N68" s="356" t="s">
        <v>1092</v>
      </c>
      <c r="O68" s="357"/>
      <c r="P68" s="16" t="s">
        <v>1020</v>
      </c>
      <c r="Q68" s="27"/>
      <c r="R68" s="28"/>
      <c r="S68" s="27"/>
    </row>
    <row r="69" spans="1:30" ht="15" customHeight="1" x14ac:dyDescent="0.2">
      <c r="A69" s="21"/>
      <c r="B69" s="22"/>
      <c r="C69" s="22"/>
      <c r="D69" s="22"/>
      <c r="E69" s="23"/>
      <c r="F69" s="23"/>
      <c r="G69" s="18"/>
      <c r="H69" s="18"/>
      <c r="I69" s="24" t="s">
        <v>13</v>
      </c>
      <c r="J69" s="16" t="s">
        <v>10</v>
      </c>
      <c r="K69" s="26"/>
      <c r="L69" s="113"/>
      <c r="M69" s="18"/>
      <c r="N69" s="356" t="s">
        <v>925</v>
      </c>
      <c r="O69" s="357"/>
      <c r="P69" s="16" t="s">
        <v>1021</v>
      </c>
      <c r="Q69" s="27"/>
      <c r="R69" s="28"/>
      <c r="S69" s="27"/>
    </row>
    <row r="70" spans="1:30" ht="15" customHeight="1" x14ac:dyDescent="0.2">
      <c r="A70" s="21"/>
      <c r="B70" s="22"/>
      <c r="C70" s="22"/>
      <c r="D70" s="22"/>
      <c r="E70" s="23"/>
      <c r="F70" s="23"/>
      <c r="G70" s="18"/>
      <c r="H70" s="18"/>
      <c r="I70" s="24" t="s">
        <v>14</v>
      </c>
      <c r="J70" s="16" t="s">
        <v>10</v>
      </c>
      <c r="K70" s="26"/>
      <c r="L70" s="113"/>
      <c r="M70" s="18"/>
      <c r="N70" s="356"/>
      <c r="O70" s="357"/>
      <c r="P70" s="16"/>
      <c r="Q70" s="27"/>
      <c r="R70" s="28"/>
      <c r="S70" s="27"/>
    </row>
    <row r="71" spans="1:30" ht="15" customHeight="1" x14ac:dyDescent="0.2">
      <c r="A71" s="21"/>
      <c r="B71" s="22"/>
      <c r="C71" s="22"/>
      <c r="D71" s="22"/>
      <c r="E71" s="23"/>
      <c r="F71" s="23"/>
      <c r="G71" s="18"/>
      <c r="H71" s="18"/>
      <c r="I71" s="24" t="s">
        <v>15</v>
      </c>
      <c r="J71" s="16" t="s">
        <v>10</v>
      </c>
      <c r="K71" s="26"/>
      <c r="L71" s="113">
        <f>L67/3</f>
        <v>800</v>
      </c>
      <c r="M71" s="18"/>
      <c r="N71" s="356" t="s">
        <v>928</v>
      </c>
      <c r="O71" s="357"/>
      <c r="P71" s="16" t="s">
        <v>1005</v>
      </c>
      <c r="Q71" s="27"/>
      <c r="R71" s="28"/>
      <c r="S71" s="27"/>
    </row>
    <row r="72" spans="1:30" ht="15" customHeight="1" x14ac:dyDescent="0.2">
      <c r="A72" s="21"/>
      <c r="B72" s="22"/>
      <c r="C72" s="22"/>
      <c r="D72" s="22"/>
      <c r="E72" s="23"/>
      <c r="F72" s="23"/>
      <c r="G72" s="18"/>
      <c r="H72" s="18"/>
      <c r="I72" s="24" t="s">
        <v>16</v>
      </c>
      <c r="J72" s="16" t="s">
        <v>10</v>
      </c>
      <c r="K72" s="26"/>
      <c r="L72" s="113"/>
      <c r="M72" s="18"/>
      <c r="N72" s="356" t="s">
        <v>929</v>
      </c>
      <c r="O72" s="357"/>
      <c r="P72" s="16" t="s">
        <v>1024</v>
      </c>
      <c r="Q72" s="27"/>
      <c r="R72" s="28"/>
      <c r="S72" s="27"/>
    </row>
    <row r="73" spans="1:30" ht="15" customHeight="1" x14ac:dyDescent="0.2">
      <c r="A73" s="21"/>
      <c r="B73" s="22"/>
      <c r="C73" s="22"/>
      <c r="D73" s="22"/>
      <c r="E73" s="23"/>
      <c r="F73" s="23"/>
      <c r="G73" s="18"/>
      <c r="H73" s="18"/>
      <c r="I73" s="24" t="s">
        <v>17</v>
      </c>
      <c r="J73" s="16" t="s">
        <v>10</v>
      </c>
      <c r="K73" s="26"/>
      <c r="L73" s="113"/>
      <c r="M73" s="18"/>
      <c r="N73" s="356" t="s">
        <v>930</v>
      </c>
      <c r="O73" s="357"/>
      <c r="P73" s="16" t="s">
        <v>931</v>
      </c>
      <c r="Q73" s="27"/>
      <c r="R73" s="28"/>
      <c r="S73" s="27"/>
    </row>
    <row r="74" spans="1:30" ht="15" customHeight="1" x14ac:dyDescent="0.2">
      <c r="A74" s="21"/>
      <c r="B74" s="22"/>
      <c r="C74" s="22"/>
      <c r="D74" s="22"/>
      <c r="E74" s="23"/>
      <c r="F74" s="23"/>
      <c r="G74" s="18"/>
      <c r="H74" s="18"/>
      <c r="I74" s="24" t="s">
        <v>18</v>
      </c>
      <c r="J74" s="16" t="s">
        <v>10</v>
      </c>
      <c r="K74" s="26"/>
      <c r="L74" s="113"/>
      <c r="M74" s="18"/>
      <c r="N74" s="356" t="s">
        <v>932</v>
      </c>
      <c r="O74" s="357"/>
      <c r="P74" s="16" t="s">
        <v>933</v>
      </c>
      <c r="Q74" s="27"/>
      <c r="R74" s="28"/>
      <c r="S74" s="27"/>
    </row>
    <row r="75" spans="1:30" ht="15" customHeight="1" x14ac:dyDescent="0.2">
      <c r="A75" s="21"/>
      <c r="B75" s="22"/>
      <c r="C75" s="22"/>
      <c r="D75" s="22"/>
      <c r="E75" s="23"/>
      <c r="F75" s="23"/>
      <c r="G75" s="18"/>
      <c r="H75" s="18"/>
      <c r="I75" s="24" t="s">
        <v>19</v>
      </c>
      <c r="J75" s="16" t="s">
        <v>10</v>
      </c>
      <c r="K75" s="26"/>
      <c r="L75" s="25">
        <v>50</v>
      </c>
      <c r="M75" s="18"/>
      <c r="N75" s="356" t="s">
        <v>1101</v>
      </c>
      <c r="O75" s="357"/>
      <c r="P75" s="16" t="s">
        <v>935</v>
      </c>
      <c r="Q75" s="27"/>
      <c r="R75" s="28"/>
      <c r="S75" s="27"/>
    </row>
    <row r="76" spans="1:30" ht="15" customHeight="1" x14ac:dyDescent="0.2">
      <c r="A76" s="21"/>
      <c r="B76" s="22"/>
      <c r="C76" s="22"/>
      <c r="D76" s="22"/>
      <c r="E76" s="23"/>
      <c r="F76" s="23"/>
      <c r="G76" s="18"/>
      <c r="H76" s="18"/>
      <c r="I76" s="29" t="s">
        <v>20</v>
      </c>
      <c r="J76" s="16" t="s">
        <v>21</v>
      </c>
      <c r="K76" s="30"/>
      <c r="L76" s="31">
        <f>K66*K67/1000000</f>
        <v>6</v>
      </c>
      <c r="M76" s="18"/>
      <c r="N76" s="356" t="s">
        <v>936</v>
      </c>
      <c r="O76" s="357"/>
      <c r="P76" s="16" t="s">
        <v>937</v>
      </c>
      <c r="Q76" s="27"/>
      <c r="R76" s="28"/>
      <c r="S76" s="27"/>
    </row>
    <row r="77" spans="1:30" ht="15" customHeight="1" x14ac:dyDescent="0.2">
      <c r="A77" s="32"/>
      <c r="B77" s="33"/>
      <c r="C77" s="33"/>
      <c r="D77" s="33"/>
      <c r="E77" s="34"/>
      <c r="F77" s="34"/>
      <c r="G77" s="35"/>
      <c r="H77" s="35"/>
      <c r="I77" s="29" t="s">
        <v>22</v>
      </c>
      <c r="J77" s="16" t="s">
        <v>23</v>
      </c>
      <c r="K77" s="30"/>
      <c r="L77" s="36">
        <f>(K67+K66)*2/1000</f>
        <v>9.8000000000000007</v>
      </c>
      <c r="M77" s="35"/>
      <c r="N77" s="356" t="s">
        <v>938</v>
      </c>
      <c r="O77" s="357"/>
      <c r="P77" s="16" t="s">
        <v>939</v>
      </c>
      <c r="Q77" s="37"/>
      <c r="R77" s="38"/>
      <c r="S77" s="27"/>
    </row>
    <row r="78" spans="1:30" ht="48.75" customHeight="1" x14ac:dyDescent="0.15">
      <c r="A78" s="39" t="s">
        <v>24</v>
      </c>
      <c r="B78" s="560" t="s">
        <v>25</v>
      </c>
      <c r="C78" s="561"/>
      <c r="D78" s="562"/>
      <c r="E78" s="40" t="s">
        <v>26</v>
      </c>
      <c r="F78" s="40" t="s">
        <v>27</v>
      </c>
      <c r="G78" s="40" t="s">
        <v>28</v>
      </c>
      <c r="H78" s="40" t="s">
        <v>914</v>
      </c>
      <c r="I78" s="40" t="s">
        <v>29</v>
      </c>
      <c r="J78" s="40" t="s">
        <v>30</v>
      </c>
      <c r="K78" s="41" t="s">
        <v>31</v>
      </c>
      <c r="L78" s="40" t="s">
        <v>32</v>
      </c>
      <c r="M78" s="40" t="s">
        <v>33</v>
      </c>
      <c r="N78" s="40" t="s">
        <v>34</v>
      </c>
      <c r="O78" s="42" t="s">
        <v>35</v>
      </c>
      <c r="P78" s="338" t="s">
        <v>875</v>
      </c>
      <c r="Q78" s="43" t="s">
        <v>36</v>
      </c>
      <c r="R78" s="43" t="s">
        <v>37</v>
      </c>
      <c r="S78" s="458"/>
      <c r="U78" s="280" t="s">
        <v>1508</v>
      </c>
      <c r="V78" s="280"/>
      <c r="W78" s="273" t="s">
        <v>1509</v>
      </c>
      <c r="X78" s="281"/>
      <c r="Y78" s="273"/>
      <c r="Z78" s="281"/>
      <c r="AA78" s="273"/>
      <c r="AB78" s="281"/>
      <c r="AC78" s="273"/>
      <c r="AD78" s="274"/>
    </row>
    <row r="79" spans="1:30" ht="13.5" customHeight="1" x14ac:dyDescent="0.15">
      <c r="A79" s="200">
        <v>1</v>
      </c>
      <c r="B79" s="531" t="s">
        <v>38</v>
      </c>
      <c r="C79" s="532"/>
      <c r="D79" s="533"/>
      <c r="E79" s="47" t="str">
        <f>VLOOKUP($G:$G,型材表!$B$5:$I$448,2,0)</f>
        <v>边封</v>
      </c>
      <c r="F79" s="45" t="s">
        <v>1494</v>
      </c>
      <c r="G79" s="45" t="str">
        <f>IF(F64=91,"GS09A6620b",IF(F64=92,"GS09A6620a"))</f>
        <v>GS09A6620b</v>
      </c>
      <c r="H79" s="45" t="s">
        <v>1493</v>
      </c>
      <c r="I79" s="46">
        <f>L66</f>
        <v>2300</v>
      </c>
      <c r="J79" s="45">
        <v>2</v>
      </c>
      <c r="K79" s="47">
        <f>VLOOKUP($G:$G,型材表!$B$5:$I$448,4,0)</f>
        <v>1.7250000000000001</v>
      </c>
      <c r="L79" s="46">
        <f>I79*J79*K79/1000</f>
        <v>7.9349999999999996</v>
      </c>
      <c r="M79" s="72">
        <f>VLOOKUP($G:$G,型材表!$B$5:$I$448,7,0)</f>
        <v>0</v>
      </c>
      <c r="N79" s="46">
        <f>M79*L79</f>
        <v>0</v>
      </c>
      <c r="O79" s="100">
        <f>VLOOKUP($G:$G,型材表!$B$5:$I$448,5,0)</f>
        <v>0.125</v>
      </c>
      <c r="P79" s="100" t="str">
        <f>VLOOKUP($G:$G,型材表!$B$5:$I$448,6,0)</f>
        <v>非断桥隔热铝型材</v>
      </c>
      <c r="Q79" s="49"/>
      <c r="R79" s="50"/>
      <c r="S79" s="459"/>
      <c r="W79" s="264"/>
      <c r="X79" s="265"/>
      <c r="Y79" s="264"/>
      <c r="Z79" s="265"/>
      <c r="AA79" s="264"/>
      <c r="AB79" s="265"/>
      <c r="AC79" s="264"/>
      <c r="AD79" s="265"/>
    </row>
    <row r="80" spans="1:30" x14ac:dyDescent="0.15">
      <c r="A80" s="200">
        <v>2</v>
      </c>
      <c r="B80" s="534"/>
      <c r="C80" s="535"/>
      <c r="D80" s="536"/>
      <c r="E80" s="47" t="str">
        <f>VLOOKUP($G:$G,型材表!$B$5:$I$448,2,0)</f>
        <v>上滑</v>
      </c>
      <c r="F80" s="45" t="s">
        <v>807</v>
      </c>
      <c r="G80" s="45" t="str">
        <f>IF(F64=91,"GS09A8920b",IF(F64=92,"GS09A8920a"))</f>
        <v>GS09A8920b</v>
      </c>
      <c r="H80" s="45" t="s">
        <v>1500</v>
      </c>
      <c r="I80" s="46">
        <f>IF(F64=91,L67-U80,IF(F64=92,L67-W80))</f>
        <v>2364</v>
      </c>
      <c r="J80" s="45">
        <v>1</v>
      </c>
      <c r="K80" s="47">
        <f>VLOOKUP($G:$G,型材表!$B$5:$I$448,4,0)</f>
        <v>2.464</v>
      </c>
      <c r="L80" s="46">
        <f t="shared" ref="L80:L81" si="9">I80*J80*K80/1000</f>
        <v>5.8248959999999999</v>
      </c>
      <c r="M80" s="72">
        <f>VLOOKUP($G:$G,型材表!$B$5:$I$448,7,0)</f>
        <v>0</v>
      </c>
      <c r="N80" s="46">
        <f t="shared" ref="N80:N81" si="10">M80*L80</f>
        <v>0</v>
      </c>
      <c r="O80" s="100">
        <f>VLOOKUP($G:$G,型材表!$B$5:$I$448,5,0)</f>
        <v>0.125</v>
      </c>
      <c r="P80" s="100" t="str">
        <f>VLOOKUP($G:$G,型材表!$B$5:$I$448,6,0)</f>
        <v>非断桥隔热铝型材</v>
      </c>
      <c r="Q80" s="49"/>
      <c r="R80" s="50"/>
      <c r="S80" s="459"/>
      <c r="T80" s="374" t="s">
        <v>1503</v>
      </c>
      <c r="U80" s="259">
        <f>18*2</f>
        <v>36</v>
      </c>
      <c r="W80" s="286">
        <f>18*2</f>
        <v>36</v>
      </c>
      <c r="X80" s="304"/>
      <c r="Y80" s="264"/>
      <c r="Z80" s="265"/>
      <c r="AA80" s="264"/>
      <c r="AB80" s="265"/>
      <c r="AC80" s="264"/>
      <c r="AD80" s="265"/>
    </row>
    <row r="81" spans="1:30" x14ac:dyDescent="0.15">
      <c r="A81" s="200">
        <v>3</v>
      </c>
      <c r="B81" s="534"/>
      <c r="C81" s="535"/>
      <c r="D81" s="536"/>
      <c r="E81" s="47" t="str">
        <f>VLOOKUP($G:$G,型材表!$B$5:$I$448,2,0)</f>
        <v>下滑</v>
      </c>
      <c r="F81" s="207" t="s">
        <v>591</v>
      </c>
      <c r="G81" s="207" t="str">
        <f>IF(F64=91,"GS09A9620b",IF(F64=92,"GS09A9620a"))</f>
        <v>GS09A9620b</v>
      </c>
      <c r="H81" s="45" t="s">
        <v>1500</v>
      </c>
      <c r="I81" s="208">
        <f>I80</f>
        <v>2364</v>
      </c>
      <c r="J81" s="207">
        <v>1</v>
      </c>
      <c r="K81" s="47">
        <f>VLOOKUP($G:$G,型材表!$B$5:$I$448,4,0)</f>
        <v>2.3650000000000002</v>
      </c>
      <c r="L81" s="46">
        <f t="shared" si="9"/>
        <v>5.5908600000000002</v>
      </c>
      <c r="M81" s="72">
        <f>VLOOKUP($G:$G,型材表!$B$5:$I$448,7,0)</f>
        <v>0</v>
      </c>
      <c r="N81" s="46">
        <f t="shared" si="10"/>
        <v>0</v>
      </c>
      <c r="O81" s="100">
        <f>VLOOKUP($G:$G,型材表!$B$5:$I$448,5,0)</f>
        <v>0.125</v>
      </c>
      <c r="P81" s="100" t="str">
        <f>VLOOKUP($G:$G,型材表!$B$5:$I$448,6,0)</f>
        <v>非断桥隔热铝型材</v>
      </c>
      <c r="Q81" s="210"/>
      <c r="R81" s="50"/>
      <c r="S81" s="459"/>
      <c r="W81" s="286"/>
      <c r="X81" s="304"/>
      <c r="Y81" s="264"/>
      <c r="Z81" s="265"/>
      <c r="AA81" s="264"/>
      <c r="AB81" s="265"/>
      <c r="AC81" s="264"/>
      <c r="AD81" s="265"/>
    </row>
    <row r="82" spans="1:30" s="229" customFormat="1" x14ac:dyDescent="0.15">
      <c r="A82" s="200">
        <v>4</v>
      </c>
      <c r="B82" s="537"/>
      <c r="C82" s="538"/>
      <c r="D82" s="539"/>
      <c r="E82" s="221"/>
      <c r="F82" s="222"/>
      <c r="G82" s="222"/>
      <c r="H82" s="233"/>
      <c r="I82" s="223"/>
      <c r="J82" s="222"/>
      <c r="K82" s="221"/>
      <c r="L82" s="224"/>
      <c r="M82" s="225"/>
      <c r="N82" s="224"/>
      <c r="O82" s="226"/>
      <c r="P82" s="100"/>
      <c r="Q82" s="227"/>
      <c r="R82" s="228"/>
      <c r="S82" s="467"/>
      <c r="T82" s="375"/>
      <c r="U82" s="266"/>
      <c r="V82" s="266"/>
      <c r="W82" s="267"/>
      <c r="X82" s="320"/>
      <c r="Y82" s="267"/>
      <c r="Z82" s="268"/>
      <c r="AA82" s="267"/>
      <c r="AB82" s="268"/>
      <c r="AC82" s="267"/>
      <c r="AD82" s="268"/>
    </row>
    <row r="83" spans="1:30" ht="13.5" customHeight="1" x14ac:dyDescent="0.15">
      <c r="A83" s="200">
        <v>5</v>
      </c>
      <c r="B83" s="531" t="s">
        <v>41</v>
      </c>
      <c r="C83" s="532"/>
      <c r="D83" s="533"/>
      <c r="E83" s="47" t="str">
        <f>VLOOKUP($G:$G,型材表!$B$5:$I$448,2,0)</f>
        <v>光企</v>
      </c>
      <c r="F83" s="45" t="s">
        <v>812</v>
      </c>
      <c r="G83" s="45" t="s">
        <v>1495</v>
      </c>
      <c r="H83" s="45" t="s">
        <v>1501</v>
      </c>
      <c r="I83" s="46">
        <f>IF(F64=91,L68-U83,IF(F64=92,L68-W83))</f>
        <v>2241</v>
      </c>
      <c r="J83" s="45">
        <v>2</v>
      </c>
      <c r="K83" s="47">
        <f>VLOOKUP($G:$G,型材表!$B$5:$I$448,4,0)</f>
        <v>1.0680000000000001</v>
      </c>
      <c r="L83" s="46">
        <f t="shared" ref="L83:L86" si="11">I83*J83*K83/1000</f>
        <v>4.7867759999999997</v>
      </c>
      <c r="M83" s="72">
        <f>VLOOKUP($G:$G,型材表!$B$5:$I$448,7,0)</f>
        <v>0</v>
      </c>
      <c r="N83" s="46">
        <f t="shared" ref="N83:N86" si="12">M83*L83</f>
        <v>0</v>
      </c>
      <c r="O83" s="100">
        <f>VLOOKUP($G:$G,型材表!$B$5:$I$448,5,0)</f>
        <v>0.125</v>
      </c>
      <c r="P83" s="100" t="str">
        <f>VLOOKUP($G:$G,型材表!$B$5:$I$448,6,0)</f>
        <v>非断桥隔热铝型材</v>
      </c>
      <c r="Q83" s="49"/>
      <c r="R83" s="50"/>
      <c r="S83" s="459"/>
      <c r="T83" s="374" t="s">
        <v>1504</v>
      </c>
      <c r="U83" s="259">
        <f>35+24</f>
        <v>59</v>
      </c>
      <c r="W83" s="286">
        <f>35+24</f>
        <v>59</v>
      </c>
      <c r="X83" s="304"/>
      <c r="Y83" s="264"/>
      <c r="Z83" s="265"/>
      <c r="AA83" s="264"/>
      <c r="AB83" s="265"/>
      <c r="AC83" s="264"/>
      <c r="AD83" s="265"/>
    </row>
    <row r="84" spans="1:30" x14ac:dyDescent="0.15">
      <c r="A84" s="200">
        <v>6</v>
      </c>
      <c r="B84" s="534"/>
      <c r="C84" s="535"/>
      <c r="D84" s="536"/>
      <c r="E84" s="47" t="str">
        <f>VLOOKUP($G:$G,型材表!$B$5:$I$448,2,0)</f>
        <v>勾企</v>
      </c>
      <c r="F84" s="45" t="s">
        <v>813</v>
      </c>
      <c r="G84" s="207" t="s">
        <v>1496</v>
      </c>
      <c r="H84" s="45" t="s">
        <v>1501</v>
      </c>
      <c r="I84" s="208">
        <f>IF(F64=91,L68-U84,IF(F64=92,L68-W84))</f>
        <v>2241</v>
      </c>
      <c r="J84" s="207">
        <v>4</v>
      </c>
      <c r="K84" s="47">
        <f>VLOOKUP($G:$G,型材表!$B$5:$I$448,4,0)</f>
        <v>0.95499999999999996</v>
      </c>
      <c r="L84" s="46">
        <f t="shared" si="11"/>
        <v>8.5606199999999983</v>
      </c>
      <c r="M84" s="72">
        <f>VLOOKUP($G:$G,型材表!$B$5:$I$448,7,0)</f>
        <v>0</v>
      </c>
      <c r="N84" s="46">
        <f t="shared" si="12"/>
        <v>0</v>
      </c>
      <c r="O84" s="100">
        <f>VLOOKUP($G:$G,型材表!$B$5:$I$448,5,0)</f>
        <v>0.125</v>
      </c>
      <c r="P84" s="100" t="str">
        <f>VLOOKUP($G:$G,型材表!$B$5:$I$448,6,0)</f>
        <v>非断桥隔热铝型材</v>
      </c>
      <c r="Q84" s="210"/>
      <c r="R84" s="50"/>
      <c r="S84" s="459"/>
      <c r="T84" s="374" t="s">
        <v>1504</v>
      </c>
      <c r="U84" s="259">
        <f>35+24</f>
        <v>59</v>
      </c>
      <c r="W84" s="286">
        <f>35+24</f>
        <v>59</v>
      </c>
      <c r="X84" s="304"/>
      <c r="Y84" s="264"/>
      <c r="Z84" s="265"/>
      <c r="AA84" s="264"/>
      <c r="AB84" s="265"/>
      <c r="AC84" s="264"/>
      <c r="AD84" s="265"/>
    </row>
    <row r="85" spans="1:30" x14ac:dyDescent="0.15">
      <c r="A85" s="200">
        <v>7</v>
      </c>
      <c r="B85" s="534"/>
      <c r="C85" s="535"/>
      <c r="D85" s="536"/>
      <c r="E85" s="47" t="str">
        <f>VLOOKUP($G:$G,型材表!$B$5:$I$448,2,0)</f>
        <v>上方</v>
      </c>
      <c r="F85" s="45" t="s">
        <v>808</v>
      </c>
      <c r="G85" s="45" t="s">
        <v>1497</v>
      </c>
      <c r="H85" s="45" t="s">
        <v>1502</v>
      </c>
      <c r="I85" s="46">
        <f>IF(F64=91,L71-U85,IF(F64=92,L71-W85))</f>
        <v>750</v>
      </c>
      <c r="J85" s="45">
        <v>3</v>
      </c>
      <c r="K85" s="47">
        <f>VLOOKUP($G:$G,型材表!$B$5:$I$448,4,0)</f>
        <v>0.83299999999999996</v>
      </c>
      <c r="L85" s="46">
        <f t="shared" si="11"/>
        <v>1.87425</v>
      </c>
      <c r="M85" s="72">
        <f>VLOOKUP($G:$G,型材表!$B$5:$I$448,7,0)</f>
        <v>0</v>
      </c>
      <c r="N85" s="46">
        <f t="shared" si="12"/>
        <v>0</v>
      </c>
      <c r="O85" s="100">
        <f>VLOOKUP($G:$G,型材表!$B$5:$I$448,5,0)</f>
        <v>0.125</v>
      </c>
      <c r="P85" s="100" t="str">
        <f>VLOOKUP($G:$G,型材表!$B$5:$I$448,6,0)</f>
        <v>非断桥隔热铝型材</v>
      </c>
      <c r="Q85" s="49"/>
      <c r="R85" s="50"/>
      <c r="S85" s="459"/>
      <c r="T85" s="374" t="s">
        <v>1505</v>
      </c>
      <c r="U85" s="259">
        <f>(18*2-50*2+47*2+30*4)/3</f>
        <v>50</v>
      </c>
      <c r="W85" s="286">
        <f>(18*2-50*2+47*2+30*4)/3</f>
        <v>50</v>
      </c>
      <c r="X85" s="304"/>
      <c r="Y85" s="264"/>
      <c r="Z85" s="265"/>
      <c r="AA85" s="264"/>
      <c r="AB85" s="265"/>
      <c r="AC85" s="264"/>
      <c r="AD85" s="265"/>
    </row>
    <row r="86" spans="1:30" x14ac:dyDescent="0.15">
      <c r="A86" s="200">
        <v>8</v>
      </c>
      <c r="B86" s="534"/>
      <c r="C86" s="535"/>
      <c r="D86" s="536"/>
      <c r="E86" s="47" t="str">
        <f>VLOOKUP($G:$G,型材表!$B$5:$I$448,2,0)</f>
        <v>下方</v>
      </c>
      <c r="F86" s="45" t="s">
        <v>1499</v>
      </c>
      <c r="G86" s="45" t="s">
        <v>1498</v>
      </c>
      <c r="H86" s="45" t="s">
        <v>1502</v>
      </c>
      <c r="I86" s="46">
        <f>I85</f>
        <v>750</v>
      </c>
      <c r="J86" s="45">
        <v>3</v>
      </c>
      <c r="K86" s="47">
        <f>VLOOKUP($G:$G,型材表!$B$5:$I$448,4,0)</f>
        <v>0.93799999999999994</v>
      </c>
      <c r="L86" s="46">
        <f t="shared" si="11"/>
        <v>2.1105</v>
      </c>
      <c r="M86" s="72">
        <f>VLOOKUP($G:$G,型材表!$B$5:$I$448,7,0)</f>
        <v>0</v>
      </c>
      <c r="N86" s="46">
        <f t="shared" si="12"/>
        <v>0</v>
      </c>
      <c r="O86" s="100">
        <f>VLOOKUP($G:$G,型材表!$B$5:$I$448,5,0)</f>
        <v>0.125</v>
      </c>
      <c r="P86" s="100" t="str">
        <f>VLOOKUP($G:$G,型材表!$B$5:$I$448,6,0)</f>
        <v>非断桥隔热铝型材</v>
      </c>
      <c r="Q86" s="49"/>
      <c r="R86" s="50"/>
      <c r="S86" s="459"/>
      <c r="W86" s="286"/>
      <c r="X86" s="304"/>
      <c r="Y86" s="264"/>
      <c r="Z86" s="265"/>
      <c r="AA86" s="264"/>
      <c r="AB86" s="265"/>
      <c r="AC86" s="264"/>
      <c r="AD86" s="265"/>
    </row>
    <row r="87" spans="1:30" x14ac:dyDescent="0.15">
      <c r="A87" s="200">
        <v>9</v>
      </c>
      <c r="B87" s="534"/>
      <c r="C87" s="535"/>
      <c r="D87" s="536"/>
      <c r="E87" s="47"/>
      <c r="F87" s="45"/>
      <c r="G87" s="207"/>
      <c r="H87" s="45"/>
      <c r="I87" s="208"/>
      <c r="J87" s="207"/>
      <c r="K87" s="47"/>
      <c r="L87" s="46"/>
      <c r="M87" s="72"/>
      <c r="N87" s="46"/>
      <c r="O87" s="100"/>
      <c r="P87" s="100"/>
      <c r="Q87" s="210"/>
      <c r="R87" s="50"/>
      <c r="S87" s="459"/>
      <c r="W87" s="286"/>
      <c r="X87" s="304"/>
      <c r="Y87" s="264"/>
      <c r="Z87" s="265"/>
      <c r="AA87" s="264"/>
      <c r="AB87" s="265"/>
      <c r="AC87" s="264"/>
      <c r="AD87" s="265"/>
    </row>
    <row r="88" spans="1:30" x14ac:dyDescent="0.15">
      <c r="A88" s="200">
        <v>10</v>
      </c>
      <c r="B88" s="537"/>
      <c r="C88" s="538"/>
      <c r="D88" s="539"/>
      <c r="E88" s="47"/>
      <c r="F88" s="45"/>
      <c r="G88" s="45"/>
      <c r="H88" s="45"/>
      <c r="I88" s="46"/>
      <c r="J88" s="45"/>
      <c r="K88" s="47"/>
      <c r="L88" s="46"/>
      <c r="M88" s="72"/>
      <c r="N88" s="46"/>
      <c r="O88" s="100"/>
      <c r="P88" s="100"/>
      <c r="Q88" s="49"/>
      <c r="R88" s="50"/>
      <c r="S88" s="459"/>
      <c r="W88" s="286"/>
      <c r="X88" s="304"/>
      <c r="Y88" s="264"/>
      <c r="Z88" s="265"/>
      <c r="AA88" s="264"/>
      <c r="AB88" s="265"/>
      <c r="AC88" s="264"/>
      <c r="AD88" s="265"/>
    </row>
    <row r="89" spans="1:30" ht="13.5" customHeight="1" x14ac:dyDescent="0.15">
      <c r="A89" s="200">
        <v>11</v>
      </c>
      <c r="B89" s="531" t="s">
        <v>44</v>
      </c>
      <c r="C89" s="532"/>
      <c r="D89" s="533"/>
      <c r="E89" s="47"/>
      <c r="F89" s="51"/>
      <c r="G89" s="45"/>
      <c r="H89" s="45"/>
      <c r="I89" s="52"/>
      <c r="J89" s="45"/>
      <c r="K89" s="47"/>
      <c r="L89" s="46"/>
      <c r="M89" s="72"/>
      <c r="N89" s="46"/>
      <c r="O89" s="100"/>
      <c r="P89" s="100"/>
      <c r="Q89" s="49"/>
      <c r="R89" s="50"/>
      <c r="S89" s="459"/>
      <c r="W89" s="286"/>
      <c r="X89" s="304"/>
      <c r="Y89" s="264"/>
      <c r="Z89" s="265"/>
      <c r="AA89" s="264"/>
      <c r="AB89" s="265"/>
      <c r="AC89" s="264"/>
      <c r="AD89" s="265"/>
    </row>
    <row r="90" spans="1:30" s="229" customFormat="1" x14ac:dyDescent="0.15">
      <c r="A90" s="200">
        <v>12</v>
      </c>
      <c r="B90" s="534"/>
      <c r="C90" s="535"/>
      <c r="D90" s="536"/>
      <c r="E90" s="221"/>
      <c r="F90" s="230"/>
      <c r="G90" s="222"/>
      <c r="H90" s="233"/>
      <c r="I90" s="231"/>
      <c r="J90" s="222"/>
      <c r="K90" s="221"/>
      <c r="L90" s="224"/>
      <c r="M90" s="225"/>
      <c r="N90" s="224"/>
      <c r="O90" s="226"/>
      <c r="P90" s="100"/>
      <c r="Q90" s="227"/>
      <c r="R90" s="228"/>
      <c r="S90" s="467"/>
      <c r="T90" s="375"/>
      <c r="U90" s="266"/>
      <c r="V90" s="266"/>
      <c r="W90" s="267"/>
      <c r="X90" s="320"/>
      <c r="Y90" s="267"/>
      <c r="Z90" s="268"/>
      <c r="AA90" s="267"/>
      <c r="AB90" s="268"/>
      <c r="AC90" s="267"/>
      <c r="AD90" s="268"/>
    </row>
    <row r="91" spans="1:30" x14ac:dyDescent="0.15">
      <c r="A91" s="200">
        <v>13</v>
      </c>
      <c r="B91" s="534"/>
      <c r="C91" s="535"/>
      <c r="D91" s="536"/>
      <c r="E91" s="47"/>
      <c r="F91" s="213"/>
      <c r="G91" s="207"/>
      <c r="H91" s="45"/>
      <c r="I91" s="214"/>
      <c r="J91" s="207"/>
      <c r="K91" s="47"/>
      <c r="L91" s="46"/>
      <c r="M91" s="72"/>
      <c r="N91" s="46"/>
      <c r="O91" s="100"/>
      <c r="P91" s="100"/>
      <c r="Q91" s="210"/>
      <c r="R91" s="50"/>
      <c r="S91" s="459"/>
      <c r="W91" s="286"/>
      <c r="X91" s="304"/>
      <c r="Y91" s="264"/>
      <c r="Z91" s="265"/>
      <c r="AA91" s="264"/>
      <c r="AB91" s="265"/>
      <c r="AC91" s="264"/>
      <c r="AD91" s="265"/>
    </row>
    <row r="92" spans="1:30" s="229" customFormat="1" x14ac:dyDescent="0.15">
      <c r="A92" s="200">
        <v>14</v>
      </c>
      <c r="B92" s="534"/>
      <c r="C92" s="535"/>
      <c r="D92" s="536"/>
      <c r="E92" s="221"/>
      <c r="F92" s="230"/>
      <c r="G92" s="222"/>
      <c r="H92" s="233"/>
      <c r="I92" s="231"/>
      <c r="J92" s="222"/>
      <c r="K92" s="221"/>
      <c r="L92" s="224"/>
      <c r="M92" s="225"/>
      <c r="N92" s="224"/>
      <c r="O92" s="226"/>
      <c r="P92" s="100"/>
      <c r="Q92" s="227"/>
      <c r="R92" s="228"/>
      <c r="S92" s="467"/>
      <c r="T92" s="375"/>
      <c r="U92" s="266"/>
      <c r="V92" s="266"/>
      <c r="W92" s="267"/>
      <c r="X92" s="320"/>
      <c r="Y92" s="267"/>
      <c r="Z92" s="268"/>
      <c r="AA92" s="267"/>
      <c r="AB92" s="268"/>
      <c r="AC92" s="267"/>
      <c r="AD92" s="268"/>
    </row>
    <row r="93" spans="1:30" x14ac:dyDescent="0.15">
      <c r="A93" s="200">
        <v>15</v>
      </c>
      <c r="B93" s="534"/>
      <c r="C93" s="535"/>
      <c r="D93" s="536"/>
      <c r="E93" s="47"/>
      <c r="F93" s="51"/>
      <c r="G93" s="45"/>
      <c r="H93" s="45"/>
      <c r="I93" s="52"/>
      <c r="J93" s="45"/>
      <c r="K93" s="47"/>
      <c r="L93" s="46"/>
      <c r="M93" s="72"/>
      <c r="N93" s="46"/>
      <c r="O93" s="100"/>
      <c r="P93" s="100"/>
      <c r="Q93" s="49"/>
      <c r="R93" s="50"/>
      <c r="S93" s="459"/>
      <c r="W93" s="286"/>
      <c r="X93" s="304"/>
      <c r="Y93" s="264"/>
      <c r="Z93" s="265"/>
      <c r="AA93" s="264"/>
      <c r="AB93" s="265"/>
      <c r="AC93" s="264"/>
      <c r="AD93" s="265"/>
    </row>
    <row r="94" spans="1:30" x14ac:dyDescent="0.15">
      <c r="A94" s="200">
        <v>16</v>
      </c>
      <c r="B94" s="534"/>
      <c r="C94" s="535"/>
      <c r="D94" s="536"/>
      <c r="E94" s="47"/>
      <c r="F94" s="213"/>
      <c r="G94" s="207"/>
      <c r="H94" s="45"/>
      <c r="I94" s="214"/>
      <c r="J94" s="207"/>
      <c r="K94" s="47"/>
      <c r="L94" s="46"/>
      <c r="M94" s="72"/>
      <c r="N94" s="46"/>
      <c r="O94" s="100"/>
      <c r="P94" s="100"/>
      <c r="Q94" s="210"/>
      <c r="R94" s="50"/>
      <c r="S94" s="459"/>
      <c r="W94" s="286"/>
      <c r="X94" s="304"/>
      <c r="Y94" s="264"/>
      <c r="Z94" s="265"/>
      <c r="AA94" s="264"/>
      <c r="AB94" s="265"/>
      <c r="AC94" s="264"/>
      <c r="AD94" s="265"/>
    </row>
    <row r="95" spans="1:30" s="229" customFormat="1" x14ac:dyDescent="0.15">
      <c r="A95" s="200">
        <v>17</v>
      </c>
      <c r="B95" s="537"/>
      <c r="C95" s="538"/>
      <c r="D95" s="539"/>
      <c r="E95" s="221"/>
      <c r="F95" s="232"/>
      <c r="G95" s="233"/>
      <c r="H95" s="233"/>
      <c r="I95" s="234"/>
      <c r="J95" s="233"/>
      <c r="K95" s="221"/>
      <c r="L95" s="224"/>
      <c r="M95" s="225"/>
      <c r="N95" s="224"/>
      <c r="O95" s="226"/>
      <c r="P95" s="226"/>
      <c r="Q95" s="235"/>
      <c r="R95" s="228"/>
      <c r="S95" s="467"/>
      <c r="T95" s="375"/>
      <c r="U95" s="266"/>
      <c r="V95" s="266"/>
      <c r="W95" s="267"/>
      <c r="X95" s="320"/>
      <c r="Y95" s="267"/>
      <c r="Z95" s="268"/>
      <c r="AA95" s="267"/>
      <c r="AB95" s="268"/>
      <c r="AC95" s="267"/>
      <c r="AD95" s="268"/>
    </row>
    <row r="96" spans="1:30" s="229" customFormat="1" ht="13.5" customHeight="1" x14ac:dyDescent="0.15">
      <c r="A96" s="567" t="s">
        <v>919</v>
      </c>
      <c r="B96" s="568"/>
      <c r="C96" s="568"/>
      <c r="D96" s="568"/>
      <c r="E96" s="568"/>
      <c r="F96" s="568"/>
      <c r="G96" s="568"/>
      <c r="H96" s="568"/>
      <c r="I96" s="568"/>
      <c r="J96" s="568"/>
      <c r="K96" s="569"/>
      <c r="L96" s="224">
        <f>SUMIF($P$79:$P$95,A96,$L$79:$L$95)</f>
        <v>0</v>
      </c>
      <c r="M96" s="353"/>
      <c r="N96" s="224"/>
      <c r="O96" s="354"/>
      <c r="P96" s="355"/>
      <c r="Q96" s="296"/>
      <c r="R96" s="228"/>
      <c r="S96" s="467"/>
      <c r="T96" s="375"/>
      <c r="U96" s="266"/>
      <c r="V96" s="266"/>
      <c r="W96" s="267"/>
      <c r="X96" s="320"/>
      <c r="Y96" s="267"/>
      <c r="Z96" s="268"/>
      <c r="AA96" s="267"/>
      <c r="AB96" s="268"/>
      <c r="AC96" s="267"/>
      <c r="AD96" s="268"/>
    </row>
    <row r="97" spans="1:30" s="229" customFormat="1" ht="13.5" customHeight="1" x14ac:dyDescent="0.15">
      <c r="A97" s="567" t="s">
        <v>920</v>
      </c>
      <c r="B97" s="568"/>
      <c r="C97" s="568"/>
      <c r="D97" s="568"/>
      <c r="E97" s="568"/>
      <c r="F97" s="568"/>
      <c r="G97" s="568"/>
      <c r="H97" s="568"/>
      <c r="I97" s="568"/>
      <c r="J97" s="568"/>
      <c r="K97" s="569"/>
      <c r="L97" s="224">
        <f t="shared" ref="L97:L98" si="13">SUMIF($P$79:$P$95,A97,$L$79:$L$95)</f>
        <v>36.682901999999999</v>
      </c>
      <c r="M97" s="353"/>
      <c r="N97" s="224"/>
      <c r="O97" s="354"/>
      <c r="P97" s="355"/>
      <c r="Q97" s="296"/>
      <c r="R97" s="228"/>
      <c r="S97" s="467"/>
      <c r="T97" s="375"/>
      <c r="U97" s="266"/>
      <c r="V97" s="266"/>
      <c r="W97" s="267"/>
      <c r="X97" s="320"/>
      <c r="Y97" s="267"/>
      <c r="Z97" s="268"/>
      <c r="AA97" s="267"/>
      <c r="AB97" s="268"/>
      <c r="AC97" s="267"/>
      <c r="AD97" s="268"/>
    </row>
    <row r="98" spans="1:30" s="229" customFormat="1" ht="13.5" customHeight="1" x14ac:dyDescent="0.15">
      <c r="A98" s="567" t="s">
        <v>921</v>
      </c>
      <c r="B98" s="568"/>
      <c r="C98" s="568"/>
      <c r="D98" s="568"/>
      <c r="E98" s="568"/>
      <c r="F98" s="568"/>
      <c r="G98" s="568"/>
      <c r="H98" s="568"/>
      <c r="I98" s="568"/>
      <c r="J98" s="568"/>
      <c r="K98" s="569"/>
      <c r="L98" s="224">
        <f t="shared" si="13"/>
        <v>0</v>
      </c>
      <c r="M98" s="353"/>
      <c r="N98" s="224"/>
      <c r="O98" s="354"/>
      <c r="P98" s="355"/>
      <c r="Q98" s="296"/>
      <c r="R98" s="228"/>
      <c r="S98" s="467"/>
      <c r="T98" s="375"/>
      <c r="U98" s="266"/>
      <c r="V98" s="266"/>
      <c r="W98" s="267"/>
      <c r="X98" s="320"/>
      <c r="Y98" s="267"/>
      <c r="Z98" s="268"/>
      <c r="AA98" s="267"/>
      <c r="AB98" s="268"/>
      <c r="AC98" s="267"/>
      <c r="AD98" s="268"/>
    </row>
    <row r="99" spans="1:30" x14ac:dyDescent="0.15">
      <c r="A99" s="61"/>
      <c r="B99" s="571"/>
      <c r="C99" s="572"/>
      <c r="D99" s="573"/>
      <c r="E99" s="552" t="s">
        <v>48</v>
      </c>
      <c r="F99" s="557"/>
      <c r="G99" s="557"/>
      <c r="H99" s="557"/>
      <c r="I99" s="557"/>
      <c r="J99" s="557"/>
      <c r="K99" s="553"/>
      <c r="L99" s="62">
        <f>SUM(L96:L98)</f>
        <v>36.682901999999999</v>
      </c>
      <c r="M99" s="63"/>
      <c r="N99" s="62">
        <f>SUM(N79:N95)</f>
        <v>0</v>
      </c>
      <c r="O99" s="63"/>
      <c r="P99" s="337"/>
      <c r="Q99" s="64"/>
      <c r="R99" s="64"/>
      <c r="S99" s="460"/>
      <c r="W99" s="286"/>
      <c r="X99" s="304"/>
      <c r="Y99" s="264"/>
      <c r="Z99" s="265"/>
      <c r="AA99" s="264"/>
      <c r="AB99" s="265"/>
      <c r="AC99" s="264"/>
      <c r="AD99" s="265"/>
    </row>
    <row r="100" spans="1:30" ht="24" x14ac:dyDescent="0.15">
      <c r="A100" s="65"/>
      <c r="B100" s="560" t="s">
        <v>49</v>
      </c>
      <c r="C100" s="561"/>
      <c r="D100" s="562"/>
      <c r="E100" s="565" t="s">
        <v>26</v>
      </c>
      <c r="F100" s="566"/>
      <c r="G100" s="66" t="s">
        <v>1093</v>
      </c>
      <c r="H100" s="66" t="s">
        <v>1094</v>
      </c>
      <c r="I100" s="66" t="s">
        <v>50</v>
      </c>
      <c r="J100" s="66" t="s">
        <v>51</v>
      </c>
      <c r="K100" s="67" t="s">
        <v>30</v>
      </c>
      <c r="L100" s="66" t="s">
        <v>52</v>
      </c>
      <c r="M100" s="68" t="s">
        <v>53</v>
      </c>
      <c r="N100" s="68" t="s">
        <v>34</v>
      </c>
      <c r="O100" s="69" t="s">
        <v>35</v>
      </c>
      <c r="P100" s="42"/>
      <c r="Q100" s="67"/>
      <c r="R100" s="67"/>
      <c r="S100" s="461"/>
      <c r="U100" s="270" t="s">
        <v>352</v>
      </c>
      <c r="V100" s="270" t="s">
        <v>353</v>
      </c>
      <c r="W100" s="271" t="s">
        <v>352</v>
      </c>
      <c r="X100" s="321" t="s">
        <v>353</v>
      </c>
      <c r="Y100" s="271"/>
      <c r="Z100" s="272"/>
      <c r="AA100" s="271"/>
      <c r="AB100" s="272"/>
      <c r="AC100" s="271"/>
      <c r="AD100" s="272"/>
    </row>
    <row r="101" spans="1:30" x14ac:dyDescent="0.15">
      <c r="A101" s="200">
        <v>1</v>
      </c>
      <c r="B101" s="545" t="s">
        <v>54</v>
      </c>
      <c r="C101" s="546"/>
      <c r="D101" s="547"/>
      <c r="E101" s="545" t="s">
        <v>55</v>
      </c>
      <c r="F101" s="547"/>
      <c r="G101" s="45" t="s">
        <v>1506</v>
      </c>
      <c r="H101" s="45" t="s">
        <v>1507</v>
      </c>
      <c r="I101" s="46">
        <f>IF(F64=91,L71-U101,IF(F64=92,L71-W101))</f>
        <v>732.66666666666663</v>
      </c>
      <c r="J101" s="70">
        <f>IF(F64=91,L68-V101,IF(F64=92,L68-X101))</f>
        <v>2145</v>
      </c>
      <c r="K101" s="70">
        <v>3</v>
      </c>
      <c r="L101" s="46">
        <f>I101*J101*K101/1000000</f>
        <v>4.7147100000000002</v>
      </c>
      <c r="M101" s="46"/>
      <c r="N101" s="46">
        <f>M101*L101</f>
        <v>0</v>
      </c>
      <c r="O101" s="71"/>
      <c r="P101" s="71"/>
      <c r="Q101" s="72"/>
      <c r="R101" s="72"/>
      <c r="S101" s="462" t="s">
        <v>1615</v>
      </c>
      <c r="T101" s="374" t="s">
        <v>1614</v>
      </c>
      <c r="U101" s="259">
        <f>(75*2+26*2)/3</f>
        <v>67.333333333333329</v>
      </c>
      <c r="V101" s="259">
        <f>77+78</f>
        <v>155</v>
      </c>
      <c r="W101" s="286">
        <f>(75*2+26*2)/3</f>
        <v>67.333333333333329</v>
      </c>
      <c r="X101" s="304">
        <f>77+78</f>
        <v>155</v>
      </c>
      <c r="Y101" s="264"/>
      <c r="Z101" s="265"/>
      <c r="AA101" s="264"/>
      <c r="AB101" s="265"/>
      <c r="AC101" s="264"/>
      <c r="AD101" s="265"/>
    </row>
    <row r="102" spans="1:30" x14ac:dyDescent="0.15">
      <c r="A102" s="200"/>
      <c r="B102" s="545"/>
      <c r="C102" s="546"/>
      <c r="D102" s="547"/>
      <c r="E102" s="545"/>
      <c r="F102" s="547"/>
      <c r="G102" s="45"/>
      <c r="H102" s="45"/>
      <c r="I102" s="45"/>
      <c r="J102" s="45"/>
      <c r="K102" s="70"/>
      <c r="L102" s="46"/>
      <c r="M102" s="46"/>
      <c r="N102" s="46"/>
      <c r="O102" s="71"/>
      <c r="P102" s="71"/>
      <c r="Q102" s="72"/>
      <c r="R102" s="72"/>
      <c r="S102" s="462"/>
      <c r="W102" s="264"/>
      <c r="X102" s="265"/>
      <c r="Y102" s="264"/>
      <c r="Z102" s="265"/>
      <c r="AA102" s="264"/>
      <c r="AB102" s="265"/>
      <c r="AC102" s="264"/>
      <c r="AD102" s="265"/>
    </row>
    <row r="103" spans="1:30" x14ac:dyDescent="0.15">
      <c r="A103" s="200"/>
      <c r="B103" s="545"/>
      <c r="C103" s="546"/>
      <c r="D103" s="547"/>
      <c r="E103" s="545"/>
      <c r="F103" s="547"/>
      <c r="G103" s="45"/>
      <c r="H103" s="45"/>
      <c r="I103" s="46"/>
      <c r="J103" s="200"/>
      <c r="K103" s="70"/>
      <c r="L103" s="46"/>
      <c r="M103" s="46"/>
      <c r="N103" s="46"/>
      <c r="O103" s="48"/>
      <c r="P103" s="48"/>
      <c r="Q103" s="73"/>
      <c r="R103" s="73"/>
      <c r="S103" s="463"/>
      <c r="W103" s="264"/>
      <c r="X103" s="265"/>
      <c r="AA103" s="277"/>
      <c r="AB103" s="277"/>
      <c r="AC103" s="277"/>
      <c r="AD103" s="277"/>
    </row>
    <row r="104" spans="1:30" x14ac:dyDescent="0.15">
      <c r="A104" s="74"/>
      <c r="B104" s="571"/>
      <c r="C104" s="572"/>
      <c r="D104" s="573"/>
      <c r="E104" s="554" t="s">
        <v>56</v>
      </c>
      <c r="F104" s="554"/>
      <c r="G104" s="554"/>
      <c r="H104" s="554"/>
      <c r="I104" s="570"/>
      <c r="J104" s="570"/>
      <c r="K104" s="554"/>
      <c r="L104" s="62">
        <f>SUM(L101:L103)</f>
        <v>4.7147100000000002</v>
      </c>
      <c r="M104" s="197"/>
      <c r="N104" s="62">
        <f>SUM(N101:N103)</f>
        <v>0</v>
      </c>
      <c r="O104" s="63" t="s">
        <v>57</v>
      </c>
      <c r="P104" s="337"/>
      <c r="Q104" s="64"/>
      <c r="R104" s="64"/>
      <c r="S104" s="460"/>
    </row>
    <row r="105" spans="1:30" ht="24" x14ac:dyDescent="0.15">
      <c r="A105" s="65"/>
      <c r="B105" s="560" t="s">
        <v>58</v>
      </c>
      <c r="C105" s="561"/>
      <c r="D105" s="562"/>
      <c r="E105" s="565" t="s">
        <v>26</v>
      </c>
      <c r="F105" s="566"/>
      <c r="G105" s="66" t="s">
        <v>59</v>
      </c>
      <c r="H105" s="66"/>
      <c r="I105" s="66" t="s">
        <v>60</v>
      </c>
      <c r="J105" s="66" t="s">
        <v>6</v>
      </c>
      <c r="K105" s="67" t="s">
        <v>61</v>
      </c>
      <c r="L105" s="66" t="s">
        <v>30</v>
      </c>
      <c r="M105" s="68" t="s">
        <v>62</v>
      </c>
      <c r="N105" s="68" t="s">
        <v>34</v>
      </c>
      <c r="O105" s="69" t="s">
        <v>57</v>
      </c>
      <c r="P105" s="42"/>
      <c r="Q105" s="67"/>
      <c r="R105" s="67"/>
      <c r="S105" s="461"/>
    </row>
    <row r="106" spans="1:30" ht="25.5" customHeight="1" x14ac:dyDescent="0.15">
      <c r="A106" s="200">
        <v>1</v>
      </c>
      <c r="B106" s="545"/>
      <c r="C106" s="546"/>
      <c r="D106" s="547"/>
      <c r="E106" s="545" t="s">
        <v>815</v>
      </c>
      <c r="F106" s="547"/>
      <c r="G106" s="45"/>
      <c r="H106" s="45"/>
      <c r="I106" s="45"/>
      <c r="J106" s="46" t="str">
        <f>VLOOKUP($E:$E,材料单价表!$B$3:$G$42,4,0)</f>
        <v>套</v>
      </c>
      <c r="K106" s="72"/>
      <c r="L106" s="46">
        <v>3</v>
      </c>
      <c r="M106" s="46">
        <f>VLOOKUP($E:$E,材料单价表!$B$3:$G$42,5,0)</f>
        <v>0</v>
      </c>
      <c r="N106" s="46">
        <f t="shared" ref="N106" si="14">M106*L106</f>
        <v>0</v>
      </c>
      <c r="O106" s="48"/>
      <c r="P106" s="48"/>
      <c r="Q106" s="73"/>
      <c r="R106" s="73"/>
      <c r="S106" s="463"/>
    </row>
    <row r="107" spans="1:30" x14ac:dyDescent="0.15">
      <c r="A107" s="74"/>
      <c r="B107" s="571"/>
      <c r="C107" s="572"/>
      <c r="D107" s="573"/>
      <c r="E107" s="554" t="s">
        <v>64</v>
      </c>
      <c r="F107" s="554"/>
      <c r="G107" s="554"/>
      <c r="H107" s="554"/>
      <c r="I107" s="570"/>
      <c r="J107" s="570"/>
      <c r="K107" s="554"/>
      <c r="L107" s="62">
        <f>L106</f>
        <v>3</v>
      </c>
      <c r="M107" s="197"/>
      <c r="N107" s="62">
        <f>SUM(N106:N106)</f>
        <v>0</v>
      </c>
      <c r="O107" s="63" t="s">
        <v>57</v>
      </c>
      <c r="P107" s="337"/>
      <c r="Q107" s="64"/>
      <c r="R107" s="64"/>
      <c r="S107" s="460"/>
    </row>
    <row r="108" spans="1:30" ht="24" x14ac:dyDescent="0.15">
      <c r="A108" s="65"/>
      <c r="B108" s="560" t="s">
        <v>65</v>
      </c>
      <c r="C108" s="561"/>
      <c r="D108" s="562"/>
      <c r="E108" s="565" t="s">
        <v>26</v>
      </c>
      <c r="F108" s="566"/>
      <c r="G108" s="66" t="s">
        <v>59</v>
      </c>
      <c r="H108" s="66"/>
      <c r="I108" s="66" t="s">
        <v>60</v>
      </c>
      <c r="J108" s="66" t="s">
        <v>6</v>
      </c>
      <c r="K108" s="67" t="s">
        <v>61</v>
      </c>
      <c r="L108" s="66" t="s">
        <v>30</v>
      </c>
      <c r="M108" s="68" t="s">
        <v>62</v>
      </c>
      <c r="N108" s="68" t="s">
        <v>34</v>
      </c>
      <c r="O108" s="69" t="s">
        <v>57</v>
      </c>
      <c r="P108" s="42"/>
      <c r="Q108" s="67"/>
      <c r="R108" s="67"/>
      <c r="S108" s="461"/>
    </row>
    <row r="109" spans="1:30" ht="13.5" customHeight="1" x14ac:dyDescent="0.15">
      <c r="A109" s="76">
        <v>1</v>
      </c>
      <c r="B109" s="545"/>
      <c r="C109" s="546"/>
      <c r="D109" s="547"/>
      <c r="E109" s="558" t="s">
        <v>66</v>
      </c>
      <c r="F109" s="559"/>
      <c r="G109" s="78"/>
      <c r="H109" s="78"/>
      <c r="I109" s="77"/>
      <c r="J109" s="46" t="str">
        <f>VLOOKUP($E:$E,材料单价表!$B$3:$G$42,4,0)</f>
        <v>m</v>
      </c>
      <c r="K109" s="46"/>
      <c r="L109" s="80">
        <f>L77</f>
        <v>9.8000000000000007</v>
      </c>
      <c r="M109" s="46">
        <f>VLOOKUP($E:$E,材料单价表!$B$3:$G$42,5,0)</f>
        <v>0</v>
      </c>
      <c r="N109" s="46">
        <f>M109*L109</f>
        <v>0</v>
      </c>
      <c r="O109" s="48"/>
      <c r="P109" s="59"/>
      <c r="Q109" s="81"/>
      <c r="R109" s="79"/>
      <c r="S109" s="464"/>
    </row>
    <row r="110" spans="1:30" ht="15.75" customHeight="1" x14ac:dyDescent="0.15">
      <c r="A110" s="76">
        <v>2</v>
      </c>
      <c r="B110" s="545"/>
      <c r="C110" s="546"/>
      <c r="D110" s="547"/>
      <c r="E110" s="558" t="s">
        <v>68</v>
      </c>
      <c r="F110" s="559"/>
      <c r="G110" s="78" t="s">
        <v>67</v>
      </c>
      <c r="H110" s="78"/>
      <c r="I110" s="77"/>
      <c r="J110" s="46" t="str">
        <f>VLOOKUP($E:$E,材料单价表!$B$3:$G$42,4,0)</f>
        <v>m</v>
      </c>
      <c r="K110" s="46"/>
      <c r="L110" s="80">
        <f>(I83*J83+I84*J84+I85*J85+I86*J86+I87*J87)/1000*2</f>
        <v>35.892000000000003</v>
      </c>
      <c r="M110" s="46">
        <f>VLOOKUP($E:$E,材料单价表!$B$3:$G$42,5,0)</f>
        <v>0</v>
      </c>
      <c r="N110" s="46">
        <f t="shared" ref="N110:N115" si="15">M110*L110</f>
        <v>0</v>
      </c>
      <c r="O110" s="48"/>
      <c r="P110" s="59"/>
      <c r="Q110" s="81"/>
      <c r="R110" s="79"/>
      <c r="S110" s="464"/>
      <c r="U110" s="104"/>
      <c r="V110" s="104"/>
    </row>
    <row r="111" spans="1:30" ht="13.5" customHeight="1" x14ac:dyDescent="0.15">
      <c r="A111" s="76">
        <v>3</v>
      </c>
      <c r="B111" s="545"/>
      <c r="C111" s="546"/>
      <c r="D111" s="547"/>
      <c r="E111" s="558" t="s">
        <v>68</v>
      </c>
      <c r="F111" s="559"/>
      <c r="G111" s="78" t="s">
        <v>69</v>
      </c>
      <c r="H111" s="78"/>
      <c r="I111" s="77"/>
      <c r="J111" s="46" t="str">
        <f>VLOOKUP($E:$E,材料单价表!$B$3:$G$42,4,0)</f>
        <v>m</v>
      </c>
      <c r="K111" s="46"/>
      <c r="L111" s="80">
        <f>L77</f>
        <v>9.8000000000000007</v>
      </c>
      <c r="M111" s="46">
        <f>VLOOKUP($E:$E,材料单价表!$B$3:$G$42,5,0)</f>
        <v>0</v>
      </c>
      <c r="N111" s="46">
        <f t="shared" si="15"/>
        <v>0</v>
      </c>
      <c r="O111" s="48"/>
      <c r="P111" s="59"/>
      <c r="Q111" s="81"/>
      <c r="R111" s="79"/>
      <c r="S111" s="464"/>
      <c r="U111" s="104"/>
      <c r="V111" s="104"/>
    </row>
    <row r="112" spans="1:30" ht="13.5" customHeight="1" x14ac:dyDescent="0.15">
      <c r="A112" s="76">
        <v>4</v>
      </c>
      <c r="B112" s="545"/>
      <c r="C112" s="546"/>
      <c r="D112" s="547"/>
      <c r="E112" s="558" t="s">
        <v>68</v>
      </c>
      <c r="F112" s="559"/>
      <c r="G112" s="78" t="s">
        <v>70</v>
      </c>
      <c r="H112" s="78"/>
      <c r="I112" s="77"/>
      <c r="J112" s="46" t="str">
        <f>VLOOKUP($E:$E,材料单价表!$B$3:$G$42,4,0)</f>
        <v>m</v>
      </c>
      <c r="K112" s="46"/>
      <c r="L112" s="80">
        <f>L77</f>
        <v>9.8000000000000007</v>
      </c>
      <c r="M112" s="46">
        <f>VLOOKUP($E:$E,材料单价表!$B$3:$G$42,5,0)</f>
        <v>0</v>
      </c>
      <c r="N112" s="46">
        <f t="shared" si="15"/>
        <v>0</v>
      </c>
      <c r="O112" s="48"/>
      <c r="P112" s="59"/>
      <c r="Q112" s="81"/>
      <c r="R112" s="79"/>
      <c r="S112" s="464"/>
      <c r="U112" s="104"/>
      <c r="V112" s="104"/>
    </row>
    <row r="113" spans="1:19" ht="13.5" customHeight="1" x14ac:dyDescent="0.15">
      <c r="A113" s="76">
        <v>5</v>
      </c>
      <c r="B113" s="545"/>
      <c r="C113" s="546"/>
      <c r="D113" s="547"/>
      <c r="E113" s="558" t="s">
        <v>71</v>
      </c>
      <c r="F113" s="559"/>
      <c r="G113" s="78"/>
      <c r="H113" s="78"/>
      <c r="I113" s="77"/>
      <c r="J113" s="46" t="str">
        <f>VLOOKUP($E:$E,材料单价表!$B$3:$G$42,4,0)</f>
        <v>个</v>
      </c>
      <c r="K113" s="79"/>
      <c r="L113" s="80">
        <f>J93+J94</f>
        <v>0</v>
      </c>
      <c r="M113" s="46">
        <f>VLOOKUP($E:$E,材料单价表!$B$3:$G$42,5,0)</f>
        <v>0</v>
      </c>
      <c r="N113" s="46">
        <f t="shared" si="15"/>
        <v>0</v>
      </c>
      <c r="O113" s="48"/>
      <c r="P113" s="59"/>
      <c r="Q113" s="81"/>
      <c r="R113" s="79"/>
      <c r="S113" s="464"/>
    </row>
    <row r="114" spans="1:19" ht="13.5" customHeight="1" x14ac:dyDescent="0.15">
      <c r="A114" s="76">
        <v>6</v>
      </c>
      <c r="B114" s="545"/>
      <c r="C114" s="546"/>
      <c r="D114" s="547"/>
      <c r="E114" s="558" t="s">
        <v>809</v>
      </c>
      <c r="F114" s="559"/>
      <c r="G114" s="78"/>
      <c r="H114" s="78"/>
      <c r="I114" s="77"/>
      <c r="J114" s="46" t="str">
        <f>VLOOKUP($E:$E,材料单价表!$B$3:$G$42,4,0)</f>
        <v>m</v>
      </c>
      <c r="K114" s="79"/>
      <c r="L114" s="80">
        <f>(I83*J83+I84*J84+I85*J85+I86*J86+I87*J87)/1000*2</f>
        <v>35.892000000000003</v>
      </c>
      <c r="M114" s="46">
        <f>VLOOKUP($E:$E,材料单价表!$B$3:$G$42,5,0)</f>
        <v>0</v>
      </c>
      <c r="N114" s="46">
        <f t="shared" si="15"/>
        <v>0</v>
      </c>
      <c r="O114" s="48"/>
      <c r="P114" s="59"/>
      <c r="Q114" s="81"/>
      <c r="R114" s="46"/>
      <c r="S114" s="465"/>
    </row>
    <row r="115" spans="1:19" x14ac:dyDescent="0.15">
      <c r="A115" s="76">
        <v>7</v>
      </c>
      <c r="B115" s="545"/>
      <c r="C115" s="546"/>
      <c r="D115" s="547"/>
      <c r="E115" s="558" t="s">
        <v>72</v>
      </c>
      <c r="F115" s="559"/>
      <c r="G115" s="45"/>
      <c r="H115" s="45"/>
      <c r="I115" s="45"/>
      <c r="J115" s="46" t="str">
        <f>VLOOKUP($E:$E,材料单价表!$B$3:$G$42,4,0)</f>
        <v>m2</v>
      </c>
      <c r="K115" s="72"/>
      <c r="L115" s="46">
        <f>L121</f>
        <v>6</v>
      </c>
      <c r="M115" s="46">
        <f>VLOOKUP($E:$E,材料单价表!$B$3:$G$42,5,0)</f>
        <v>0</v>
      </c>
      <c r="N115" s="46">
        <f t="shared" si="15"/>
        <v>0</v>
      </c>
      <c r="O115" s="48"/>
      <c r="P115" s="48"/>
      <c r="Q115" s="73"/>
      <c r="R115" s="73"/>
      <c r="S115" s="463"/>
    </row>
    <row r="116" spans="1:19" x14ac:dyDescent="0.15">
      <c r="A116" s="76">
        <v>8</v>
      </c>
      <c r="B116" s="545"/>
      <c r="C116" s="546"/>
      <c r="D116" s="547"/>
      <c r="E116" s="198"/>
      <c r="F116" s="199"/>
      <c r="G116" s="207"/>
      <c r="H116" s="45"/>
      <c r="I116" s="207"/>
      <c r="J116" s="208"/>
      <c r="K116" s="209"/>
      <c r="L116" s="208"/>
      <c r="M116" s="208"/>
      <c r="N116" s="208"/>
      <c r="O116" s="211"/>
      <c r="P116" s="48"/>
      <c r="Q116" s="212"/>
      <c r="R116" s="212"/>
      <c r="S116" s="463"/>
    </row>
    <row r="117" spans="1:19" x14ac:dyDescent="0.15">
      <c r="A117" s="76">
        <v>9</v>
      </c>
      <c r="B117" s="545"/>
      <c r="C117" s="546"/>
      <c r="D117" s="547"/>
      <c r="E117" s="558"/>
      <c r="F117" s="559"/>
      <c r="G117" s="45"/>
      <c r="H117" s="45"/>
      <c r="I117" s="45"/>
      <c r="J117" s="45"/>
      <c r="K117" s="72"/>
      <c r="L117" s="46"/>
      <c r="M117" s="46"/>
      <c r="N117" s="82"/>
      <c r="O117" s="48"/>
      <c r="P117" s="48"/>
      <c r="Q117" s="73"/>
      <c r="R117" s="73"/>
      <c r="S117" s="463"/>
    </row>
    <row r="118" spans="1:19" x14ac:dyDescent="0.15">
      <c r="A118" s="74"/>
      <c r="B118" s="571"/>
      <c r="C118" s="572"/>
      <c r="D118" s="573"/>
      <c r="E118" s="552" t="s">
        <v>73</v>
      </c>
      <c r="F118" s="557"/>
      <c r="G118" s="557"/>
      <c r="H118" s="557"/>
      <c r="I118" s="557"/>
      <c r="J118" s="557"/>
      <c r="K118" s="557"/>
      <c r="L118" s="61"/>
      <c r="M118" s="61"/>
      <c r="N118" s="62">
        <f>SUM(N109:N117)</f>
        <v>0</v>
      </c>
      <c r="O118" s="63" t="s">
        <v>57</v>
      </c>
      <c r="P118" s="337"/>
      <c r="Q118" s="64"/>
      <c r="R118" s="64"/>
      <c r="S118" s="460"/>
    </row>
    <row r="119" spans="1:19" x14ac:dyDescent="0.15">
      <c r="A119" s="74"/>
      <c r="B119" s="571"/>
      <c r="C119" s="572"/>
      <c r="D119" s="573"/>
      <c r="E119" s="552" t="s">
        <v>74</v>
      </c>
      <c r="F119" s="557"/>
      <c r="G119" s="557"/>
      <c r="H119" s="557"/>
      <c r="I119" s="557"/>
      <c r="J119" s="557"/>
      <c r="K119" s="557"/>
      <c r="L119" s="557"/>
      <c r="M119" s="553"/>
      <c r="N119" s="62">
        <f>N118+N107+N104+N99</f>
        <v>0</v>
      </c>
      <c r="O119" s="63" t="s">
        <v>57</v>
      </c>
      <c r="P119" s="337"/>
      <c r="Q119" s="64"/>
      <c r="R119" s="64"/>
      <c r="S119" s="460"/>
    </row>
    <row r="120" spans="1:19" ht="24" x14ac:dyDescent="0.15">
      <c r="A120" s="65"/>
      <c r="B120" s="560" t="s">
        <v>75</v>
      </c>
      <c r="C120" s="561"/>
      <c r="D120" s="562"/>
      <c r="E120" s="565" t="s">
        <v>26</v>
      </c>
      <c r="F120" s="566"/>
      <c r="G120" s="66"/>
      <c r="H120" s="66"/>
      <c r="I120" s="66"/>
      <c r="J120" s="66" t="s">
        <v>6</v>
      </c>
      <c r="K120" s="83" t="s">
        <v>61</v>
      </c>
      <c r="L120" s="66" t="s">
        <v>76</v>
      </c>
      <c r="M120" s="68" t="s">
        <v>62</v>
      </c>
      <c r="N120" s="68" t="s">
        <v>34</v>
      </c>
      <c r="O120" s="84" t="s">
        <v>57</v>
      </c>
      <c r="P120" s="84"/>
      <c r="Q120" s="67"/>
      <c r="R120" s="67"/>
      <c r="S120" s="461"/>
    </row>
    <row r="121" spans="1:19" x14ac:dyDescent="0.15">
      <c r="A121" s="200">
        <v>1</v>
      </c>
      <c r="B121" s="545"/>
      <c r="C121" s="546"/>
      <c r="D121" s="547"/>
      <c r="E121" s="545" t="s">
        <v>77</v>
      </c>
      <c r="F121" s="547"/>
      <c r="G121" s="45"/>
      <c r="H121" s="45"/>
      <c r="I121" s="46"/>
      <c r="J121" s="45" t="s">
        <v>78</v>
      </c>
      <c r="K121" s="72"/>
      <c r="L121" s="85">
        <f>N64</f>
        <v>6</v>
      </c>
      <c r="M121" s="46">
        <f>VLOOKUP($E:$E,材料单价表!$B$3:$G$42,5,0)</f>
        <v>0</v>
      </c>
      <c r="N121" s="46">
        <f>M121*L121</f>
        <v>0</v>
      </c>
      <c r="O121" s="48"/>
      <c r="P121" s="48"/>
      <c r="Q121" s="72"/>
      <c r="R121" s="72"/>
      <c r="S121" s="462"/>
    </row>
    <row r="122" spans="1:19" x14ac:dyDescent="0.15">
      <c r="A122" s="200">
        <v>2</v>
      </c>
      <c r="B122" s="545"/>
      <c r="C122" s="546"/>
      <c r="D122" s="547"/>
      <c r="E122" s="545" t="s">
        <v>79</v>
      </c>
      <c r="F122" s="547"/>
      <c r="G122" s="45"/>
      <c r="H122" s="45"/>
      <c r="I122" s="46"/>
      <c r="J122" s="45" t="s">
        <v>78</v>
      </c>
      <c r="K122" s="72"/>
      <c r="L122" s="85">
        <f>L121</f>
        <v>6</v>
      </c>
      <c r="M122" s="46">
        <f>VLOOKUP($E:$E,材料单价表!$B$3:$G$42,5,0)</f>
        <v>0</v>
      </c>
      <c r="N122" s="46">
        <f>M122*L122</f>
        <v>0</v>
      </c>
      <c r="O122" s="48"/>
      <c r="P122" s="48"/>
      <c r="Q122" s="72"/>
      <c r="R122" s="72"/>
      <c r="S122" s="462"/>
    </row>
    <row r="123" spans="1:19" ht="24.75" customHeight="1" x14ac:dyDescent="0.15">
      <c r="A123" s="74"/>
      <c r="B123" s="571"/>
      <c r="C123" s="572"/>
      <c r="D123" s="573"/>
      <c r="E123" s="552" t="s">
        <v>80</v>
      </c>
      <c r="F123" s="553"/>
      <c r="G123" s="194"/>
      <c r="H123" s="344"/>
      <c r="I123" s="554" t="s">
        <v>81</v>
      </c>
      <c r="J123" s="554"/>
      <c r="K123" s="554"/>
      <c r="L123" s="554"/>
      <c r="M123" s="87"/>
      <c r="N123" s="62">
        <f>N119+N121+N122</f>
        <v>0</v>
      </c>
      <c r="O123" s="63" t="s">
        <v>57</v>
      </c>
      <c r="P123" s="337"/>
      <c r="Q123" s="64"/>
      <c r="R123" s="64"/>
      <c r="S123" s="460"/>
    </row>
    <row r="124" spans="1:19" ht="24" customHeight="1" x14ac:dyDescent="0.15">
      <c r="A124" s="74"/>
      <c r="B124" s="571"/>
      <c r="C124" s="572"/>
      <c r="D124" s="573"/>
      <c r="E124" s="555" t="s">
        <v>82</v>
      </c>
      <c r="F124" s="556"/>
      <c r="G124" s="193"/>
      <c r="H124" s="345"/>
      <c r="I124" s="552" t="s">
        <v>81</v>
      </c>
      <c r="J124" s="557"/>
      <c r="K124" s="557"/>
      <c r="L124" s="557"/>
      <c r="M124" s="62"/>
      <c r="N124" s="62">
        <f>N123/N64</f>
        <v>0</v>
      </c>
      <c r="O124" s="89" t="s">
        <v>57</v>
      </c>
      <c r="P124" s="89"/>
      <c r="Q124" s="90"/>
      <c r="R124" s="90"/>
      <c r="S124" s="466"/>
    </row>
    <row r="125" spans="1:19" ht="18.75" customHeight="1" x14ac:dyDescent="0.15">
      <c r="A125" s="549" t="s">
        <v>0</v>
      </c>
      <c r="B125" s="549"/>
      <c r="C125" s="549"/>
      <c r="D125" s="549"/>
      <c r="E125" s="549"/>
      <c r="F125" s="549"/>
      <c r="G125" s="549"/>
      <c r="H125" s="549"/>
      <c r="I125" s="549"/>
      <c r="J125" s="549"/>
      <c r="K125" s="550"/>
      <c r="L125" s="549"/>
      <c r="M125" s="549"/>
      <c r="N125" s="549"/>
      <c r="O125" s="549"/>
      <c r="P125" s="549"/>
      <c r="Q125" s="551"/>
      <c r="R125" s="551"/>
      <c r="S125" s="415"/>
    </row>
    <row r="126" spans="1:19" ht="15" customHeight="1" x14ac:dyDescent="0.15">
      <c r="A126" s="2" t="s">
        <v>1</v>
      </c>
      <c r="B126" s="3" t="str">
        <f>$B$2</f>
        <v>TLM</v>
      </c>
      <c r="C126" s="3">
        <v>5</v>
      </c>
      <c r="D126" s="3"/>
      <c r="E126" s="4" t="s">
        <v>2</v>
      </c>
      <c r="F126" s="5">
        <v>80</v>
      </c>
      <c r="G126" s="106" t="s">
        <v>86</v>
      </c>
      <c r="H126" s="106"/>
      <c r="I126" s="4" t="s">
        <v>3</v>
      </c>
      <c r="J126" s="6">
        <f>K129</f>
        <v>3600</v>
      </c>
      <c r="K126" s="7" t="s">
        <v>83</v>
      </c>
      <c r="L126" s="6">
        <f>K128</f>
        <v>2400</v>
      </c>
      <c r="M126" s="8" t="s">
        <v>4</v>
      </c>
      <c r="N126" s="9">
        <f>L138</f>
        <v>8.64</v>
      </c>
      <c r="O126" s="10"/>
      <c r="P126" s="10"/>
      <c r="Q126" s="10" t="s">
        <v>5</v>
      </c>
      <c r="R126" s="11"/>
      <c r="S126" s="457"/>
    </row>
    <row r="127" spans="1:19" ht="15" customHeight="1" x14ac:dyDescent="0.2">
      <c r="A127" s="12"/>
      <c r="B127" s="13"/>
      <c r="C127" s="13"/>
      <c r="D127" s="13"/>
      <c r="E127" s="14"/>
      <c r="F127" s="14"/>
      <c r="G127" s="15"/>
      <c r="H127" s="15"/>
      <c r="I127" s="16"/>
      <c r="J127" s="16" t="s">
        <v>6</v>
      </c>
      <c r="K127" s="17" t="s">
        <v>7</v>
      </c>
      <c r="L127" s="16" t="s">
        <v>8</v>
      </c>
      <c r="M127" s="18"/>
      <c r="N127" s="548" t="s">
        <v>1087</v>
      </c>
      <c r="O127" s="548"/>
      <c r="P127" s="16" t="s">
        <v>1018</v>
      </c>
      <c r="Q127" s="19"/>
      <c r="R127" s="20"/>
      <c r="S127" s="27"/>
    </row>
    <row r="128" spans="1:19" ht="15" customHeight="1" x14ac:dyDescent="0.2">
      <c r="A128" s="398" t="s">
        <v>918</v>
      </c>
      <c r="B128" s="404" t="s">
        <v>1111</v>
      </c>
      <c r="C128" s="343"/>
      <c r="D128" s="22"/>
      <c r="E128" s="23"/>
      <c r="F128" s="23"/>
      <c r="G128" s="107"/>
      <c r="H128" s="107"/>
      <c r="I128" s="24" t="s">
        <v>9</v>
      </c>
      <c r="J128" s="16" t="s">
        <v>10</v>
      </c>
      <c r="K128" s="25">
        <v>2400</v>
      </c>
      <c r="L128" s="113">
        <f>K128-L137*2</f>
        <v>2300</v>
      </c>
      <c r="M128" s="18"/>
      <c r="N128" s="356" t="s">
        <v>1088</v>
      </c>
      <c r="O128" s="357"/>
      <c r="P128" s="16" t="s">
        <v>1019</v>
      </c>
      <c r="Q128" s="27"/>
      <c r="R128" s="28"/>
      <c r="S128" s="27"/>
    </row>
    <row r="129" spans="1:30" ht="15" customHeight="1" x14ac:dyDescent="0.2">
      <c r="A129" s="21"/>
      <c r="B129" s="22"/>
      <c r="C129" s="22"/>
      <c r="D129" s="22"/>
      <c r="E129" s="23"/>
      <c r="F129" s="23"/>
      <c r="G129" s="18"/>
      <c r="H129" s="18"/>
      <c r="I129" s="24" t="s">
        <v>11</v>
      </c>
      <c r="J129" s="16" t="s">
        <v>10</v>
      </c>
      <c r="K129" s="25">
        <v>3600</v>
      </c>
      <c r="L129" s="113">
        <f>K129-L137*2</f>
        <v>3500</v>
      </c>
      <c r="M129" s="18"/>
      <c r="N129" s="356" t="s">
        <v>1089</v>
      </c>
      <c r="O129" s="357"/>
      <c r="P129" s="16" t="s">
        <v>1022</v>
      </c>
      <c r="Q129" s="27"/>
      <c r="R129" s="28"/>
      <c r="S129" s="27"/>
    </row>
    <row r="130" spans="1:30" ht="15" customHeight="1" x14ac:dyDescent="0.2">
      <c r="A130" s="21"/>
      <c r="B130" s="22"/>
      <c r="C130" s="22"/>
      <c r="D130" s="22"/>
      <c r="E130" s="23"/>
      <c r="F130" s="23"/>
      <c r="G130" s="18"/>
      <c r="H130" s="18"/>
      <c r="I130" s="24" t="s">
        <v>12</v>
      </c>
      <c r="J130" s="16" t="s">
        <v>10</v>
      </c>
      <c r="K130" s="26"/>
      <c r="L130" s="113">
        <f>L128</f>
        <v>2300</v>
      </c>
      <c r="M130" s="18"/>
      <c r="N130" s="356" t="s">
        <v>1092</v>
      </c>
      <c r="O130" s="357"/>
      <c r="P130" s="16" t="s">
        <v>1020</v>
      </c>
      <c r="Q130" s="27"/>
      <c r="R130" s="28"/>
      <c r="S130" s="27"/>
    </row>
    <row r="131" spans="1:30" ht="15" customHeight="1" x14ac:dyDescent="0.2">
      <c r="A131" s="21"/>
      <c r="B131" s="22"/>
      <c r="C131" s="22"/>
      <c r="D131" s="22"/>
      <c r="E131" s="23"/>
      <c r="F131" s="23"/>
      <c r="G131" s="18"/>
      <c r="H131" s="18"/>
      <c r="I131" s="24" t="s">
        <v>13</v>
      </c>
      <c r="J131" s="16" t="s">
        <v>10</v>
      </c>
      <c r="K131" s="26"/>
      <c r="L131" s="113"/>
      <c r="M131" s="18"/>
      <c r="N131" s="356" t="s">
        <v>925</v>
      </c>
      <c r="O131" s="357"/>
      <c r="P131" s="16" t="s">
        <v>1021</v>
      </c>
      <c r="Q131" s="27"/>
      <c r="R131" s="28"/>
      <c r="S131" s="27"/>
    </row>
    <row r="132" spans="1:30" ht="15" customHeight="1" x14ac:dyDescent="0.2">
      <c r="A132" s="21"/>
      <c r="B132" s="22"/>
      <c r="C132" s="22"/>
      <c r="D132" s="22"/>
      <c r="E132" s="23"/>
      <c r="F132" s="23"/>
      <c r="G132" s="18"/>
      <c r="H132" s="18"/>
      <c r="I132" s="24" t="s">
        <v>14</v>
      </c>
      <c r="J132" s="16" t="s">
        <v>10</v>
      </c>
      <c r="K132" s="26"/>
      <c r="L132" s="113"/>
      <c r="M132" s="18"/>
      <c r="N132" s="356"/>
      <c r="O132" s="357"/>
      <c r="P132" s="16"/>
      <c r="Q132" s="27"/>
      <c r="R132" s="28"/>
      <c r="S132" s="27"/>
    </row>
    <row r="133" spans="1:30" ht="15" customHeight="1" x14ac:dyDescent="0.2">
      <c r="A133" s="21"/>
      <c r="B133" s="22"/>
      <c r="C133" s="22"/>
      <c r="D133" s="22"/>
      <c r="E133" s="23"/>
      <c r="F133" s="23"/>
      <c r="G133" s="18"/>
      <c r="H133" s="18"/>
      <c r="I133" s="24" t="s">
        <v>15</v>
      </c>
      <c r="J133" s="16" t="s">
        <v>10</v>
      </c>
      <c r="K133" s="26"/>
      <c r="L133" s="113">
        <f>L129/4</f>
        <v>875</v>
      </c>
      <c r="M133" s="18"/>
      <c r="N133" s="356" t="s">
        <v>928</v>
      </c>
      <c r="O133" s="357"/>
      <c r="P133" s="16" t="s">
        <v>1005</v>
      </c>
      <c r="Q133" s="27"/>
      <c r="R133" s="28"/>
      <c r="S133" s="27"/>
    </row>
    <row r="134" spans="1:30" ht="15" customHeight="1" x14ac:dyDescent="0.2">
      <c r="A134" s="21"/>
      <c r="B134" s="22"/>
      <c r="C134" s="22"/>
      <c r="D134" s="22"/>
      <c r="E134" s="23"/>
      <c r="F134" s="23"/>
      <c r="G134" s="18"/>
      <c r="H134" s="18"/>
      <c r="I134" s="24" t="s">
        <v>16</v>
      </c>
      <c r="J134" s="16" t="s">
        <v>10</v>
      </c>
      <c r="K134" s="26"/>
      <c r="L134" s="113"/>
      <c r="M134" s="18"/>
      <c r="N134" s="356" t="s">
        <v>929</v>
      </c>
      <c r="O134" s="357"/>
      <c r="P134" s="16" t="s">
        <v>1024</v>
      </c>
      <c r="Q134" s="27"/>
      <c r="R134" s="28"/>
      <c r="S134" s="27"/>
    </row>
    <row r="135" spans="1:30" ht="15" customHeight="1" x14ac:dyDescent="0.2">
      <c r="A135" s="21"/>
      <c r="B135" s="22"/>
      <c r="C135" s="22"/>
      <c r="D135" s="22"/>
      <c r="E135" s="23"/>
      <c r="F135" s="23"/>
      <c r="G135" s="18"/>
      <c r="H135" s="18"/>
      <c r="I135" s="24" t="s">
        <v>17</v>
      </c>
      <c r="J135" s="16" t="s">
        <v>10</v>
      </c>
      <c r="K135" s="26"/>
      <c r="L135" s="113"/>
      <c r="M135" s="18"/>
      <c r="N135" s="356" t="s">
        <v>930</v>
      </c>
      <c r="O135" s="357"/>
      <c r="P135" s="16" t="s">
        <v>931</v>
      </c>
      <c r="Q135" s="27"/>
      <c r="R135" s="28"/>
      <c r="S135" s="27"/>
    </row>
    <row r="136" spans="1:30" ht="15" customHeight="1" x14ac:dyDescent="0.2">
      <c r="A136" s="21"/>
      <c r="B136" s="22"/>
      <c r="C136" s="22"/>
      <c r="D136" s="22"/>
      <c r="E136" s="23"/>
      <c r="F136" s="23"/>
      <c r="G136" s="18"/>
      <c r="H136" s="18"/>
      <c r="I136" s="24" t="s">
        <v>18</v>
      </c>
      <c r="J136" s="16" t="s">
        <v>10</v>
      </c>
      <c r="K136" s="26"/>
      <c r="L136" s="113"/>
      <c r="M136" s="18"/>
      <c r="N136" s="356" t="s">
        <v>932</v>
      </c>
      <c r="O136" s="357"/>
      <c r="P136" s="16" t="s">
        <v>933</v>
      </c>
      <c r="Q136" s="27"/>
      <c r="R136" s="28"/>
      <c r="S136" s="27"/>
    </row>
    <row r="137" spans="1:30" ht="15" customHeight="1" x14ac:dyDescent="0.2">
      <c r="A137" s="21"/>
      <c r="B137" s="22"/>
      <c r="C137" s="22"/>
      <c r="D137" s="22"/>
      <c r="E137" s="23"/>
      <c r="F137" s="23"/>
      <c r="G137" s="18"/>
      <c r="H137" s="18"/>
      <c r="I137" s="24" t="s">
        <v>19</v>
      </c>
      <c r="J137" s="16" t="s">
        <v>10</v>
      </c>
      <c r="K137" s="26"/>
      <c r="L137" s="25">
        <v>50</v>
      </c>
      <c r="M137" s="18"/>
      <c r="N137" s="356" t="s">
        <v>1101</v>
      </c>
      <c r="O137" s="357"/>
      <c r="P137" s="16" t="s">
        <v>935</v>
      </c>
      <c r="Q137" s="27"/>
      <c r="R137" s="28"/>
      <c r="S137" s="27"/>
    </row>
    <row r="138" spans="1:30" ht="15" customHeight="1" x14ac:dyDescent="0.2">
      <c r="A138" s="21"/>
      <c r="B138" s="22"/>
      <c r="C138" s="22"/>
      <c r="D138" s="22"/>
      <c r="E138" s="23"/>
      <c r="F138" s="23"/>
      <c r="G138" s="18"/>
      <c r="H138" s="18"/>
      <c r="I138" s="29" t="s">
        <v>20</v>
      </c>
      <c r="J138" s="16" t="s">
        <v>21</v>
      </c>
      <c r="K138" s="30"/>
      <c r="L138" s="31">
        <f>K128*K129/1000000</f>
        <v>8.64</v>
      </c>
      <c r="M138" s="18"/>
      <c r="N138" s="356" t="s">
        <v>936</v>
      </c>
      <c r="O138" s="357"/>
      <c r="P138" s="16" t="s">
        <v>937</v>
      </c>
      <c r="Q138" s="27"/>
      <c r="R138" s="28"/>
      <c r="S138" s="27"/>
    </row>
    <row r="139" spans="1:30" ht="15" customHeight="1" x14ac:dyDescent="0.2">
      <c r="A139" s="32"/>
      <c r="B139" s="33"/>
      <c r="C139" s="33"/>
      <c r="D139" s="33"/>
      <c r="E139" s="34"/>
      <c r="F139" s="34"/>
      <c r="G139" s="35"/>
      <c r="H139" s="35"/>
      <c r="I139" s="29" t="s">
        <v>22</v>
      </c>
      <c r="J139" s="16" t="s">
        <v>23</v>
      </c>
      <c r="K139" s="30"/>
      <c r="L139" s="36">
        <f>(K129+K128)*2/1000</f>
        <v>12</v>
      </c>
      <c r="M139" s="35"/>
      <c r="N139" s="356" t="s">
        <v>938</v>
      </c>
      <c r="O139" s="357"/>
      <c r="P139" s="16" t="s">
        <v>939</v>
      </c>
      <c r="Q139" s="37"/>
      <c r="R139" s="38"/>
      <c r="S139" s="27"/>
    </row>
    <row r="140" spans="1:30" ht="48.75" customHeight="1" x14ac:dyDescent="0.15">
      <c r="A140" s="39" t="s">
        <v>24</v>
      </c>
      <c r="B140" s="560" t="s">
        <v>25</v>
      </c>
      <c r="C140" s="561"/>
      <c r="D140" s="562"/>
      <c r="E140" s="40" t="s">
        <v>26</v>
      </c>
      <c r="F140" s="40" t="s">
        <v>27</v>
      </c>
      <c r="G140" s="40" t="s">
        <v>28</v>
      </c>
      <c r="H140" s="40" t="s">
        <v>1105</v>
      </c>
      <c r="I140" s="40" t="s">
        <v>29</v>
      </c>
      <c r="J140" s="40" t="s">
        <v>30</v>
      </c>
      <c r="K140" s="41" t="s">
        <v>31</v>
      </c>
      <c r="L140" s="40" t="s">
        <v>32</v>
      </c>
      <c r="M140" s="40" t="s">
        <v>33</v>
      </c>
      <c r="N140" s="40" t="s">
        <v>34</v>
      </c>
      <c r="O140" s="42" t="s">
        <v>35</v>
      </c>
      <c r="P140" s="338" t="s">
        <v>875</v>
      </c>
      <c r="Q140" s="43" t="s">
        <v>36</v>
      </c>
      <c r="R140" s="43" t="s">
        <v>37</v>
      </c>
      <c r="S140" s="458"/>
      <c r="U140" s="280" t="s">
        <v>357</v>
      </c>
      <c r="V140" s="280"/>
      <c r="W140" s="273" t="s">
        <v>805</v>
      </c>
      <c r="X140" s="281"/>
      <c r="Y140" s="273" t="s">
        <v>806</v>
      </c>
      <c r="Z140" s="281"/>
      <c r="AA140" s="273" t="s">
        <v>816</v>
      </c>
      <c r="AB140" s="281"/>
      <c r="AC140" s="273" t="s">
        <v>817</v>
      </c>
      <c r="AD140" s="274"/>
    </row>
    <row r="141" spans="1:30" ht="13.5" customHeight="1" x14ac:dyDescent="0.15">
      <c r="A141" s="200">
        <v>1</v>
      </c>
      <c r="B141" s="531" t="s">
        <v>38</v>
      </c>
      <c r="C141" s="532"/>
      <c r="D141" s="533"/>
      <c r="E141" s="47" t="str">
        <f>VLOOKUP($G:$G,型材表!$B$5:$I$448,2,0)</f>
        <v>边框</v>
      </c>
      <c r="F141" s="45" t="s">
        <v>39</v>
      </c>
      <c r="G141" s="45" t="str">
        <f>IF(F126=70,"ST70MK001",IF(F126=80,"ST80MK001",IF(F126=105,"ST105AMK003",IF(F126=115,"ST115MK003",IF(F126=90,"ST90MK003")))))</f>
        <v>ST80MK001</v>
      </c>
      <c r="H141" s="45" t="s">
        <v>1106</v>
      </c>
      <c r="I141" s="46">
        <f>L128</f>
        <v>2300</v>
      </c>
      <c r="J141" s="45">
        <v>2</v>
      </c>
      <c r="K141" s="47">
        <f>VLOOKUP($G:$G,型材表!$B$5:$I$448,4,0)</f>
        <v>2.141</v>
      </c>
      <c r="L141" s="46">
        <f>I141*J141*K141/1000</f>
        <v>9.8486000000000011</v>
      </c>
      <c r="M141" s="72">
        <f>VLOOKUP($G:$G,型材表!$B$5:$I$448,7,0)</f>
        <v>0</v>
      </c>
      <c r="N141" s="46">
        <f>M141*L141</f>
        <v>0</v>
      </c>
      <c r="O141" s="100">
        <f>VLOOKUP($G:$G,型材表!$B$5:$I$448,5,0)</f>
        <v>0.125</v>
      </c>
      <c r="P141" s="100" t="str">
        <f>VLOOKUP($G:$G,型材表!$B$5:$I$448,6,0)</f>
        <v>断桥隔热铝型材</v>
      </c>
      <c r="Q141" s="49"/>
      <c r="R141" s="50"/>
      <c r="S141" s="459"/>
      <c r="W141" s="264"/>
      <c r="X141" s="265"/>
      <c r="Y141" s="264"/>
      <c r="Z141" s="265"/>
      <c r="AA141" s="264"/>
      <c r="AB141" s="265"/>
      <c r="AC141" s="264"/>
      <c r="AD141" s="265"/>
    </row>
    <row r="142" spans="1:30" x14ac:dyDescent="0.15">
      <c r="A142" s="200">
        <v>2</v>
      </c>
      <c r="B142" s="534"/>
      <c r="C142" s="535"/>
      <c r="D142" s="536"/>
      <c r="E142" s="47" t="str">
        <f>VLOOKUP($G:$G,型材表!$B$5:$I$448,2,0)</f>
        <v>边框</v>
      </c>
      <c r="F142" s="45" t="s">
        <v>807</v>
      </c>
      <c r="G142" s="45" t="str">
        <f>IF(F126=70,"ST70MK001",IF(F126=80,"ST80MK001",IF(F126=105,"ST105AMK001",IF(F126=115,"ST115MK001",IF(F126=90,"ST90MK001")))))</f>
        <v>ST80MK001</v>
      </c>
      <c r="H142" s="45" t="s">
        <v>1107</v>
      </c>
      <c r="I142" s="46">
        <f>IF(F126=70,L129-U142,IF(F126=80,L129-W142,IF(F126=105,L129-Y142,IF(F126=115,L129-AA142,IF(F126=90,L129-AC142)))))</f>
        <v>3500</v>
      </c>
      <c r="J142" s="45">
        <v>1</v>
      </c>
      <c r="K142" s="47">
        <f>VLOOKUP($G:$G,型材表!$B$5:$I$448,4,0)</f>
        <v>2.141</v>
      </c>
      <c r="L142" s="46">
        <f t="shared" ref="L142:L143" si="16">I142*J142*K142/1000</f>
        <v>7.4935</v>
      </c>
      <c r="M142" s="72">
        <f>VLOOKUP($G:$G,型材表!$B$5:$I$448,7,0)</f>
        <v>0</v>
      </c>
      <c r="N142" s="46">
        <f t="shared" ref="N142:N143" si="17">M142*L142</f>
        <v>0</v>
      </c>
      <c r="O142" s="100">
        <f>VLOOKUP($G:$G,型材表!$B$5:$I$448,5,0)</f>
        <v>0.125</v>
      </c>
      <c r="P142" s="100" t="str">
        <f>VLOOKUP($G:$G,型材表!$B$5:$I$448,6,0)</f>
        <v>断桥隔热铝型材</v>
      </c>
      <c r="Q142" s="49"/>
      <c r="R142" s="50"/>
      <c r="S142" s="459"/>
      <c r="T142" s="374" t="s">
        <v>1114</v>
      </c>
      <c r="W142" s="264"/>
      <c r="X142" s="265"/>
      <c r="Y142" s="264">
        <f>21*2</f>
        <v>42</v>
      </c>
      <c r="Z142" s="265"/>
      <c r="AA142" s="264">
        <f>21.8*2</f>
        <v>43.6</v>
      </c>
      <c r="AB142" s="265"/>
      <c r="AC142" s="264">
        <f>20.67*2</f>
        <v>41.34</v>
      </c>
      <c r="AD142" s="265"/>
    </row>
    <row r="143" spans="1:30" x14ac:dyDescent="0.15">
      <c r="A143" s="200">
        <v>3</v>
      </c>
      <c r="B143" s="534"/>
      <c r="C143" s="535"/>
      <c r="D143" s="536"/>
      <c r="E143" s="47" t="str">
        <f>VLOOKUP($G:$G,型材表!$B$5:$I$448,2,0)</f>
        <v>边框</v>
      </c>
      <c r="F143" s="207" t="s">
        <v>591</v>
      </c>
      <c r="G143" s="207" t="str">
        <f>IF(F126=70,"ST70MK001",IF(F126=80,"ST80MK001",IF(F126=105,"ST105AMK002",IF(F126=115,"ST115MK002",IF(F126=90,"ST90MK004")))))</f>
        <v>ST80MK001</v>
      </c>
      <c r="H143" s="45" t="s">
        <v>1107</v>
      </c>
      <c r="I143" s="208">
        <f>I142</f>
        <v>3500</v>
      </c>
      <c r="J143" s="207">
        <v>1</v>
      </c>
      <c r="K143" s="47">
        <f>VLOOKUP($G:$G,型材表!$B$5:$I$448,4,0)</f>
        <v>2.141</v>
      </c>
      <c r="L143" s="46">
        <f t="shared" si="16"/>
        <v>7.4935</v>
      </c>
      <c r="M143" s="72">
        <f>VLOOKUP($G:$G,型材表!$B$5:$I$448,7,0)</f>
        <v>0</v>
      </c>
      <c r="N143" s="46">
        <f t="shared" si="17"/>
        <v>0</v>
      </c>
      <c r="O143" s="100">
        <f>VLOOKUP($G:$G,型材表!$B$5:$I$448,5,0)</f>
        <v>0.125</v>
      </c>
      <c r="P143" s="100" t="str">
        <f>VLOOKUP($G:$G,型材表!$B$5:$I$448,6,0)</f>
        <v>断桥隔热铝型材</v>
      </c>
      <c r="Q143" s="210"/>
      <c r="R143" s="50"/>
      <c r="S143" s="459"/>
      <c r="W143" s="264"/>
      <c r="X143" s="265"/>
      <c r="Y143" s="264"/>
      <c r="Z143" s="265"/>
      <c r="AA143" s="264"/>
      <c r="AB143" s="265"/>
      <c r="AC143" s="264"/>
      <c r="AD143" s="265"/>
    </row>
    <row r="144" spans="1:30" s="229" customFormat="1" x14ac:dyDescent="0.15">
      <c r="A144" s="200">
        <v>4</v>
      </c>
      <c r="B144" s="537"/>
      <c r="C144" s="538"/>
      <c r="D144" s="539"/>
      <c r="E144" s="221"/>
      <c r="F144" s="222"/>
      <c r="G144" s="222"/>
      <c r="H144" s="233"/>
      <c r="I144" s="223"/>
      <c r="J144" s="222"/>
      <c r="K144" s="221"/>
      <c r="L144" s="224"/>
      <c r="M144" s="225"/>
      <c r="N144" s="224"/>
      <c r="O144" s="226"/>
      <c r="P144" s="100"/>
      <c r="Q144" s="227"/>
      <c r="R144" s="228"/>
      <c r="S144" s="467"/>
      <c r="T144" s="375"/>
      <c r="U144" s="266"/>
      <c r="V144" s="266"/>
      <c r="W144" s="267"/>
      <c r="X144" s="268"/>
      <c r="Y144" s="267"/>
      <c r="Z144" s="268"/>
      <c r="AA144" s="267"/>
      <c r="AB144" s="268"/>
      <c r="AC144" s="267"/>
      <c r="AD144" s="268"/>
    </row>
    <row r="145" spans="1:30" ht="13.5" customHeight="1" x14ac:dyDescent="0.15">
      <c r="A145" s="200">
        <v>5</v>
      </c>
      <c r="B145" s="531" t="s">
        <v>41</v>
      </c>
      <c r="C145" s="532"/>
      <c r="D145" s="533"/>
      <c r="E145" s="47" t="str">
        <f>VLOOKUP($G:$G,型材表!$B$5:$I$448,2,0)</f>
        <v>扇料</v>
      </c>
      <c r="F145" s="45" t="s">
        <v>812</v>
      </c>
      <c r="G145" s="45" t="str">
        <f>IF(F126=70,"ST70MS001",IF(F126=80,"ST80MS001",IF(F126=105,"ST105AMS003",IF(F126=115,"ST115MS002",IF(F126=90,"ST90MS004")))))</f>
        <v>ST80MS001</v>
      </c>
      <c r="H145" s="45" t="s">
        <v>1108</v>
      </c>
      <c r="I145" s="46">
        <f>IF(F126=70,L130-U145,IF(F126=80,L130-W145,IF(F126=105,L130-Y145,IF(F126=115,L130-AA145,IF(F126=90,L130-AC145)))))</f>
        <v>2216</v>
      </c>
      <c r="J145" s="45">
        <v>4</v>
      </c>
      <c r="K145" s="47">
        <f>VLOOKUP($G:$G,型材表!$B$5:$I$448,4,0)</f>
        <v>1.4890000000000001</v>
      </c>
      <c r="L145" s="46">
        <f t="shared" ref="L145:L151" si="18">I145*J145*K145/1000</f>
        <v>13.198496</v>
      </c>
      <c r="M145" s="72">
        <f>VLOOKUP($G:$G,型材表!$B$5:$I$448,7,0)</f>
        <v>0</v>
      </c>
      <c r="N145" s="46">
        <f t="shared" ref="N145:N151" si="19">M145*L145</f>
        <v>0</v>
      </c>
      <c r="O145" s="100">
        <f>VLOOKUP($G:$G,型材表!$B$5:$I$448,5,0)</f>
        <v>0.125</v>
      </c>
      <c r="P145" s="100" t="str">
        <f>VLOOKUP($G:$G,型材表!$B$5:$I$448,6,0)</f>
        <v>断桥隔热铝型材</v>
      </c>
      <c r="Q145" s="49"/>
      <c r="R145" s="50"/>
      <c r="S145" s="459"/>
      <c r="T145" s="374" t="s">
        <v>1115</v>
      </c>
      <c r="U145" s="259">
        <f>42.5*2</f>
        <v>85</v>
      </c>
      <c r="W145" s="264">
        <f>42*2</f>
        <v>84</v>
      </c>
      <c r="X145" s="265"/>
      <c r="Y145" s="264">
        <f>35+32.5</f>
        <v>67.5</v>
      </c>
      <c r="Z145" s="265"/>
      <c r="AA145" s="264">
        <f>42+37.3</f>
        <v>79.3</v>
      </c>
      <c r="AB145" s="265"/>
      <c r="AC145" s="264">
        <f>30+19</f>
        <v>49</v>
      </c>
      <c r="AD145" s="265"/>
    </row>
    <row r="146" spans="1:30" x14ac:dyDescent="0.15">
      <c r="A146" s="200">
        <v>6</v>
      </c>
      <c r="B146" s="534"/>
      <c r="C146" s="535"/>
      <c r="D146" s="536"/>
      <c r="E146" s="47" t="str">
        <f>VLOOKUP($G:$G,型材表!$B$5:$I$448,2,0)</f>
        <v>扇料</v>
      </c>
      <c r="F146" s="45" t="s">
        <v>813</v>
      </c>
      <c r="G146" s="207" t="str">
        <f>IF(F126=70,"ST70MS001",IF(F126=80,"ST80MS001",IF(F126=105,"ST105AMS003",IF(F126=115,"ST115MS002",IF(F126=90,"ST90MS005")))))</f>
        <v>ST80MS001</v>
      </c>
      <c r="H146" s="45" t="s">
        <v>1108</v>
      </c>
      <c r="I146" s="208">
        <f>IF(F126=70,L130-U146,IF(F126=80,L130-W146,IF(F126=105,L130-Y146,IF(F126=115,L130-AA146,IF(F126=90,L130-AC146)))))</f>
        <v>2216</v>
      </c>
      <c r="J146" s="207">
        <v>4</v>
      </c>
      <c r="K146" s="47">
        <f>VLOOKUP($G:$G,型材表!$B$5:$I$448,4,0)</f>
        <v>1.4890000000000001</v>
      </c>
      <c r="L146" s="46">
        <f t="shared" si="18"/>
        <v>13.198496</v>
      </c>
      <c r="M146" s="72">
        <f>VLOOKUP($G:$G,型材表!$B$5:$I$448,7,0)</f>
        <v>0</v>
      </c>
      <c r="N146" s="46">
        <f t="shared" si="19"/>
        <v>0</v>
      </c>
      <c r="O146" s="100">
        <f>VLOOKUP($G:$G,型材表!$B$5:$I$448,5,0)</f>
        <v>0.125</v>
      </c>
      <c r="P146" s="100" t="str">
        <f>VLOOKUP($G:$G,型材表!$B$5:$I$448,6,0)</f>
        <v>断桥隔热铝型材</v>
      </c>
      <c r="Q146" s="210"/>
      <c r="R146" s="50"/>
      <c r="S146" s="459"/>
      <c r="T146" s="374" t="s">
        <v>1115</v>
      </c>
      <c r="U146" s="259">
        <f>42.5*2</f>
        <v>85</v>
      </c>
      <c r="W146" s="264">
        <f>42*2</f>
        <v>84</v>
      </c>
      <c r="X146" s="265"/>
      <c r="Y146" s="264">
        <f>35+32.5</f>
        <v>67.5</v>
      </c>
      <c r="Z146" s="265"/>
      <c r="AA146" s="264">
        <f>42+37.3</f>
        <v>79.3</v>
      </c>
      <c r="AB146" s="265"/>
      <c r="AC146" s="264">
        <f>30+19</f>
        <v>49</v>
      </c>
      <c r="AD146" s="265"/>
    </row>
    <row r="147" spans="1:30" x14ac:dyDescent="0.15">
      <c r="A147" s="200">
        <v>7</v>
      </c>
      <c r="B147" s="534"/>
      <c r="C147" s="535"/>
      <c r="D147" s="536"/>
      <c r="E147" s="47" t="str">
        <f>VLOOKUP($G:$G,型材表!$B$5:$I$448,2,0)</f>
        <v>扇料</v>
      </c>
      <c r="F147" s="45" t="s">
        <v>808</v>
      </c>
      <c r="G147" s="45" t="str">
        <f>IF(F126=70,"ST70MS001",IF(F126=80,"ST80MS001",IF(F126=105,"ST105AMS001",IF(F126=115,"ST115MS001",IF(F126=90,"ST90MS001")))))</f>
        <v>ST80MS001</v>
      </c>
      <c r="H147" s="45" t="s">
        <v>1109</v>
      </c>
      <c r="I147" s="46">
        <f>IF(F126=70,L133-U147,IF(F126=80,L133-W147,IF(F126=105,L133-Y147,IF(F126=115,L133-AA147,IF(F126=90,L133-AC147)))))</f>
        <v>888.45</v>
      </c>
      <c r="J147" s="45">
        <v>4</v>
      </c>
      <c r="K147" s="47">
        <f>VLOOKUP($G:$G,型材表!$B$5:$I$448,4,0)</f>
        <v>1.4890000000000001</v>
      </c>
      <c r="L147" s="46">
        <f t="shared" si="18"/>
        <v>5.2916082000000007</v>
      </c>
      <c r="M147" s="72">
        <f>VLOOKUP($G:$G,型材表!$B$5:$I$448,7,0)</f>
        <v>0</v>
      </c>
      <c r="N147" s="46">
        <f t="shared" si="19"/>
        <v>0</v>
      </c>
      <c r="O147" s="100">
        <f>VLOOKUP($G:$G,型材表!$B$5:$I$448,5,0)</f>
        <v>0.125</v>
      </c>
      <c r="P147" s="100" t="str">
        <f>VLOOKUP($G:$G,型材表!$B$5:$I$448,6,0)</f>
        <v>断桥隔热铝型材</v>
      </c>
      <c r="Q147" s="49"/>
      <c r="R147" s="50"/>
      <c r="S147" s="459"/>
      <c r="T147" s="374" t="s">
        <v>1117</v>
      </c>
      <c r="U147" s="259">
        <f>(42.5*2+6.4-66*2+53*2*4)/4</f>
        <v>95.85</v>
      </c>
      <c r="W147" s="264">
        <f>(42*2+2-69.9*2)/4</f>
        <v>-13.450000000000003</v>
      </c>
      <c r="X147" s="265"/>
      <c r="Y147" s="264">
        <f>(21*2+1.4-74.7*2+58.4*2*4)/4</f>
        <v>90.3</v>
      </c>
      <c r="Z147" s="265"/>
      <c r="AA147" s="264">
        <f>(25.6*2+1.5-72.1*2+55*2*4)/4</f>
        <v>87.125</v>
      </c>
      <c r="AB147" s="265"/>
      <c r="AC147" s="264">
        <f>(20.67*2+6.08-50*2+47.09*2*4)/2</f>
        <v>162.07000000000002</v>
      </c>
      <c r="AD147" s="265"/>
    </row>
    <row r="148" spans="1:30" x14ac:dyDescent="0.15">
      <c r="A148" s="200">
        <v>8</v>
      </c>
      <c r="B148" s="534"/>
      <c r="C148" s="535"/>
      <c r="D148" s="536"/>
      <c r="E148" s="47" t="str">
        <f>VLOOKUP($G:$G,型材表!$B$5:$I$448,2,0)</f>
        <v>扇料</v>
      </c>
      <c r="F148" s="45" t="s">
        <v>819</v>
      </c>
      <c r="G148" s="45" t="str">
        <f>IF(F126=70,"ST70MS001",IF(F126=80,"ST80MS001",IF(F126=105,"ST105AMS002",IF(F126=115,"ST115MS001",IF(F126=90,"ST90MS002")))))</f>
        <v>ST80MS001</v>
      </c>
      <c r="H148" s="45" t="s">
        <v>1109</v>
      </c>
      <c r="I148" s="46">
        <f>I147</f>
        <v>888.45</v>
      </c>
      <c r="J148" s="45">
        <v>2</v>
      </c>
      <c r="K148" s="47">
        <f>VLOOKUP($G:$G,型材表!$B$5:$I$448,4,0)</f>
        <v>1.4890000000000001</v>
      </c>
      <c r="L148" s="46">
        <f t="shared" si="18"/>
        <v>2.6458041000000003</v>
      </c>
      <c r="M148" s="72">
        <f>VLOOKUP($G:$G,型材表!$B$5:$I$448,7,0)</f>
        <v>0</v>
      </c>
      <c r="N148" s="46">
        <f t="shared" si="19"/>
        <v>0</v>
      </c>
      <c r="O148" s="100">
        <f>VLOOKUP($G:$G,型材表!$B$5:$I$448,5,0)</f>
        <v>0.125</v>
      </c>
      <c r="P148" s="100" t="str">
        <f>VLOOKUP($G:$G,型材表!$B$5:$I$448,6,0)</f>
        <v>断桥隔热铝型材</v>
      </c>
      <c r="Q148" s="49"/>
      <c r="R148" s="50"/>
      <c r="S148" s="459"/>
      <c r="W148" s="264"/>
      <c r="X148" s="265"/>
      <c r="Y148" s="264"/>
      <c r="Z148" s="265"/>
      <c r="AA148" s="264"/>
      <c r="AB148" s="265"/>
      <c r="AC148" s="264"/>
      <c r="AD148" s="265"/>
    </row>
    <row r="149" spans="1:30" x14ac:dyDescent="0.15">
      <c r="A149" s="200">
        <v>9</v>
      </c>
      <c r="B149" s="534"/>
      <c r="C149" s="535"/>
      <c r="D149" s="536"/>
      <c r="E149" s="47" t="str">
        <f>VLOOKUP($G:$G,型材表!$B$5:$I$448,2,0)</f>
        <v>扇料</v>
      </c>
      <c r="F149" s="45" t="s">
        <v>820</v>
      </c>
      <c r="G149" s="207" t="str">
        <f>IF(F126=70,"ST70MS001",IF(F126=80,"ST80MS001",IF(F126=105,"ST105AMS002",IF(F126=115,"ST115MS001",IF(F126=90,"ST90MS002")))))</f>
        <v>ST80MS001</v>
      </c>
      <c r="H149" s="45" t="s">
        <v>1109</v>
      </c>
      <c r="I149" s="208">
        <f>I148</f>
        <v>888.45</v>
      </c>
      <c r="J149" s="207">
        <v>2</v>
      </c>
      <c r="K149" s="47">
        <f>VLOOKUP($G:$G,型材表!$B$5:$I$448,4,0)</f>
        <v>1.4890000000000001</v>
      </c>
      <c r="L149" s="46">
        <f t="shared" si="18"/>
        <v>2.6458041000000003</v>
      </c>
      <c r="M149" s="72">
        <f>VLOOKUP($G:$G,型材表!$B$5:$I$448,7,0)</f>
        <v>0</v>
      </c>
      <c r="N149" s="46">
        <f t="shared" si="19"/>
        <v>0</v>
      </c>
      <c r="O149" s="100">
        <f>VLOOKUP($G:$G,型材表!$B$5:$I$448,5,0)</f>
        <v>0.125</v>
      </c>
      <c r="P149" s="100" t="str">
        <f>VLOOKUP($G:$G,型材表!$B$5:$I$448,6,0)</f>
        <v>断桥隔热铝型材</v>
      </c>
      <c r="Q149" s="210"/>
      <c r="R149" s="50"/>
      <c r="S149" s="459"/>
      <c r="W149" s="264"/>
      <c r="X149" s="265"/>
      <c r="Y149" s="264"/>
      <c r="Z149" s="265"/>
      <c r="AA149" s="264"/>
      <c r="AB149" s="265"/>
      <c r="AC149" s="264"/>
      <c r="AD149" s="265"/>
    </row>
    <row r="150" spans="1:30" x14ac:dyDescent="0.15">
      <c r="A150" s="200">
        <v>10</v>
      </c>
      <c r="B150" s="537"/>
      <c r="C150" s="538"/>
      <c r="D150" s="539"/>
      <c r="E150" s="47" t="str">
        <f>VLOOKUP($G:$G,型材表!$B$5:$I$448,2,0)</f>
        <v>收口</v>
      </c>
      <c r="F150" s="45"/>
      <c r="G150" s="45" t="str">
        <f>IF(F126=70,"ST70F005",IF(F126=80,"ST80MF001",IF(F126=105,"ST105AMF001",IF(F126=115,"ST115MF001",IF(F126=90,"ST90MF002")))))</f>
        <v>ST80MF001</v>
      </c>
      <c r="H150" s="45" t="s">
        <v>1112</v>
      </c>
      <c r="I150" s="46">
        <f>IF(F126=70,L130-U150,IF(F126=80,L130-W150,IF(F126=105,L130-Y150,IF(F126=115,L130-AA150,IF(F126=90,L130-AC150)))))</f>
        <v>2257</v>
      </c>
      <c r="J150" s="45">
        <v>1</v>
      </c>
      <c r="K150" s="47">
        <f>VLOOKUP($G:$G,型材表!$B$5:$I$448,4,0)</f>
        <v>0.69299999999999995</v>
      </c>
      <c r="L150" s="46">
        <f t="shared" si="18"/>
        <v>1.564101</v>
      </c>
      <c r="M150" s="72">
        <f>VLOOKUP($G:$G,型材表!$B$5:$I$448,7,0)</f>
        <v>0</v>
      </c>
      <c r="N150" s="46">
        <f t="shared" si="19"/>
        <v>0</v>
      </c>
      <c r="O150" s="100">
        <f>VLOOKUP($G:$G,型材表!$B$5:$I$448,5,0)</f>
        <v>0.125</v>
      </c>
      <c r="P150" s="100" t="str">
        <f>VLOOKUP($G:$G,型材表!$B$5:$I$448,6,0)</f>
        <v>断桥隔热铝型材</v>
      </c>
      <c r="Q150" s="49"/>
      <c r="R150" s="50"/>
      <c r="S150" s="459"/>
      <c r="T150" s="374" t="s">
        <v>1118</v>
      </c>
      <c r="U150" s="259">
        <f>23.4*2</f>
        <v>46.8</v>
      </c>
      <c r="W150" s="264">
        <f>21.5*2</f>
        <v>43</v>
      </c>
      <c r="X150" s="265"/>
      <c r="Y150" s="264">
        <f>21*2</f>
        <v>42</v>
      </c>
      <c r="Z150" s="265"/>
      <c r="AA150" s="264">
        <f>21.8*2</f>
        <v>43.6</v>
      </c>
      <c r="AB150" s="265"/>
      <c r="AC150" s="264">
        <f>20.67*2</f>
        <v>41.34</v>
      </c>
      <c r="AD150" s="265"/>
    </row>
    <row r="151" spans="1:30" ht="13.5" customHeight="1" x14ac:dyDescent="0.15">
      <c r="A151" s="200">
        <v>11</v>
      </c>
      <c r="B151" s="531" t="s">
        <v>44</v>
      </c>
      <c r="C151" s="532"/>
      <c r="D151" s="533"/>
      <c r="E151" s="47" t="str">
        <f>VLOOKUP($G:$G,型材表!$B$5:$I$448,2,0)</f>
        <v>勾企盖板</v>
      </c>
      <c r="F151" s="51"/>
      <c r="G151" s="45" t="str">
        <f>IF(F126=70,"ST70F001",IF(F126=80,"ST80F001",IF(F126=105,"ST105AMF002",IF(F126=115,"ST115MF002",0))))</f>
        <v>ST80F001</v>
      </c>
      <c r="H151" s="45" t="s">
        <v>1108</v>
      </c>
      <c r="I151" s="52">
        <f>I146</f>
        <v>2216</v>
      </c>
      <c r="J151" s="45">
        <f>J146</f>
        <v>4</v>
      </c>
      <c r="K151" s="47">
        <f>VLOOKUP($G:$G,型材表!$B$5:$I$448,4,0)</f>
        <v>0.34</v>
      </c>
      <c r="L151" s="46">
        <f t="shared" si="18"/>
        <v>3.0137600000000004</v>
      </c>
      <c r="M151" s="72">
        <f>VLOOKUP($G:$G,型材表!$B$5:$I$448,7,0)</f>
        <v>0</v>
      </c>
      <c r="N151" s="46">
        <f t="shared" si="19"/>
        <v>0</v>
      </c>
      <c r="O151" s="100">
        <f>VLOOKUP($G:$G,型材表!$B$5:$I$448,5,0)</f>
        <v>0.125</v>
      </c>
      <c r="P151" s="100" t="str">
        <f>VLOOKUP($G:$G,型材表!$B$5:$I$448,6,0)</f>
        <v>非断桥隔热铝型材</v>
      </c>
      <c r="Q151" s="49"/>
      <c r="R151" s="50"/>
      <c r="S151" s="459"/>
      <c r="W151" s="264"/>
      <c r="X151" s="265"/>
      <c r="Y151" s="264"/>
      <c r="Z151" s="265"/>
      <c r="AA151" s="264"/>
      <c r="AB151" s="265"/>
      <c r="AC151" s="264"/>
      <c r="AD151" s="265"/>
    </row>
    <row r="152" spans="1:30" s="229" customFormat="1" x14ac:dyDescent="0.15">
      <c r="A152" s="200">
        <v>12</v>
      </c>
      <c r="B152" s="534"/>
      <c r="C152" s="535"/>
      <c r="D152" s="536"/>
      <c r="E152" s="221"/>
      <c r="F152" s="230"/>
      <c r="G152" s="222"/>
      <c r="H152" s="233"/>
      <c r="I152" s="231"/>
      <c r="J152" s="222"/>
      <c r="K152" s="221"/>
      <c r="L152" s="224"/>
      <c r="M152" s="225"/>
      <c r="N152" s="224"/>
      <c r="O152" s="226"/>
      <c r="P152" s="100"/>
      <c r="Q152" s="227"/>
      <c r="R152" s="228"/>
      <c r="S152" s="467"/>
      <c r="T152" s="375"/>
      <c r="U152" s="266"/>
      <c r="V152" s="266"/>
      <c r="W152" s="267"/>
      <c r="X152" s="268"/>
      <c r="Y152" s="267"/>
      <c r="Z152" s="268"/>
      <c r="AA152" s="267"/>
      <c r="AB152" s="268"/>
      <c r="AC152" s="267"/>
      <c r="AD152" s="268"/>
    </row>
    <row r="153" spans="1:30" x14ac:dyDescent="0.15">
      <c r="A153" s="200">
        <v>13</v>
      </c>
      <c r="B153" s="534"/>
      <c r="C153" s="535"/>
      <c r="D153" s="536"/>
      <c r="E153" s="47" t="str">
        <f>VLOOKUP($G:$G,型材表!$B$5:$I$448,2,0)</f>
        <v>挡水板</v>
      </c>
      <c r="F153" s="213"/>
      <c r="G153" s="207" t="str">
        <f>IF(F126=70,"ST70F002",IF(F126=80,"ST80F002",0))</f>
        <v>ST80F002</v>
      </c>
      <c r="H153" s="45" t="s">
        <v>1107</v>
      </c>
      <c r="I153" s="214">
        <f>IF(F126=105,0,I142)</f>
        <v>3500</v>
      </c>
      <c r="J153" s="207">
        <f>J142</f>
        <v>1</v>
      </c>
      <c r="K153" s="47">
        <f>VLOOKUP($G:$G,型材表!$B$5:$I$448,4,0)</f>
        <v>0.30199999999999999</v>
      </c>
      <c r="L153" s="46">
        <f t="shared" ref="L153" si="20">I153*J153*K153/1000</f>
        <v>1.0569999999999999</v>
      </c>
      <c r="M153" s="72">
        <f>VLOOKUP($G:$G,型材表!$B$5:$I$448,7,0)</f>
        <v>0</v>
      </c>
      <c r="N153" s="46">
        <f t="shared" ref="N153" si="21">M153*L153</f>
        <v>0</v>
      </c>
      <c r="O153" s="100">
        <f>VLOOKUP($G:$G,型材表!$B$5:$I$448,5,0)</f>
        <v>0.125</v>
      </c>
      <c r="P153" s="100" t="str">
        <f>VLOOKUP($G:$G,型材表!$B$5:$I$448,6,0)</f>
        <v>非断桥隔热铝型材</v>
      </c>
      <c r="Q153" s="210"/>
      <c r="R153" s="50"/>
      <c r="S153" s="459"/>
      <c r="W153" s="264"/>
      <c r="X153" s="265"/>
      <c r="Y153" s="264"/>
      <c r="Z153" s="265"/>
      <c r="AA153" s="264"/>
      <c r="AB153" s="265"/>
      <c r="AC153" s="264"/>
      <c r="AD153" s="265"/>
    </row>
    <row r="154" spans="1:30" s="229" customFormat="1" x14ac:dyDescent="0.15">
      <c r="A154" s="200">
        <v>14</v>
      </c>
      <c r="B154" s="534"/>
      <c r="C154" s="535"/>
      <c r="D154" s="536"/>
      <c r="E154" s="221"/>
      <c r="F154" s="230"/>
      <c r="G154" s="222"/>
      <c r="H154" s="233"/>
      <c r="I154" s="231"/>
      <c r="J154" s="222"/>
      <c r="K154" s="221"/>
      <c r="L154" s="224"/>
      <c r="M154" s="225"/>
      <c r="N154" s="224"/>
      <c r="O154" s="226"/>
      <c r="P154" s="100"/>
      <c r="Q154" s="227"/>
      <c r="R154" s="228"/>
      <c r="S154" s="467"/>
      <c r="T154" s="375"/>
      <c r="U154" s="266"/>
      <c r="V154" s="266"/>
      <c r="W154" s="267"/>
      <c r="X154" s="268"/>
      <c r="Y154" s="267"/>
      <c r="Z154" s="268"/>
      <c r="AA154" s="267"/>
      <c r="AB154" s="268"/>
      <c r="AC154" s="267"/>
      <c r="AD154" s="268"/>
    </row>
    <row r="155" spans="1:30" x14ac:dyDescent="0.15">
      <c r="A155" s="200">
        <v>15</v>
      </c>
      <c r="B155" s="534"/>
      <c r="C155" s="535"/>
      <c r="D155" s="536"/>
      <c r="E155" s="47" t="str">
        <f>VLOOKUP($G:$G,型材表!$B$5:$I$448,2,0)</f>
        <v>角码</v>
      </c>
      <c r="F155" s="51" t="s">
        <v>446</v>
      </c>
      <c r="G155" s="45" t="str">
        <f>IF(F126=70,"SW50F002",IF(F126=80,"ST80MF002",0))</f>
        <v>ST80MF002</v>
      </c>
      <c r="H155" s="45" t="s">
        <v>1110</v>
      </c>
      <c r="I155" s="52">
        <f>IF(F126=70,U155,IF(F126=80,W155,0))</f>
        <v>39.799999999999997</v>
      </c>
      <c r="J155" s="45">
        <v>4</v>
      </c>
      <c r="K155" s="47">
        <f>VLOOKUP($G:$G,型材表!$B$5:$I$448,4,0)</f>
        <v>3.2589999999999999</v>
      </c>
      <c r="L155" s="46">
        <f t="shared" ref="L155:L156" si="22">I155*J155*K155/1000</f>
        <v>0.51883279999999987</v>
      </c>
      <c r="M155" s="72">
        <f>VLOOKUP($G:$G,型材表!$B$5:$I$448,7,0)</f>
        <v>0</v>
      </c>
      <c r="N155" s="46">
        <f t="shared" ref="N155:N156" si="23">M155*L155</f>
        <v>0</v>
      </c>
      <c r="O155" s="100">
        <f>VLOOKUP($G:$G,型材表!$B$5:$I$448,5,0)</f>
        <v>0.125</v>
      </c>
      <c r="P155" s="100" t="str">
        <f>VLOOKUP($G:$G,型材表!$B$5:$I$448,6,0)</f>
        <v>阳极氧化铝型材</v>
      </c>
      <c r="Q155" s="49"/>
      <c r="R155" s="50"/>
      <c r="S155" s="459"/>
      <c r="T155" s="374" t="s">
        <v>1110</v>
      </c>
      <c r="U155" s="259">
        <f>20.8-1+32.8-1</f>
        <v>51.599999999999994</v>
      </c>
      <c r="W155" s="264">
        <f>25.2-1+16.6-1</f>
        <v>39.799999999999997</v>
      </c>
      <c r="X155" s="265"/>
      <c r="Y155" s="264"/>
      <c r="Z155" s="265"/>
      <c r="AA155" s="264"/>
      <c r="AB155" s="265"/>
      <c r="AC155" s="264"/>
      <c r="AD155" s="265"/>
    </row>
    <row r="156" spans="1:30" x14ac:dyDescent="0.15">
      <c r="A156" s="200">
        <v>16</v>
      </c>
      <c r="B156" s="534"/>
      <c r="C156" s="535"/>
      <c r="D156" s="536"/>
      <c r="E156" s="47" t="str">
        <f>VLOOKUP($G:$G,型材表!$B$5:$I$448,2,0)</f>
        <v>角码</v>
      </c>
      <c r="F156" s="213" t="s">
        <v>447</v>
      </c>
      <c r="G156" s="207" t="str">
        <f>IF(F126=80,"ST80MF002",0)</f>
        <v>ST80MF002</v>
      </c>
      <c r="H156" s="45" t="s">
        <v>995</v>
      </c>
      <c r="I156" s="214">
        <f>IF(F126=80,W156,0)</f>
        <v>13.4</v>
      </c>
      <c r="J156" s="207">
        <f>4*4</f>
        <v>16</v>
      </c>
      <c r="K156" s="47">
        <f>VLOOKUP($G:$G,型材表!$B$5:$I$448,4,0)</f>
        <v>3.2589999999999999</v>
      </c>
      <c r="L156" s="46">
        <f t="shared" si="22"/>
        <v>0.69872959999999995</v>
      </c>
      <c r="M156" s="72">
        <f>VLOOKUP($G:$G,型材表!$B$5:$I$448,7,0)</f>
        <v>0</v>
      </c>
      <c r="N156" s="46">
        <f t="shared" si="23"/>
        <v>0</v>
      </c>
      <c r="O156" s="100">
        <f>VLOOKUP($G:$G,型材表!$B$5:$I$448,5,0)</f>
        <v>0.125</v>
      </c>
      <c r="P156" s="100" t="str">
        <f>VLOOKUP($G:$G,型材表!$B$5:$I$448,6,0)</f>
        <v>阳极氧化铝型材</v>
      </c>
      <c r="Q156" s="210"/>
      <c r="R156" s="50"/>
      <c r="S156" s="459"/>
      <c r="T156" s="374" t="s">
        <v>1119</v>
      </c>
      <c r="W156" s="264">
        <f>7.7-1+7.7-1</f>
        <v>13.4</v>
      </c>
      <c r="X156" s="265"/>
      <c r="Y156" s="264"/>
      <c r="Z156" s="265"/>
      <c r="AA156" s="264"/>
      <c r="AB156" s="265"/>
      <c r="AC156" s="264"/>
      <c r="AD156" s="265"/>
    </row>
    <row r="157" spans="1:30" s="229" customFormat="1" x14ac:dyDescent="0.15">
      <c r="A157" s="200">
        <v>17</v>
      </c>
      <c r="B157" s="534"/>
      <c r="C157" s="535"/>
      <c r="D157" s="536"/>
      <c r="E157" s="221"/>
      <c r="F157" s="232"/>
      <c r="G157" s="233"/>
      <c r="H157" s="233"/>
      <c r="I157" s="234"/>
      <c r="J157" s="233"/>
      <c r="K157" s="221"/>
      <c r="L157" s="224"/>
      <c r="M157" s="225"/>
      <c r="N157" s="224"/>
      <c r="O157" s="226"/>
      <c r="P157" s="226"/>
      <c r="Q157" s="235"/>
      <c r="R157" s="228"/>
      <c r="S157" s="467"/>
      <c r="T157" s="375"/>
      <c r="U157" s="266"/>
      <c r="V157" s="266"/>
      <c r="W157" s="267"/>
      <c r="X157" s="268"/>
      <c r="Y157" s="267"/>
      <c r="Z157" s="268"/>
      <c r="AA157" s="267"/>
      <c r="AB157" s="268"/>
      <c r="AC157" s="267"/>
      <c r="AD157" s="268"/>
    </row>
    <row r="158" spans="1:30" s="229" customFormat="1" x14ac:dyDescent="0.15">
      <c r="A158" s="567" t="s">
        <v>919</v>
      </c>
      <c r="B158" s="568"/>
      <c r="C158" s="568"/>
      <c r="D158" s="568"/>
      <c r="E158" s="568"/>
      <c r="F158" s="568"/>
      <c r="G158" s="568"/>
      <c r="H158" s="568"/>
      <c r="I158" s="568"/>
      <c r="J158" s="568"/>
      <c r="K158" s="569"/>
      <c r="L158" s="224">
        <f>SUMIF($P$141:$P$157,A158,$L$141:$L$157)</f>
        <v>63.379909400000003</v>
      </c>
      <c r="M158" s="353"/>
      <c r="N158" s="224"/>
      <c r="O158" s="354"/>
      <c r="P158" s="355"/>
      <c r="Q158" s="296"/>
      <c r="R158" s="228"/>
      <c r="S158" s="467"/>
      <c r="T158" s="375"/>
      <c r="U158" s="266"/>
      <c r="V158" s="266"/>
      <c r="W158" s="267"/>
      <c r="X158" s="268"/>
      <c r="Y158" s="267"/>
      <c r="Z158" s="268"/>
      <c r="AA158" s="267"/>
      <c r="AB158" s="268"/>
      <c r="AC158" s="267"/>
      <c r="AD158" s="268"/>
    </row>
    <row r="159" spans="1:30" s="229" customFormat="1" x14ac:dyDescent="0.15">
      <c r="A159" s="567" t="s">
        <v>920</v>
      </c>
      <c r="B159" s="568"/>
      <c r="C159" s="568"/>
      <c r="D159" s="568"/>
      <c r="E159" s="568"/>
      <c r="F159" s="568"/>
      <c r="G159" s="568"/>
      <c r="H159" s="568"/>
      <c r="I159" s="568"/>
      <c r="J159" s="568"/>
      <c r="K159" s="569"/>
      <c r="L159" s="224">
        <f t="shared" ref="L159:L160" si="24">SUMIF($P$141:$P$157,A159,$L$141:$L$157)</f>
        <v>4.0707599999999999</v>
      </c>
      <c r="M159" s="353"/>
      <c r="N159" s="224"/>
      <c r="O159" s="354"/>
      <c r="P159" s="355"/>
      <c r="Q159" s="296"/>
      <c r="R159" s="228"/>
      <c r="S159" s="467"/>
      <c r="T159" s="375"/>
      <c r="U159" s="266"/>
      <c r="V159" s="266"/>
      <c r="W159" s="267"/>
      <c r="X159" s="268"/>
      <c r="Y159" s="267"/>
      <c r="Z159" s="268"/>
      <c r="AA159" s="267"/>
      <c r="AB159" s="268"/>
      <c r="AC159" s="267"/>
      <c r="AD159" s="268"/>
    </row>
    <row r="160" spans="1:30" s="229" customFormat="1" x14ac:dyDescent="0.15">
      <c r="A160" s="567" t="s">
        <v>921</v>
      </c>
      <c r="B160" s="568"/>
      <c r="C160" s="568"/>
      <c r="D160" s="568"/>
      <c r="E160" s="568"/>
      <c r="F160" s="568"/>
      <c r="G160" s="568"/>
      <c r="H160" s="568"/>
      <c r="I160" s="568"/>
      <c r="J160" s="568"/>
      <c r="K160" s="569"/>
      <c r="L160" s="224">
        <f t="shared" si="24"/>
        <v>1.2175623999999998</v>
      </c>
      <c r="M160" s="353"/>
      <c r="N160" s="224"/>
      <c r="O160" s="354"/>
      <c r="P160" s="355"/>
      <c r="Q160" s="296"/>
      <c r="R160" s="228"/>
      <c r="S160" s="467"/>
      <c r="T160" s="375"/>
      <c r="U160" s="266"/>
      <c r="V160" s="266"/>
      <c r="W160" s="267"/>
      <c r="X160" s="268"/>
      <c r="Y160" s="267"/>
      <c r="Z160" s="268"/>
      <c r="AA160" s="267"/>
      <c r="AB160" s="268"/>
      <c r="AC160" s="267"/>
      <c r="AD160" s="268"/>
    </row>
    <row r="161" spans="1:30" x14ac:dyDescent="0.15">
      <c r="A161" s="61"/>
      <c r="B161" s="571"/>
      <c r="C161" s="572"/>
      <c r="D161" s="573"/>
      <c r="E161" s="552" t="s">
        <v>48</v>
      </c>
      <c r="F161" s="557"/>
      <c r="G161" s="557"/>
      <c r="H161" s="557"/>
      <c r="I161" s="557"/>
      <c r="J161" s="557"/>
      <c r="K161" s="553"/>
      <c r="L161" s="62">
        <f>SUM(L158:L160)</f>
        <v>68.668231800000015</v>
      </c>
      <c r="M161" s="63"/>
      <c r="N161" s="62">
        <f>SUM(N141:N157)</f>
        <v>0</v>
      </c>
      <c r="O161" s="63"/>
      <c r="P161" s="337"/>
      <c r="Q161" s="64"/>
      <c r="R161" s="64"/>
      <c r="S161" s="460"/>
      <c r="W161" s="264"/>
      <c r="X161" s="265"/>
      <c r="Y161" s="264"/>
      <c r="Z161" s="265"/>
      <c r="AA161" s="264"/>
      <c r="AB161" s="265"/>
      <c r="AC161" s="264"/>
      <c r="AD161" s="265"/>
    </row>
    <row r="162" spans="1:30" ht="24" x14ac:dyDescent="0.15">
      <c r="A162" s="65"/>
      <c r="B162" s="560" t="s">
        <v>49</v>
      </c>
      <c r="C162" s="561"/>
      <c r="D162" s="562"/>
      <c r="E162" s="565" t="s">
        <v>26</v>
      </c>
      <c r="F162" s="566"/>
      <c r="G162" s="66" t="s">
        <v>1093</v>
      </c>
      <c r="H162" s="66" t="s">
        <v>1094</v>
      </c>
      <c r="I162" s="66" t="s">
        <v>50</v>
      </c>
      <c r="J162" s="66" t="s">
        <v>51</v>
      </c>
      <c r="K162" s="67" t="s">
        <v>30</v>
      </c>
      <c r="L162" s="66" t="s">
        <v>52</v>
      </c>
      <c r="M162" s="68" t="s">
        <v>53</v>
      </c>
      <c r="N162" s="68" t="s">
        <v>34</v>
      </c>
      <c r="O162" s="69" t="s">
        <v>35</v>
      </c>
      <c r="P162" s="42"/>
      <c r="Q162" s="67"/>
      <c r="R162" s="67"/>
      <c r="S162" s="461"/>
      <c r="U162" s="270" t="s">
        <v>352</v>
      </c>
      <c r="V162" s="270" t="s">
        <v>353</v>
      </c>
      <c r="W162" s="271" t="s">
        <v>352</v>
      </c>
      <c r="X162" s="272" t="s">
        <v>353</v>
      </c>
      <c r="Y162" s="271" t="s">
        <v>352</v>
      </c>
      <c r="Z162" s="272" t="s">
        <v>353</v>
      </c>
      <c r="AA162" s="271" t="s">
        <v>352</v>
      </c>
      <c r="AB162" s="272" t="s">
        <v>353</v>
      </c>
      <c r="AC162" s="271" t="s">
        <v>352</v>
      </c>
      <c r="AD162" s="272" t="s">
        <v>353</v>
      </c>
    </row>
    <row r="163" spans="1:30" x14ac:dyDescent="0.15">
      <c r="A163" s="200">
        <v>1</v>
      </c>
      <c r="B163" s="545" t="s">
        <v>823</v>
      </c>
      <c r="C163" s="546"/>
      <c r="D163" s="547"/>
      <c r="E163" s="545" t="s">
        <v>55</v>
      </c>
      <c r="F163" s="547"/>
      <c r="G163" s="45" t="s">
        <v>1113</v>
      </c>
      <c r="H163" s="45" t="s">
        <v>1103</v>
      </c>
      <c r="I163" s="46">
        <f>IF(F126=70,L133-U163,IF(F126=80,L133-W163,IF(F126=105,L133-Y163,IF(F126=115,L133-AA163,IF(F126=90,L133-AC163)))))</f>
        <v>769.85</v>
      </c>
      <c r="J163" s="237">
        <f>IF(F126=70,L130-V163,IF(F126=80,L130-X163,IF(F126=105,L130-Z163,IF(F126=115,L130-AB163,IF(F126=90,L130-AD163)))))</f>
        <v>2097.4</v>
      </c>
      <c r="K163" s="70">
        <v>2</v>
      </c>
      <c r="L163" s="46">
        <f>I163*J163*K163/1000000</f>
        <v>3.2293667800000003</v>
      </c>
      <c r="M163" s="46"/>
      <c r="N163" s="46">
        <f>M163*L163</f>
        <v>0</v>
      </c>
      <c r="O163" s="71"/>
      <c r="P163" s="71"/>
      <c r="Q163" s="72"/>
      <c r="R163" s="72"/>
      <c r="S163" s="462" t="s">
        <v>1612</v>
      </c>
      <c r="T163" s="374" t="s">
        <v>1613</v>
      </c>
      <c r="U163" s="371">
        <f>(99.57*2+120.55+48.13*2)/4</f>
        <v>103.9875</v>
      </c>
      <c r="V163" s="371">
        <f>99.57*2</f>
        <v>199.14</v>
      </c>
      <c r="W163" s="372">
        <f>(101.3*2+120.6+48.7*2)/4</f>
        <v>105.15</v>
      </c>
      <c r="X163" s="373">
        <f>101.3*2</f>
        <v>202.6</v>
      </c>
      <c r="Y163" s="372">
        <f>(84.4*2+128.2+52.1*2)/4</f>
        <v>100.3</v>
      </c>
      <c r="Z163" s="373">
        <f>84.17+96</f>
        <v>180.17000000000002</v>
      </c>
      <c r="AA163" s="372">
        <f>(85.6*2+121.51+47.9*2)/4</f>
        <v>97.127499999999998</v>
      </c>
      <c r="AB163" s="373">
        <f>97.96+93.3</f>
        <v>191.26</v>
      </c>
      <c r="AC163" s="372">
        <f>(72.67*2+110+20*2)/4</f>
        <v>73.835000000000008</v>
      </c>
      <c r="AD163" s="373">
        <f>70+69</f>
        <v>139</v>
      </c>
    </row>
    <row r="164" spans="1:30" x14ac:dyDescent="0.15">
      <c r="A164" s="200">
        <v>2</v>
      </c>
      <c r="B164" s="545" t="s">
        <v>824</v>
      </c>
      <c r="C164" s="546"/>
      <c r="D164" s="547"/>
      <c r="E164" s="545" t="s">
        <v>135</v>
      </c>
      <c r="F164" s="547"/>
      <c r="G164" s="45" t="s">
        <v>1113</v>
      </c>
      <c r="H164" s="45" t="s">
        <v>1103</v>
      </c>
      <c r="I164" s="45">
        <f>IF(F126=70,L133-U164,IF(F126=80,L133-W164,IF(F126=105,L133-Y164,IF(F126=115,L133-AA164,IF(F126=90,L133-AC164)))))</f>
        <v>769.85</v>
      </c>
      <c r="J164" s="237">
        <f>IF(F126=70,L130-V164,IF(F126=80,L130-X164,IF(F126=105,L130-Z164,IF(F126=115,L130-AB164,IF(F126=90,L130-AD164)))))</f>
        <v>2097.4</v>
      </c>
      <c r="K164" s="70">
        <v>2</v>
      </c>
      <c r="L164" s="46">
        <f>I164*J164*K164/1000000</f>
        <v>3.2293667800000003</v>
      </c>
      <c r="M164" s="46"/>
      <c r="N164" s="46">
        <f>M164*L164</f>
        <v>0</v>
      </c>
      <c r="O164" s="71"/>
      <c r="P164" s="71"/>
      <c r="Q164" s="72"/>
      <c r="R164" s="72"/>
      <c r="S164" s="462" t="s">
        <v>1612</v>
      </c>
      <c r="T164" s="374" t="s">
        <v>1613</v>
      </c>
      <c r="U164" s="371">
        <f>(99.57*2+120.55+48.13*2)/4</f>
        <v>103.9875</v>
      </c>
      <c r="V164" s="371">
        <f>99.57*2</f>
        <v>199.14</v>
      </c>
      <c r="W164" s="372">
        <f>(101.3*2+120.6+48.7*2)/4</f>
        <v>105.15</v>
      </c>
      <c r="X164" s="373">
        <f>101.3*2</f>
        <v>202.6</v>
      </c>
      <c r="Y164" s="372">
        <f>(84.4*2+128.2+52.1*2)/4</f>
        <v>100.3</v>
      </c>
      <c r="Z164" s="373">
        <f>84.17+96</f>
        <v>180.17000000000002</v>
      </c>
      <c r="AA164" s="372">
        <f>(85.6*2+121.51+47.9*2)/4</f>
        <v>97.127499999999998</v>
      </c>
      <c r="AB164" s="373">
        <f>97.96+93.3</f>
        <v>191.26</v>
      </c>
      <c r="AC164" s="372">
        <f>(72.67*2+110+20*2)/4</f>
        <v>73.835000000000008</v>
      </c>
      <c r="AD164" s="373">
        <f>70+69</f>
        <v>139</v>
      </c>
    </row>
    <row r="165" spans="1:30" x14ac:dyDescent="0.15">
      <c r="A165" s="200"/>
      <c r="B165" s="545"/>
      <c r="C165" s="546"/>
      <c r="D165" s="547"/>
      <c r="E165" s="545"/>
      <c r="F165" s="547"/>
      <c r="G165" s="45"/>
      <c r="H165" s="45"/>
      <c r="I165" s="46"/>
      <c r="J165" s="200"/>
      <c r="K165" s="70"/>
      <c r="L165" s="46"/>
      <c r="M165" s="46"/>
      <c r="N165" s="46"/>
      <c r="O165" s="48"/>
      <c r="P165" s="48"/>
      <c r="Q165" s="73"/>
      <c r="R165" s="73"/>
      <c r="S165" s="463"/>
      <c r="W165" s="264"/>
      <c r="X165" s="265"/>
      <c r="AA165" s="277"/>
      <c r="AB165" s="277"/>
      <c r="AC165" s="277"/>
      <c r="AD165" s="277"/>
    </row>
    <row r="166" spans="1:30" x14ac:dyDescent="0.15">
      <c r="A166" s="74"/>
      <c r="B166" s="571"/>
      <c r="C166" s="572"/>
      <c r="D166" s="573"/>
      <c r="E166" s="554" t="s">
        <v>56</v>
      </c>
      <c r="F166" s="554"/>
      <c r="G166" s="554"/>
      <c r="H166" s="554"/>
      <c r="I166" s="570"/>
      <c r="J166" s="570"/>
      <c r="K166" s="554"/>
      <c r="L166" s="62">
        <f>SUM(L163:L165)</f>
        <v>6.4587335600000007</v>
      </c>
      <c r="M166" s="197"/>
      <c r="N166" s="62">
        <f>SUM(N163:N165)</f>
        <v>0</v>
      </c>
      <c r="O166" s="63" t="s">
        <v>57</v>
      </c>
      <c r="P166" s="337"/>
      <c r="Q166" s="64"/>
      <c r="R166" s="64"/>
      <c r="S166" s="460"/>
    </row>
    <row r="167" spans="1:30" ht="24" x14ac:dyDescent="0.15">
      <c r="A167" s="65"/>
      <c r="B167" s="560" t="s">
        <v>58</v>
      </c>
      <c r="C167" s="561"/>
      <c r="D167" s="562"/>
      <c r="E167" s="565" t="s">
        <v>26</v>
      </c>
      <c r="F167" s="566"/>
      <c r="G167" s="66" t="s">
        <v>59</v>
      </c>
      <c r="H167" s="66"/>
      <c r="I167" s="66" t="s">
        <v>60</v>
      </c>
      <c r="J167" s="66" t="s">
        <v>6</v>
      </c>
      <c r="K167" s="67" t="s">
        <v>61</v>
      </c>
      <c r="L167" s="66" t="s">
        <v>30</v>
      </c>
      <c r="M167" s="68" t="s">
        <v>62</v>
      </c>
      <c r="N167" s="68" t="s">
        <v>34</v>
      </c>
      <c r="O167" s="69" t="s">
        <v>57</v>
      </c>
      <c r="P167" s="42"/>
      <c r="Q167" s="67"/>
      <c r="R167" s="67"/>
      <c r="S167" s="461"/>
    </row>
    <row r="168" spans="1:30" ht="25.5" customHeight="1" x14ac:dyDescent="0.15">
      <c r="A168" s="200">
        <v>1</v>
      </c>
      <c r="B168" s="545"/>
      <c r="C168" s="546"/>
      <c r="D168" s="547"/>
      <c r="E168" s="545" t="s">
        <v>815</v>
      </c>
      <c r="F168" s="547"/>
      <c r="G168" s="45"/>
      <c r="H168" s="45"/>
      <c r="I168" s="45"/>
      <c r="J168" s="46" t="str">
        <f>VLOOKUP($E:$E,材料单价表!$B$3:$G$42,4,0)</f>
        <v>套</v>
      </c>
      <c r="K168" s="72"/>
      <c r="L168" s="46">
        <v>2</v>
      </c>
      <c r="M168" s="46">
        <f>VLOOKUP($E:$E,材料单价表!$B$3:$G$42,5,0)</f>
        <v>0</v>
      </c>
      <c r="N168" s="46">
        <f t="shared" ref="N168" si="25">M168*L168</f>
        <v>0</v>
      </c>
      <c r="O168" s="48"/>
      <c r="P168" s="48"/>
      <c r="Q168" s="73"/>
      <c r="R168" s="73"/>
      <c r="S168" s="463"/>
    </row>
    <row r="169" spans="1:30" x14ac:dyDescent="0.15">
      <c r="A169" s="74"/>
      <c r="B169" s="571"/>
      <c r="C169" s="572"/>
      <c r="D169" s="573"/>
      <c r="E169" s="554" t="s">
        <v>64</v>
      </c>
      <c r="F169" s="554"/>
      <c r="G169" s="554"/>
      <c r="H169" s="554"/>
      <c r="I169" s="570"/>
      <c r="J169" s="570"/>
      <c r="K169" s="554"/>
      <c r="L169" s="62">
        <f>L168</f>
        <v>2</v>
      </c>
      <c r="M169" s="197"/>
      <c r="N169" s="62">
        <f>SUM(N168:N168)</f>
        <v>0</v>
      </c>
      <c r="O169" s="63" t="s">
        <v>57</v>
      </c>
      <c r="P169" s="337"/>
      <c r="Q169" s="64"/>
      <c r="R169" s="64"/>
      <c r="S169" s="460"/>
    </row>
    <row r="170" spans="1:30" ht="24" x14ac:dyDescent="0.15">
      <c r="A170" s="65"/>
      <c r="B170" s="560" t="s">
        <v>65</v>
      </c>
      <c r="C170" s="561"/>
      <c r="D170" s="562"/>
      <c r="E170" s="565" t="s">
        <v>26</v>
      </c>
      <c r="F170" s="566"/>
      <c r="G170" s="66" t="s">
        <v>59</v>
      </c>
      <c r="H170" s="66"/>
      <c r="I170" s="66" t="s">
        <v>60</v>
      </c>
      <c r="J170" s="66" t="s">
        <v>6</v>
      </c>
      <c r="K170" s="67" t="s">
        <v>61</v>
      </c>
      <c r="L170" s="66" t="s">
        <v>30</v>
      </c>
      <c r="M170" s="68" t="s">
        <v>62</v>
      </c>
      <c r="N170" s="68" t="s">
        <v>34</v>
      </c>
      <c r="O170" s="69" t="s">
        <v>57</v>
      </c>
      <c r="P170" s="42"/>
      <c r="Q170" s="67"/>
      <c r="R170" s="67"/>
      <c r="S170" s="461"/>
    </row>
    <row r="171" spans="1:30" ht="13.5" customHeight="1" x14ac:dyDescent="0.15">
      <c r="A171" s="76">
        <v>1</v>
      </c>
      <c r="B171" s="545"/>
      <c r="C171" s="546"/>
      <c r="D171" s="547"/>
      <c r="E171" s="558" t="s">
        <v>66</v>
      </c>
      <c r="F171" s="559"/>
      <c r="G171" s="78"/>
      <c r="H171" s="78"/>
      <c r="I171" s="77"/>
      <c r="J171" s="46" t="str">
        <f>VLOOKUP($E:$E,材料单价表!$B$3:$G$42,4,0)</f>
        <v>m</v>
      </c>
      <c r="K171" s="46"/>
      <c r="L171" s="80">
        <f>L139</f>
        <v>12</v>
      </c>
      <c r="M171" s="46">
        <f>VLOOKUP($E:$E,材料单价表!$B$3:$G$42,5,0)</f>
        <v>0</v>
      </c>
      <c r="N171" s="46">
        <f>M171*L171</f>
        <v>0</v>
      </c>
      <c r="O171" s="48"/>
      <c r="P171" s="59"/>
      <c r="Q171" s="81"/>
      <c r="R171" s="79"/>
      <c r="S171" s="464"/>
    </row>
    <row r="172" spans="1:30" ht="15.75" customHeight="1" x14ac:dyDescent="0.15">
      <c r="A172" s="76">
        <v>2</v>
      </c>
      <c r="B172" s="545"/>
      <c r="C172" s="546"/>
      <c r="D172" s="547"/>
      <c r="E172" s="558" t="s">
        <v>68</v>
      </c>
      <c r="F172" s="559"/>
      <c r="G172" s="78" t="s">
        <v>67</v>
      </c>
      <c r="H172" s="78"/>
      <c r="I172" s="77"/>
      <c r="J172" s="46" t="str">
        <f>VLOOKUP($E:$E,材料单价表!$B$3:$G$42,4,0)</f>
        <v>m</v>
      </c>
      <c r="K172" s="46"/>
      <c r="L172" s="80">
        <f>(I145*J145+I146*J146+I147*J147+I148*J148+I149*J149)/1000*2</f>
        <v>49.671200000000006</v>
      </c>
      <c r="M172" s="46">
        <f>VLOOKUP($E:$E,材料单价表!$B$3:$G$42,5,0)</f>
        <v>0</v>
      </c>
      <c r="N172" s="46">
        <f t="shared" ref="N172:N177" si="26">M172*L172</f>
        <v>0</v>
      </c>
      <c r="O172" s="48"/>
      <c r="P172" s="59"/>
      <c r="Q172" s="81"/>
      <c r="R172" s="79"/>
      <c r="S172" s="464"/>
      <c r="U172" s="104"/>
      <c r="V172" s="104"/>
    </row>
    <row r="173" spans="1:30" ht="13.5" customHeight="1" x14ac:dyDescent="0.15">
      <c r="A173" s="76">
        <v>3</v>
      </c>
      <c r="B173" s="545"/>
      <c r="C173" s="546"/>
      <c r="D173" s="547"/>
      <c r="E173" s="558" t="s">
        <v>68</v>
      </c>
      <c r="F173" s="559"/>
      <c r="G173" s="78" t="s">
        <v>69</v>
      </c>
      <c r="H173" s="78"/>
      <c r="I173" s="77"/>
      <c r="J173" s="46" t="str">
        <f>VLOOKUP($E:$E,材料单价表!$B$3:$G$42,4,0)</f>
        <v>m</v>
      </c>
      <c r="K173" s="46"/>
      <c r="L173" s="80">
        <f>L139</f>
        <v>12</v>
      </c>
      <c r="M173" s="46">
        <f>VLOOKUP($E:$E,材料单价表!$B$3:$G$42,5,0)</f>
        <v>0</v>
      </c>
      <c r="N173" s="46">
        <f t="shared" si="26"/>
        <v>0</v>
      </c>
      <c r="O173" s="48"/>
      <c r="P173" s="59"/>
      <c r="Q173" s="81"/>
      <c r="R173" s="79"/>
      <c r="S173" s="464"/>
      <c r="U173" s="104"/>
      <c r="V173" s="104"/>
    </row>
    <row r="174" spans="1:30" ht="13.5" customHeight="1" x14ac:dyDescent="0.15">
      <c r="A174" s="76">
        <v>4</v>
      </c>
      <c r="B174" s="545"/>
      <c r="C174" s="546"/>
      <c r="D174" s="547"/>
      <c r="E174" s="558" t="s">
        <v>68</v>
      </c>
      <c r="F174" s="559"/>
      <c r="G174" s="78" t="s">
        <v>70</v>
      </c>
      <c r="H174" s="78"/>
      <c r="I174" s="77"/>
      <c r="J174" s="46" t="str">
        <f>VLOOKUP($E:$E,材料单价表!$B$3:$G$42,4,0)</f>
        <v>m</v>
      </c>
      <c r="K174" s="46"/>
      <c r="L174" s="80">
        <f>L139</f>
        <v>12</v>
      </c>
      <c r="M174" s="46">
        <f>VLOOKUP($E:$E,材料单价表!$B$3:$G$42,5,0)</f>
        <v>0</v>
      </c>
      <c r="N174" s="46">
        <f t="shared" si="26"/>
        <v>0</v>
      </c>
      <c r="O174" s="48"/>
      <c r="P174" s="59"/>
      <c r="Q174" s="81"/>
      <c r="R174" s="79"/>
      <c r="S174" s="464"/>
      <c r="U174" s="104"/>
      <c r="V174" s="104"/>
    </row>
    <row r="175" spans="1:30" ht="13.5" customHeight="1" x14ac:dyDescent="0.15">
      <c r="A175" s="76">
        <v>5</v>
      </c>
      <c r="B175" s="545"/>
      <c r="C175" s="546"/>
      <c r="D175" s="547"/>
      <c r="E175" s="558" t="s">
        <v>71</v>
      </c>
      <c r="F175" s="559"/>
      <c r="G175" s="78"/>
      <c r="H175" s="78"/>
      <c r="I175" s="77"/>
      <c r="J175" s="46" t="str">
        <f>VLOOKUP($E:$E,材料单价表!$B$3:$G$42,4,0)</f>
        <v>个</v>
      </c>
      <c r="K175" s="79"/>
      <c r="L175" s="80">
        <f>J155+J156</f>
        <v>20</v>
      </c>
      <c r="M175" s="46">
        <f>VLOOKUP($E:$E,材料单价表!$B$3:$G$42,5,0)</f>
        <v>0</v>
      </c>
      <c r="N175" s="46">
        <f t="shared" si="26"/>
        <v>0</v>
      </c>
      <c r="O175" s="48"/>
      <c r="P175" s="59"/>
      <c r="Q175" s="81"/>
      <c r="R175" s="79"/>
      <c r="S175" s="464"/>
    </row>
    <row r="176" spans="1:30" ht="13.5" customHeight="1" x14ac:dyDescent="0.15">
      <c r="A176" s="76">
        <v>6</v>
      </c>
      <c r="B176" s="545"/>
      <c r="C176" s="546"/>
      <c r="D176" s="547"/>
      <c r="E176" s="558" t="s">
        <v>809</v>
      </c>
      <c r="F176" s="559"/>
      <c r="G176" s="78"/>
      <c r="H176" s="78"/>
      <c r="I176" s="77"/>
      <c r="J176" s="46" t="str">
        <f>VLOOKUP($E:$E,材料单价表!$B$3:$G$42,4,0)</f>
        <v>m</v>
      </c>
      <c r="K176" s="79"/>
      <c r="L176" s="80">
        <f>(I145*J145+I146*J146+I147*J147+I148*J148+I149*J149)/1000*2</f>
        <v>49.671200000000006</v>
      </c>
      <c r="M176" s="46">
        <f>VLOOKUP($E:$E,材料单价表!$B$3:$G$42,5,0)</f>
        <v>0</v>
      </c>
      <c r="N176" s="46">
        <f t="shared" si="26"/>
        <v>0</v>
      </c>
      <c r="O176" s="48"/>
      <c r="P176" s="59"/>
      <c r="Q176" s="81"/>
      <c r="R176" s="46"/>
      <c r="S176" s="465"/>
    </row>
    <row r="177" spans="1:19" x14ac:dyDescent="0.15">
      <c r="A177" s="76">
        <v>7</v>
      </c>
      <c r="B177" s="545"/>
      <c r="C177" s="546"/>
      <c r="D177" s="547"/>
      <c r="E177" s="558" t="s">
        <v>72</v>
      </c>
      <c r="F177" s="559"/>
      <c r="G177" s="45"/>
      <c r="H177" s="45"/>
      <c r="I177" s="45"/>
      <c r="J177" s="46" t="str">
        <f>VLOOKUP($E:$E,材料单价表!$B$3:$G$42,4,0)</f>
        <v>m2</v>
      </c>
      <c r="K177" s="72"/>
      <c r="L177" s="46">
        <f>L183</f>
        <v>8.64</v>
      </c>
      <c r="M177" s="46">
        <f>VLOOKUP($E:$E,材料单价表!$B$3:$G$42,5,0)</f>
        <v>0</v>
      </c>
      <c r="N177" s="46">
        <f t="shared" si="26"/>
        <v>0</v>
      </c>
      <c r="O177" s="48"/>
      <c r="P177" s="48"/>
      <c r="Q177" s="73"/>
      <c r="R177" s="73"/>
      <c r="S177" s="463"/>
    </row>
    <row r="178" spans="1:19" x14ac:dyDescent="0.15">
      <c r="A178" s="76">
        <v>8</v>
      </c>
      <c r="B178" s="545"/>
      <c r="C178" s="546"/>
      <c r="D178" s="547"/>
      <c r="E178" s="198"/>
      <c r="F178" s="199"/>
      <c r="G178" s="207"/>
      <c r="H178" s="45"/>
      <c r="I178" s="207"/>
      <c r="J178" s="208"/>
      <c r="K178" s="209"/>
      <c r="L178" s="208"/>
      <c r="M178" s="208"/>
      <c r="N178" s="208"/>
      <c r="O178" s="211"/>
      <c r="P178" s="48"/>
      <c r="Q178" s="212"/>
      <c r="R178" s="212"/>
      <c r="S178" s="463"/>
    </row>
    <row r="179" spans="1:19" x14ac:dyDescent="0.15">
      <c r="A179" s="76">
        <v>9</v>
      </c>
      <c r="B179" s="545"/>
      <c r="C179" s="546"/>
      <c r="D179" s="547"/>
      <c r="E179" s="558"/>
      <c r="F179" s="559"/>
      <c r="G179" s="45"/>
      <c r="H179" s="45"/>
      <c r="I179" s="45"/>
      <c r="J179" s="45"/>
      <c r="K179" s="72"/>
      <c r="L179" s="46"/>
      <c r="M179" s="46"/>
      <c r="N179" s="82"/>
      <c r="O179" s="48"/>
      <c r="P179" s="48"/>
      <c r="Q179" s="73"/>
      <c r="R179" s="73"/>
      <c r="S179" s="463"/>
    </row>
    <row r="180" spans="1:19" x14ac:dyDescent="0.15">
      <c r="A180" s="74"/>
      <c r="B180" s="571"/>
      <c r="C180" s="572"/>
      <c r="D180" s="573"/>
      <c r="E180" s="552" t="s">
        <v>73</v>
      </c>
      <c r="F180" s="557"/>
      <c r="G180" s="557"/>
      <c r="H180" s="557"/>
      <c r="I180" s="557"/>
      <c r="J180" s="557"/>
      <c r="K180" s="557"/>
      <c r="L180" s="61"/>
      <c r="M180" s="61"/>
      <c r="N180" s="62">
        <f>SUM(N171:N179)</f>
        <v>0</v>
      </c>
      <c r="O180" s="63" t="s">
        <v>57</v>
      </c>
      <c r="P180" s="337"/>
      <c r="Q180" s="64"/>
      <c r="R180" s="64"/>
      <c r="S180" s="460"/>
    </row>
    <row r="181" spans="1:19" x14ac:dyDescent="0.15">
      <c r="A181" s="74"/>
      <c r="B181" s="571"/>
      <c r="C181" s="572"/>
      <c r="D181" s="573"/>
      <c r="E181" s="552" t="s">
        <v>74</v>
      </c>
      <c r="F181" s="557"/>
      <c r="G181" s="557"/>
      <c r="H181" s="557"/>
      <c r="I181" s="557"/>
      <c r="J181" s="557"/>
      <c r="K181" s="557"/>
      <c r="L181" s="557"/>
      <c r="M181" s="553"/>
      <c r="N181" s="62">
        <f>N180+N169+N166+N161</f>
        <v>0</v>
      </c>
      <c r="O181" s="63" t="s">
        <v>57</v>
      </c>
      <c r="P181" s="337"/>
      <c r="Q181" s="64"/>
      <c r="R181" s="64"/>
      <c r="S181" s="460"/>
    </row>
    <row r="182" spans="1:19" ht="24" x14ac:dyDescent="0.15">
      <c r="A182" s="65"/>
      <c r="B182" s="560" t="s">
        <v>75</v>
      </c>
      <c r="C182" s="561"/>
      <c r="D182" s="562"/>
      <c r="E182" s="565" t="s">
        <v>26</v>
      </c>
      <c r="F182" s="566"/>
      <c r="G182" s="66"/>
      <c r="H182" s="66"/>
      <c r="I182" s="66"/>
      <c r="J182" s="66" t="s">
        <v>6</v>
      </c>
      <c r="K182" s="83" t="s">
        <v>61</v>
      </c>
      <c r="L182" s="66" t="s">
        <v>76</v>
      </c>
      <c r="M182" s="68" t="s">
        <v>62</v>
      </c>
      <c r="N182" s="68" t="s">
        <v>34</v>
      </c>
      <c r="O182" s="84" t="s">
        <v>57</v>
      </c>
      <c r="P182" s="84"/>
      <c r="Q182" s="67"/>
      <c r="R182" s="67"/>
      <c r="S182" s="461"/>
    </row>
    <row r="183" spans="1:19" x14ac:dyDescent="0.15">
      <c r="A183" s="200">
        <v>1</v>
      </c>
      <c r="B183" s="545"/>
      <c r="C183" s="546"/>
      <c r="D183" s="547"/>
      <c r="E183" s="545" t="s">
        <v>77</v>
      </c>
      <c r="F183" s="547"/>
      <c r="G183" s="45"/>
      <c r="H183" s="45"/>
      <c r="I183" s="46"/>
      <c r="J183" s="45" t="s">
        <v>78</v>
      </c>
      <c r="K183" s="72"/>
      <c r="L183" s="85">
        <f>N126</f>
        <v>8.64</v>
      </c>
      <c r="M183" s="46">
        <f>VLOOKUP($E:$E,材料单价表!$B$3:$G$42,5,0)</f>
        <v>0</v>
      </c>
      <c r="N183" s="46">
        <f>M183*L183</f>
        <v>0</v>
      </c>
      <c r="O183" s="48"/>
      <c r="P183" s="48"/>
      <c r="Q183" s="72"/>
      <c r="R183" s="72"/>
      <c r="S183" s="462"/>
    </row>
    <row r="184" spans="1:19" x14ac:dyDescent="0.15">
      <c r="A184" s="200">
        <v>2</v>
      </c>
      <c r="B184" s="545"/>
      <c r="C184" s="546"/>
      <c r="D184" s="547"/>
      <c r="E184" s="545" t="s">
        <v>79</v>
      </c>
      <c r="F184" s="547"/>
      <c r="G184" s="45"/>
      <c r="H184" s="45"/>
      <c r="I184" s="46"/>
      <c r="J184" s="45" t="s">
        <v>78</v>
      </c>
      <c r="K184" s="72"/>
      <c r="L184" s="85">
        <f>L183</f>
        <v>8.64</v>
      </c>
      <c r="M184" s="46">
        <f>VLOOKUP($E:$E,材料单价表!$B$3:$G$42,5,0)</f>
        <v>0</v>
      </c>
      <c r="N184" s="46">
        <f>M184*L184</f>
        <v>0</v>
      </c>
      <c r="O184" s="48"/>
      <c r="P184" s="48"/>
      <c r="Q184" s="72"/>
      <c r="R184" s="72"/>
      <c r="S184" s="462"/>
    </row>
    <row r="185" spans="1:19" ht="24.75" customHeight="1" x14ac:dyDescent="0.15">
      <c r="A185" s="74"/>
      <c r="B185" s="571"/>
      <c r="C185" s="572"/>
      <c r="D185" s="573"/>
      <c r="E185" s="552" t="s">
        <v>80</v>
      </c>
      <c r="F185" s="553"/>
      <c r="G185" s="194"/>
      <c r="H185" s="344"/>
      <c r="I185" s="554" t="s">
        <v>81</v>
      </c>
      <c r="J185" s="554"/>
      <c r="K185" s="554"/>
      <c r="L185" s="554"/>
      <c r="M185" s="87"/>
      <c r="N185" s="62">
        <f>N181+N183+N184</f>
        <v>0</v>
      </c>
      <c r="O185" s="63" t="s">
        <v>57</v>
      </c>
      <c r="P185" s="337"/>
      <c r="Q185" s="64"/>
      <c r="R185" s="64"/>
      <c r="S185" s="460"/>
    </row>
    <row r="186" spans="1:19" ht="24" customHeight="1" x14ac:dyDescent="0.15">
      <c r="A186" s="74"/>
      <c r="B186" s="571"/>
      <c r="C186" s="572"/>
      <c r="D186" s="573"/>
      <c r="E186" s="555" t="s">
        <v>82</v>
      </c>
      <c r="F186" s="556"/>
      <c r="G186" s="193"/>
      <c r="H186" s="345"/>
      <c r="I186" s="552" t="s">
        <v>81</v>
      </c>
      <c r="J186" s="557"/>
      <c r="K186" s="557"/>
      <c r="L186" s="557"/>
      <c r="M186" s="62"/>
      <c r="N186" s="62">
        <f>N185/N126</f>
        <v>0</v>
      </c>
      <c r="O186" s="89" t="s">
        <v>57</v>
      </c>
      <c r="P186" s="89"/>
      <c r="Q186" s="90"/>
      <c r="R186" s="90"/>
      <c r="S186" s="466"/>
    </row>
    <row r="187" spans="1:19" ht="18.75" customHeight="1" x14ac:dyDescent="0.15">
      <c r="A187" s="549" t="s">
        <v>0</v>
      </c>
      <c r="B187" s="549"/>
      <c r="C187" s="549"/>
      <c r="D187" s="549"/>
      <c r="E187" s="549"/>
      <c r="F187" s="549"/>
      <c r="G187" s="549"/>
      <c r="H187" s="549"/>
      <c r="I187" s="549"/>
      <c r="J187" s="549"/>
      <c r="K187" s="550"/>
      <c r="L187" s="549"/>
      <c r="M187" s="549"/>
      <c r="N187" s="549"/>
      <c r="O187" s="549"/>
      <c r="P187" s="549"/>
      <c r="Q187" s="551"/>
      <c r="R187" s="551"/>
      <c r="S187" s="415"/>
    </row>
    <row r="188" spans="1:19" ht="15" customHeight="1" x14ac:dyDescent="0.15">
      <c r="A188" s="2" t="s">
        <v>1</v>
      </c>
      <c r="B188" s="3" t="str">
        <f>$B$2</f>
        <v>TLM</v>
      </c>
      <c r="C188" s="3">
        <v>6</v>
      </c>
      <c r="D188" s="3"/>
      <c r="E188" s="4" t="s">
        <v>2</v>
      </c>
      <c r="F188" s="5">
        <v>80</v>
      </c>
      <c r="G188" s="106" t="s">
        <v>86</v>
      </c>
      <c r="H188" s="106"/>
      <c r="I188" s="4" t="s">
        <v>3</v>
      </c>
      <c r="J188" s="6">
        <f>K191</f>
        <v>3600</v>
      </c>
      <c r="K188" s="7" t="s">
        <v>83</v>
      </c>
      <c r="L188" s="6">
        <f>K190</f>
        <v>2400</v>
      </c>
      <c r="M188" s="8" t="s">
        <v>4</v>
      </c>
      <c r="N188" s="9">
        <f>L200</f>
        <v>8.64</v>
      </c>
      <c r="O188" s="10"/>
      <c r="P188" s="10"/>
      <c r="Q188" s="10" t="s">
        <v>5</v>
      </c>
      <c r="R188" s="11"/>
      <c r="S188" s="457"/>
    </row>
    <row r="189" spans="1:19" ht="15" customHeight="1" x14ac:dyDescent="0.2">
      <c r="A189" s="12"/>
      <c r="B189" s="13"/>
      <c r="C189" s="13"/>
      <c r="D189" s="13"/>
      <c r="E189" s="14"/>
      <c r="F189" s="14"/>
      <c r="G189" s="15"/>
      <c r="H189" s="15"/>
      <c r="I189" s="16"/>
      <c r="J189" s="16" t="s">
        <v>6</v>
      </c>
      <c r="K189" s="17" t="s">
        <v>7</v>
      </c>
      <c r="L189" s="16" t="s">
        <v>8</v>
      </c>
      <c r="M189" s="18"/>
      <c r="N189" s="548" t="s">
        <v>1087</v>
      </c>
      <c r="O189" s="548"/>
      <c r="P189" s="16" t="s">
        <v>1018</v>
      </c>
      <c r="Q189" s="19"/>
      <c r="R189" s="20"/>
      <c r="S189" s="27"/>
    </row>
    <row r="190" spans="1:19" ht="15" customHeight="1" x14ac:dyDescent="0.2">
      <c r="A190" s="398" t="s">
        <v>918</v>
      </c>
      <c r="B190" s="404" t="s">
        <v>923</v>
      </c>
      <c r="C190" s="343"/>
      <c r="D190" s="22"/>
      <c r="E190" s="23"/>
      <c r="F190" s="23"/>
      <c r="G190" s="107"/>
      <c r="H190" s="107"/>
      <c r="I190" s="24" t="s">
        <v>9</v>
      </c>
      <c r="J190" s="16" t="s">
        <v>10</v>
      </c>
      <c r="K190" s="25">
        <v>2400</v>
      </c>
      <c r="L190" s="113">
        <f>K190-L199*2</f>
        <v>2300</v>
      </c>
      <c r="M190" s="18"/>
      <c r="N190" s="356" t="s">
        <v>1088</v>
      </c>
      <c r="O190" s="357"/>
      <c r="P190" s="16" t="s">
        <v>1019</v>
      </c>
      <c r="Q190" s="27"/>
      <c r="R190" s="28"/>
      <c r="S190" s="27"/>
    </row>
    <row r="191" spans="1:19" ht="15" customHeight="1" x14ac:dyDescent="0.2">
      <c r="A191" s="21"/>
      <c r="B191" s="22"/>
      <c r="C191" s="22"/>
      <c r="D191" s="22"/>
      <c r="E191" s="23"/>
      <c r="F191" s="23"/>
      <c r="G191" s="18"/>
      <c r="H191" s="18"/>
      <c r="I191" s="24" t="s">
        <v>11</v>
      </c>
      <c r="J191" s="16" t="s">
        <v>10</v>
      </c>
      <c r="K191" s="25">
        <v>3600</v>
      </c>
      <c r="L191" s="113">
        <f>K191-L199*2</f>
        <v>3500</v>
      </c>
      <c r="M191" s="18"/>
      <c r="N191" s="356" t="s">
        <v>1089</v>
      </c>
      <c r="O191" s="357"/>
      <c r="P191" s="16" t="s">
        <v>1022</v>
      </c>
      <c r="Q191" s="27"/>
      <c r="R191" s="28"/>
      <c r="S191" s="27"/>
    </row>
    <row r="192" spans="1:19" ht="15" customHeight="1" x14ac:dyDescent="0.2">
      <c r="A192" s="21"/>
      <c r="B192" s="22"/>
      <c r="C192" s="22"/>
      <c r="D192" s="22"/>
      <c r="E192" s="23"/>
      <c r="F192" s="23"/>
      <c r="G192" s="18"/>
      <c r="H192" s="18"/>
      <c r="I192" s="24" t="s">
        <v>12</v>
      </c>
      <c r="J192" s="16" t="s">
        <v>10</v>
      </c>
      <c r="K192" s="26"/>
      <c r="L192" s="113">
        <f>L190</f>
        <v>2300</v>
      </c>
      <c r="M192" s="18"/>
      <c r="N192" s="356" t="s">
        <v>1092</v>
      </c>
      <c r="O192" s="357"/>
      <c r="P192" s="16" t="s">
        <v>1020</v>
      </c>
      <c r="Q192" s="27"/>
      <c r="R192" s="28"/>
      <c r="S192" s="27"/>
    </row>
    <row r="193" spans="1:30" ht="15" customHeight="1" x14ac:dyDescent="0.2">
      <c r="A193" s="21"/>
      <c r="B193" s="22"/>
      <c r="C193" s="22"/>
      <c r="D193" s="22"/>
      <c r="E193" s="23"/>
      <c r="F193" s="23"/>
      <c r="G193" s="18"/>
      <c r="H193" s="18"/>
      <c r="I193" s="24" t="s">
        <v>13</v>
      </c>
      <c r="J193" s="16" t="s">
        <v>10</v>
      </c>
      <c r="K193" s="26"/>
      <c r="L193" s="113"/>
      <c r="M193" s="18"/>
      <c r="N193" s="356" t="s">
        <v>925</v>
      </c>
      <c r="O193" s="357"/>
      <c r="P193" s="16" t="s">
        <v>1021</v>
      </c>
      <c r="Q193" s="27"/>
      <c r="R193" s="28"/>
      <c r="S193" s="27"/>
    </row>
    <row r="194" spans="1:30" ht="15" customHeight="1" x14ac:dyDescent="0.2">
      <c r="A194" s="21"/>
      <c r="B194" s="22"/>
      <c r="C194" s="22"/>
      <c r="D194" s="22"/>
      <c r="E194" s="23"/>
      <c r="F194" s="23"/>
      <c r="G194" s="18"/>
      <c r="H194" s="18"/>
      <c r="I194" s="24" t="s">
        <v>14</v>
      </c>
      <c r="J194" s="16" t="s">
        <v>10</v>
      </c>
      <c r="K194" s="26"/>
      <c r="L194" s="113"/>
      <c r="M194" s="18"/>
      <c r="N194" s="356"/>
      <c r="O194" s="357"/>
      <c r="P194" s="16"/>
      <c r="Q194" s="27"/>
      <c r="R194" s="28"/>
      <c r="S194" s="27"/>
    </row>
    <row r="195" spans="1:30" ht="15" customHeight="1" x14ac:dyDescent="0.2">
      <c r="A195" s="21"/>
      <c r="B195" s="22"/>
      <c r="C195" s="22"/>
      <c r="D195" s="22"/>
      <c r="E195" s="23"/>
      <c r="F195" s="23"/>
      <c r="G195" s="18"/>
      <c r="H195" s="18"/>
      <c r="I195" s="24" t="s">
        <v>15</v>
      </c>
      <c r="J195" s="16" t="s">
        <v>10</v>
      </c>
      <c r="K195" s="26"/>
      <c r="L195" s="113">
        <f>L191/4</f>
        <v>875</v>
      </c>
      <c r="M195" s="18"/>
      <c r="N195" s="356" t="s">
        <v>928</v>
      </c>
      <c r="O195" s="357"/>
      <c r="P195" s="16" t="s">
        <v>1005</v>
      </c>
      <c r="Q195" s="27"/>
      <c r="R195" s="28"/>
      <c r="S195" s="27"/>
    </row>
    <row r="196" spans="1:30" ht="15" customHeight="1" x14ac:dyDescent="0.2">
      <c r="A196" s="21"/>
      <c r="B196" s="22"/>
      <c r="C196" s="22"/>
      <c r="D196" s="22"/>
      <c r="E196" s="23"/>
      <c r="F196" s="23"/>
      <c r="G196" s="18"/>
      <c r="H196" s="18"/>
      <c r="I196" s="24" t="s">
        <v>16</v>
      </c>
      <c r="J196" s="16" t="s">
        <v>10</v>
      </c>
      <c r="K196" s="26"/>
      <c r="L196" s="113"/>
      <c r="M196" s="18"/>
      <c r="N196" s="356" t="s">
        <v>929</v>
      </c>
      <c r="O196" s="357"/>
      <c r="P196" s="16" t="s">
        <v>1024</v>
      </c>
      <c r="Q196" s="27"/>
      <c r="R196" s="28"/>
      <c r="S196" s="27"/>
    </row>
    <row r="197" spans="1:30" ht="15" customHeight="1" x14ac:dyDescent="0.2">
      <c r="A197" s="21"/>
      <c r="B197" s="22"/>
      <c r="C197" s="22"/>
      <c r="D197" s="22"/>
      <c r="E197" s="23"/>
      <c r="F197" s="23"/>
      <c r="G197" s="18"/>
      <c r="H197" s="18"/>
      <c r="I197" s="24" t="s">
        <v>17</v>
      </c>
      <c r="J197" s="16" t="s">
        <v>10</v>
      </c>
      <c r="K197" s="26"/>
      <c r="L197" s="113"/>
      <c r="M197" s="18"/>
      <c r="N197" s="356" t="s">
        <v>930</v>
      </c>
      <c r="O197" s="357"/>
      <c r="P197" s="16" t="s">
        <v>931</v>
      </c>
      <c r="Q197" s="27"/>
      <c r="R197" s="28"/>
      <c r="S197" s="27"/>
    </row>
    <row r="198" spans="1:30" ht="15" customHeight="1" x14ac:dyDescent="0.2">
      <c r="A198" s="21"/>
      <c r="B198" s="22"/>
      <c r="C198" s="22"/>
      <c r="D198" s="22"/>
      <c r="E198" s="23"/>
      <c r="F198" s="23"/>
      <c r="G198" s="18"/>
      <c r="H198" s="18"/>
      <c r="I198" s="24" t="s">
        <v>18</v>
      </c>
      <c r="J198" s="16" t="s">
        <v>10</v>
      </c>
      <c r="K198" s="26"/>
      <c r="L198" s="113"/>
      <c r="M198" s="18"/>
      <c r="N198" s="356" t="s">
        <v>932</v>
      </c>
      <c r="O198" s="357"/>
      <c r="P198" s="16" t="s">
        <v>933</v>
      </c>
      <c r="Q198" s="27"/>
      <c r="R198" s="28"/>
      <c r="S198" s="27"/>
    </row>
    <row r="199" spans="1:30" ht="15" customHeight="1" x14ac:dyDescent="0.2">
      <c r="A199" s="21"/>
      <c r="B199" s="22"/>
      <c r="C199" s="22"/>
      <c r="D199" s="22"/>
      <c r="E199" s="23"/>
      <c r="F199" s="23"/>
      <c r="G199" s="18"/>
      <c r="H199" s="18"/>
      <c r="I199" s="24" t="s">
        <v>19</v>
      </c>
      <c r="J199" s="16" t="s">
        <v>10</v>
      </c>
      <c r="K199" s="26"/>
      <c r="L199" s="25">
        <v>50</v>
      </c>
      <c r="M199" s="18"/>
      <c r="N199" s="356" t="s">
        <v>1101</v>
      </c>
      <c r="O199" s="357"/>
      <c r="P199" s="16" t="s">
        <v>935</v>
      </c>
      <c r="Q199" s="27"/>
      <c r="R199" s="28"/>
      <c r="S199" s="27"/>
    </row>
    <row r="200" spans="1:30" ht="15" customHeight="1" x14ac:dyDescent="0.2">
      <c r="A200" s="21"/>
      <c r="B200" s="22"/>
      <c r="C200" s="22"/>
      <c r="D200" s="22"/>
      <c r="E200" s="23"/>
      <c r="F200" s="23"/>
      <c r="G200" s="18"/>
      <c r="H200" s="18"/>
      <c r="I200" s="29" t="s">
        <v>20</v>
      </c>
      <c r="J200" s="16" t="s">
        <v>21</v>
      </c>
      <c r="K200" s="30"/>
      <c r="L200" s="31">
        <f>K190*K191/1000000</f>
        <v>8.64</v>
      </c>
      <c r="M200" s="18"/>
      <c r="N200" s="356" t="s">
        <v>936</v>
      </c>
      <c r="O200" s="357"/>
      <c r="P200" s="16" t="s">
        <v>937</v>
      </c>
      <c r="Q200" s="27"/>
      <c r="R200" s="28"/>
      <c r="S200" s="27"/>
    </row>
    <row r="201" spans="1:30" ht="15" customHeight="1" x14ac:dyDescent="0.2">
      <c r="A201" s="32"/>
      <c r="B201" s="33"/>
      <c r="C201" s="33"/>
      <c r="D201" s="33"/>
      <c r="E201" s="34"/>
      <c r="F201" s="34"/>
      <c r="G201" s="35"/>
      <c r="H201" s="35"/>
      <c r="I201" s="29" t="s">
        <v>22</v>
      </c>
      <c r="J201" s="16" t="s">
        <v>23</v>
      </c>
      <c r="K201" s="30"/>
      <c r="L201" s="36">
        <f>(K191+K190)*2/1000</f>
        <v>12</v>
      </c>
      <c r="M201" s="35"/>
      <c r="N201" s="356" t="s">
        <v>938</v>
      </c>
      <c r="O201" s="357"/>
      <c r="P201" s="16" t="s">
        <v>939</v>
      </c>
      <c r="Q201" s="37"/>
      <c r="R201" s="38"/>
      <c r="S201" s="27"/>
    </row>
    <row r="202" spans="1:30" ht="48.75" customHeight="1" x14ac:dyDescent="0.15">
      <c r="A202" s="39" t="s">
        <v>24</v>
      </c>
      <c r="B202" s="560" t="s">
        <v>25</v>
      </c>
      <c r="C202" s="561"/>
      <c r="D202" s="562"/>
      <c r="E202" s="40" t="s">
        <v>26</v>
      </c>
      <c r="F202" s="40" t="s">
        <v>27</v>
      </c>
      <c r="G202" s="40" t="s">
        <v>28</v>
      </c>
      <c r="H202" s="40" t="s">
        <v>914</v>
      </c>
      <c r="I202" s="40" t="s">
        <v>29</v>
      </c>
      <c r="J202" s="40" t="s">
        <v>30</v>
      </c>
      <c r="K202" s="41" t="s">
        <v>31</v>
      </c>
      <c r="L202" s="40" t="s">
        <v>32</v>
      </c>
      <c r="M202" s="40" t="s">
        <v>33</v>
      </c>
      <c r="N202" s="40" t="s">
        <v>34</v>
      </c>
      <c r="O202" s="42" t="s">
        <v>35</v>
      </c>
      <c r="P202" s="338" t="s">
        <v>875</v>
      </c>
      <c r="Q202" s="43" t="s">
        <v>36</v>
      </c>
      <c r="R202" s="43" t="s">
        <v>37</v>
      </c>
      <c r="S202" s="458"/>
      <c r="U202" s="282" t="s">
        <v>357</v>
      </c>
      <c r="V202" s="282"/>
      <c r="W202" s="262" t="s">
        <v>805</v>
      </c>
      <c r="X202" s="263"/>
      <c r="Y202" s="262" t="s">
        <v>806</v>
      </c>
      <c r="Z202" s="263"/>
      <c r="AA202" s="262" t="s">
        <v>816</v>
      </c>
      <c r="AB202" s="263"/>
      <c r="AC202" s="262" t="s">
        <v>817</v>
      </c>
      <c r="AD202" s="274"/>
    </row>
    <row r="203" spans="1:30" ht="13.5" customHeight="1" x14ac:dyDescent="0.15">
      <c r="A203" s="200">
        <v>1</v>
      </c>
      <c r="B203" s="531" t="s">
        <v>38</v>
      </c>
      <c r="C203" s="532"/>
      <c r="D203" s="533"/>
      <c r="E203" s="47" t="str">
        <f>VLOOKUP($G:$G,型材表!$B$5:$I$448,2,0)</f>
        <v>边框</v>
      </c>
      <c r="F203" s="45" t="s">
        <v>39</v>
      </c>
      <c r="G203" s="45" t="str">
        <f>IF(F188=70,"ST70MK001",IF(F188=80,"ST80MK001",IF(F188=105,"ST105AMK003",IF(F188=115,"ST115MK003",IF(F188=90,"ST90MK003")))))</f>
        <v>ST80MK001</v>
      </c>
      <c r="H203" s="45" t="s">
        <v>1106</v>
      </c>
      <c r="I203" s="46">
        <f>L190</f>
        <v>2300</v>
      </c>
      <c r="J203" s="45">
        <v>2</v>
      </c>
      <c r="K203" s="47">
        <f>VLOOKUP($G:$G,型材表!$B$5:$I$448,4,0)</f>
        <v>2.141</v>
      </c>
      <c r="L203" s="46">
        <f>I203*J203*K203/1000</f>
        <v>9.8486000000000011</v>
      </c>
      <c r="M203" s="72">
        <f>VLOOKUP($G:$G,型材表!$B$5:$I$448,7,0)</f>
        <v>0</v>
      </c>
      <c r="N203" s="46">
        <f>M203*L203</f>
        <v>0</v>
      </c>
      <c r="O203" s="100">
        <f>VLOOKUP($G:$G,型材表!$B$5:$I$448,5,0)</f>
        <v>0.125</v>
      </c>
      <c r="P203" s="100" t="str">
        <f>VLOOKUP($G:$G,型材表!$B$5:$I$448,6,0)</f>
        <v>断桥隔热铝型材</v>
      </c>
      <c r="Q203" s="49"/>
      <c r="R203" s="50"/>
      <c r="S203" s="459"/>
      <c r="W203" s="264"/>
      <c r="X203" s="265"/>
      <c r="Y203" s="264"/>
      <c r="Z203" s="265"/>
      <c r="AA203" s="264"/>
      <c r="AB203" s="265"/>
      <c r="AC203" s="264"/>
      <c r="AD203" s="265"/>
    </row>
    <row r="204" spans="1:30" x14ac:dyDescent="0.15">
      <c r="A204" s="200">
        <v>2</v>
      </c>
      <c r="B204" s="534"/>
      <c r="C204" s="535"/>
      <c r="D204" s="536"/>
      <c r="E204" s="47" t="str">
        <f>VLOOKUP($G:$G,型材表!$B$5:$I$448,2,0)</f>
        <v>边框</v>
      </c>
      <c r="F204" s="45" t="s">
        <v>807</v>
      </c>
      <c r="G204" s="45" t="str">
        <f>IF(F188=70,"ST70MK001",IF(F188=80,"ST80MK001",IF(F188=105,"ST105AMK001",IF(F188=115,"ST115MK001",IF(F188=90,"ST90MK001")))))</f>
        <v>ST80MK001</v>
      </c>
      <c r="H204" s="45" t="s">
        <v>1107</v>
      </c>
      <c r="I204" s="46">
        <f>IF(F188=70,L191-U204,IF(F188=80,L191-W204,IF(F188=105,L191-Y204,IF(F188=115,L191-AA204,IF(F188=90,L191-AC204)))))</f>
        <v>3500</v>
      </c>
      <c r="J204" s="45">
        <v>1</v>
      </c>
      <c r="K204" s="47">
        <f>VLOOKUP($G:$G,型材表!$B$5:$I$448,4,0)</f>
        <v>2.141</v>
      </c>
      <c r="L204" s="46">
        <f t="shared" ref="L204:L205" si="27">I204*J204*K204/1000</f>
        <v>7.4935</v>
      </c>
      <c r="M204" s="72">
        <f>VLOOKUP($G:$G,型材表!$B$5:$I$448,7,0)</f>
        <v>0</v>
      </c>
      <c r="N204" s="46">
        <f t="shared" ref="N204:N205" si="28">M204*L204</f>
        <v>0</v>
      </c>
      <c r="O204" s="100">
        <f>VLOOKUP($G:$G,型材表!$B$5:$I$448,5,0)</f>
        <v>0.125</v>
      </c>
      <c r="P204" s="100" t="str">
        <f>VLOOKUP($G:$G,型材表!$B$5:$I$448,6,0)</f>
        <v>断桥隔热铝型材</v>
      </c>
      <c r="Q204" s="49"/>
      <c r="R204" s="50"/>
      <c r="S204" s="459"/>
      <c r="T204" s="374" t="s">
        <v>1114</v>
      </c>
      <c r="W204" s="264"/>
      <c r="X204" s="265"/>
      <c r="Y204" s="264">
        <f>21*2</f>
        <v>42</v>
      </c>
      <c r="Z204" s="265"/>
      <c r="AA204" s="264">
        <f>21.8*2</f>
        <v>43.6</v>
      </c>
      <c r="AB204" s="265"/>
      <c r="AC204" s="264">
        <f>20.67*2</f>
        <v>41.34</v>
      </c>
      <c r="AD204" s="265"/>
    </row>
    <row r="205" spans="1:30" x14ac:dyDescent="0.15">
      <c r="A205" s="200">
        <v>3</v>
      </c>
      <c r="B205" s="534"/>
      <c r="C205" s="535"/>
      <c r="D205" s="536"/>
      <c r="E205" s="47" t="str">
        <f>VLOOKUP($G:$G,型材表!$B$5:$I$448,2,0)</f>
        <v>边框</v>
      </c>
      <c r="F205" s="207" t="s">
        <v>591</v>
      </c>
      <c r="G205" s="207" t="str">
        <f>IF(F188=70,"ST70MK001",IF(F188=80,"ST80MK001",IF(F188=105,"ST105AMK002",IF(F188=115,"ST115MK002",IF(F188=90,"ST90MK004")))))</f>
        <v>ST80MK001</v>
      </c>
      <c r="H205" s="45" t="s">
        <v>1107</v>
      </c>
      <c r="I205" s="208">
        <f>I204</f>
        <v>3500</v>
      </c>
      <c r="J205" s="207">
        <v>1</v>
      </c>
      <c r="K205" s="47">
        <f>VLOOKUP($G:$G,型材表!$B$5:$I$448,4,0)</f>
        <v>2.141</v>
      </c>
      <c r="L205" s="46">
        <f t="shared" si="27"/>
        <v>7.4935</v>
      </c>
      <c r="M205" s="72">
        <f>VLOOKUP($G:$G,型材表!$B$5:$I$448,7,0)</f>
        <v>0</v>
      </c>
      <c r="N205" s="46">
        <f t="shared" si="28"/>
        <v>0</v>
      </c>
      <c r="O205" s="100">
        <f>VLOOKUP($G:$G,型材表!$B$5:$I$448,5,0)</f>
        <v>0.125</v>
      </c>
      <c r="P205" s="100" t="str">
        <f>VLOOKUP($G:$G,型材表!$B$5:$I$448,6,0)</f>
        <v>断桥隔热铝型材</v>
      </c>
      <c r="Q205" s="210"/>
      <c r="R205" s="50"/>
      <c r="S205" s="459"/>
      <c r="W205" s="264"/>
      <c r="X205" s="265"/>
      <c r="Y205" s="264"/>
      <c r="Z205" s="265"/>
      <c r="AA205" s="264"/>
      <c r="AB205" s="265"/>
      <c r="AC205" s="264"/>
      <c r="AD205" s="265"/>
    </row>
    <row r="206" spans="1:30" s="229" customFormat="1" x14ac:dyDescent="0.15">
      <c r="A206" s="200">
        <v>4</v>
      </c>
      <c r="B206" s="537"/>
      <c r="C206" s="538"/>
      <c r="D206" s="539"/>
      <c r="E206" s="221"/>
      <c r="F206" s="222"/>
      <c r="G206" s="222"/>
      <c r="H206" s="233"/>
      <c r="I206" s="223"/>
      <c r="J206" s="222"/>
      <c r="K206" s="221"/>
      <c r="L206" s="224"/>
      <c r="M206" s="225"/>
      <c r="N206" s="224"/>
      <c r="O206" s="226"/>
      <c r="P206" s="100"/>
      <c r="Q206" s="227"/>
      <c r="R206" s="228"/>
      <c r="S206" s="467"/>
      <c r="T206" s="375"/>
      <c r="U206" s="266"/>
      <c r="V206" s="266"/>
      <c r="W206" s="267"/>
      <c r="X206" s="268"/>
      <c r="Y206" s="267"/>
      <c r="Z206" s="268"/>
      <c r="AA206" s="267"/>
      <c r="AB206" s="268"/>
      <c r="AC206" s="267"/>
      <c r="AD206" s="268"/>
    </row>
    <row r="207" spans="1:30" ht="13.5" customHeight="1" x14ac:dyDescent="0.15">
      <c r="A207" s="200">
        <v>5</v>
      </c>
      <c r="B207" s="531" t="s">
        <v>41</v>
      </c>
      <c r="C207" s="532"/>
      <c r="D207" s="533"/>
      <c r="E207" s="47" t="str">
        <f>VLOOKUP($G:$G,型材表!$B$5:$I$448,2,0)</f>
        <v>扇料</v>
      </c>
      <c r="F207" s="45" t="s">
        <v>812</v>
      </c>
      <c r="G207" s="45" t="str">
        <f>IF(F188=70,"ST70MS001",IF(F188=80,"ST80MS001",IF(F188=105,"ST105AMS003",IF(F188=115,"ST115MS002",IF(F188=90,"ST90MS004")))))</f>
        <v>ST80MS001</v>
      </c>
      <c r="H207" s="45" t="s">
        <v>1108</v>
      </c>
      <c r="I207" s="46">
        <f>IF(F188=70,L192-U207,IF(F188=80,L192-W207,IF(F188=105,L192-Y207,IF(F188=115,L192-AA207,IF(F188=90,L192-AC207)))))</f>
        <v>2216</v>
      </c>
      <c r="J207" s="45">
        <v>4</v>
      </c>
      <c r="K207" s="47">
        <f>VLOOKUP($G:$G,型材表!$B$5:$I$448,4,0)</f>
        <v>1.4890000000000001</v>
      </c>
      <c r="L207" s="46">
        <f t="shared" ref="L207:L211" si="29">I207*J207*K207/1000</f>
        <v>13.198496</v>
      </c>
      <c r="M207" s="72">
        <f>VLOOKUP($G:$G,型材表!$B$5:$I$448,7,0)</f>
        <v>0</v>
      </c>
      <c r="N207" s="46">
        <f t="shared" ref="N207:N211" si="30">M207*L207</f>
        <v>0</v>
      </c>
      <c r="O207" s="100">
        <f>VLOOKUP($G:$G,型材表!$B$5:$I$448,5,0)</f>
        <v>0.125</v>
      </c>
      <c r="P207" s="100" t="str">
        <f>VLOOKUP($G:$G,型材表!$B$5:$I$448,6,0)</f>
        <v>断桥隔热铝型材</v>
      </c>
      <c r="Q207" s="49"/>
      <c r="R207" s="50"/>
      <c r="S207" s="459"/>
      <c r="T207" s="374" t="s">
        <v>1115</v>
      </c>
      <c r="U207" s="259">
        <f>42.5*2</f>
        <v>85</v>
      </c>
      <c r="W207" s="264">
        <f>42*2</f>
        <v>84</v>
      </c>
      <c r="X207" s="265"/>
      <c r="Y207" s="264">
        <f>35+32.5</f>
        <v>67.5</v>
      </c>
      <c r="Z207" s="265"/>
      <c r="AA207" s="264">
        <f>42+37.3</f>
        <v>79.3</v>
      </c>
      <c r="AB207" s="265"/>
      <c r="AC207" s="264">
        <f>30+19</f>
        <v>49</v>
      </c>
      <c r="AD207" s="265"/>
    </row>
    <row r="208" spans="1:30" x14ac:dyDescent="0.15">
      <c r="A208" s="200">
        <v>6</v>
      </c>
      <c r="B208" s="534"/>
      <c r="C208" s="535"/>
      <c r="D208" s="536"/>
      <c r="E208" s="47" t="str">
        <f>VLOOKUP($G:$G,型材表!$B$5:$I$448,2,0)</f>
        <v>扇料</v>
      </c>
      <c r="F208" s="45" t="s">
        <v>813</v>
      </c>
      <c r="G208" s="207" t="str">
        <f>IF(F188=70,"ST70MS001",IF(F188=80,"ST80MS001",IF(F188=105,"ST105AMS003",IF(F188=115,"ST115MS002",IF(F188=90,"ST90MS005")))))</f>
        <v>ST80MS001</v>
      </c>
      <c r="H208" s="45" t="s">
        <v>1108</v>
      </c>
      <c r="I208" s="208">
        <f>IF(F188=70,L192-U208,IF(F188=80,L192-W208,IF(F188=105,L192-Y208,IF(F188=115,L192-AA208,IF(F188=90,L192-AC208)))))</f>
        <v>2216</v>
      </c>
      <c r="J208" s="207">
        <v>4</v>
      </c>
      <c r="K208" s="47">
        <f>VLOOKUP($G:$G,型材表!$B$5:$I$448,4,0)</f>
        <v>1.4890000000000001</v>
      </c>
      <c r="L208" s="46">
        <f t="shared" si="29"/>
        <v>13.198496</v>
      </c>
      <c r="M208" s="72">
        <f>VLOOKUP($G:$G,型材表!$B$5:$I$448,7,0)</f>
        <v>0</v>
      </c>
      <c r="N208" s="46">
        <f t="shared" si="30"/>
        <v>0</v>
      </c>
      <c r="O208" s="100">
        <f>VLOOKUP($G:$G,型材表!$B$5:$I$448,5,0)</f>
        <v>0.125</v>
      </c>
      <c r="P208" s="100" t="str">
        <f>VLOOKUP($G:$G,型材表!$B$5:$I$448,6,0)</f>
        <v>断桥隔热铝型材</v>
      </c>
      <c r="Q208" s="210"/>
      <c r="R208" s="50"/>
      <c r="S208" s="459"/>
      <c r="T208" s="374" t="s">
        <v>1115</v>
      </c>
      <c r="U208" s="259">
        <f>42.5*2</f>
        <v>85</v>
      </c>
      <c r="W208" s="264">
        <f>42*2</f>
        <v>84</v>
      </c>
      <c r="X208" s="265"/>
      <c r="Y208" s="264">
        <f>35+32.5</f>
        <v>67.5</v>
      </c>
      <c r="Z208" s="265"/>
      <c r="AA208" s="264">
        <f>42+37.3</f>
        <v>79.3</v>
      </c>
      <c r="AB208" s="265"/>
      <c r="AC208" s="264">
        <f>30+19</f>
        <v>49</v>
      </c>
      <c r="AD208" s="265"/>
    </row>
    <row r="209" spans="1:30" x14ac:dyDescent="0.15">
      <c r="A209" s="200">
        <v>7</v>
      </c>
      <c r="B209" s="534"/>
      <c r="C209" s="535"/>
      <c r="D209" s="536"/>
      <c r="E209" s="47" t="str">
        <f>VLOOKUP($G:$G,型材表!$B$5:$I$448,2,0)</f>
        <v>扇料</v>
      </c>
      <c r="F209" s="45" t="s">
        <v>808</v>
      </c>
      <c r="G209" s="45" t="str">
        <f>IF(F188=70,"ST70MS001",IF(F188=80,"ST80MS001",IF(F188=105,"ST105AMS001",IF(F188=115,"ST115MS001",IF(F188=90,"ST90MS001")))))</f>
        <v>ST80MS001</v>
      </c>
      <c r="H209" s="45" t="s">
        <v>1109</v>
      </c>
      <c r="I209" s="46">
        <f>IF(F188=70,L195-U209,IF(F188=80,L195-W209,IF(F188=105,L195-Y209,IF(F188=115,L195-AA209,IF(F188=90,L195-AC209)))))</f>
        <v>888.45</v>
      </c>
      <c r="J209" s="45">
        <v>4</v>
      </c>
      <c r="K209" s="47">
        <f>VLOOKUP($G:$G,型材表!$B$5:$I$448,4,0)</f>
        <v>1.4890000000000001</v>
      </c>
      <c r="L209" s="46">
        <f t="shared" si="29"/>
        <v>5.2916082000000007</v>
      </c>
      <c r="M209" s="72">
        <f>VLOOKUP($G:$G,型材表!$B$5:$I$448,7,0)</f>
        <v>0</v>
      </c>
      <c r="N209" s="46">
        <f t="shared" si="30"/>
        <v>0</v>
      </c>
      <c r="O209" s="100">
        <f>VLOOKUP($G:$G,型材表!$B$5:$I$448,5,0)</f>
        <v>0.125</v>
      </c>
      <c r="P209" s="100" t="str">
        <f>VLOOKUP($G:$G,型材表!$B$5:$I$448,6,0)</f>
        <v>断桥隔热铝型材</v>
      </c>
      <c r="Q209" s="49"/>
      <c r="R209" s="50"/>
      <c r="S209" s="459"/>
      <c r="T209" s="374" t="s">
        <v>1117</v>
      </c>
      <c r="U209" s="259">
        <f>(42.5*2+6.4-66*2+53*2*4)/4</f>
        <v>95.85</v>
      </c>
      <c r="W209" s="264">
        <f>(42*2+2-69.9*2)/4</f>
        <v>-13.450000000000003</v>
      </c>
      <c r="X209" s="265"/>
      <c r="Y209" s="264">
        <f>(21*2+1.4-74.7*2+58.4*2*4)/4</f>
        <v>90.3</v>
      </c>
      <c r="Z209" s="265"/>
      <c r="AA209" s="264">
        <f>(25.6*2+1.5-72.1*2+55*2*4)/4</f>
        <v>87.125</v>
      </c>
      <c r="AB209" s="265"/>
      <c r="AC209" s="264">
        <f>(20.67*2+6.08-50*2+47.09*2*4)/2</f>
        <v>162.07000000000002</v>
      </c>
      <c r="AD209" s="265"/>
    </row>
    <row r="210" spans="1:30" x14ac:dyDescent="0.15">
      <c r="A210" s="200">
        <v>8</v>
      </c>
      <c r="B210" s="534"/>
      <c r="C210" s="535"/>
      <c r="D210" s="536"/>
      <c r="E210" s="47" t="str">
        <f>VLOOKUP($G:$G,型材表!$B$5:$I$448,2,0)</f>
        <v>扇料</v>
      </c>
      <c r="F210" s="45" t="s">
        <v>819</v>
      </c>
      <c r="G210" s="45" t="str">
        <f>IF(F188=70,"ST70MS001",IF(F188=80,"ST80MS001",IF(F188=105,"ST105AMS002",IF(F188=115,"ST115MS001",IF(F188=90,"ST90MS002")))))</f>
        <v>ST80MS001</v>
      </c>
      <c r="H210" s="45" t="s">
        <v>1109</v>
      </c>
      <c r="I210" s="46">
        <f>I209</f>
        <v>888.45</v>
      </c>
      <c r="J210" s="45">
        <v>2</v>
      </c>
      <c r="K210" s="47">
        <f>VLOOKUP($G:$G,型材表!$B$5:$I$448,4,0)</f>
        <v>1.4890000000000001</v>
      </c>
      <c r="L210" s="46">
        <f t="shared" si="29"/>
        <v>2.6458041000000003</v>
      </c>
      <c r="M210" s="72">
        <f>VLOOKUP($G:$G,型材表!$B$5:$I$448,7,0)</f>
        <v>0</v>
      </c>
      <c r="N210" s="46">
        <f t="shared" si="30"/>
        <v>0</v>
      </c>
      <c r="O210" s="100">
        <f>VLOOKUP($G:$G,型材表!$B$5:$I$448,5,0)</f>
        <v>0.125</v>
      </c>
      <c r="P210" s="100" t="str">
        <f>VLOOKUP($G:$G,型材表!$B$5:$I$448,6,0)</f>
        <v>断桥隔热铝型材</v>
      </c>
      <c r="Q210" s="49"/>
      <c r="R210" s="50"/>
      <c r="S210" s="459"/>
      <c r="W210" s="264"/>
      <c r="X210" s="265"/>
      <c r="Y210" s="264"/>
      <c r="Z210" s="265"/>
      <c r="AA210" s="264"/>
      <c r="AB210" s="265"/>
      <c r="AC210" s="264"/>
      <c r="AD210" s="265"/>
    </row>
    <row r="211" spans="1:30" x14ac:dyDescent="0.15">
      <c r="A211" s="200">
        <v>9</v>
      </c>
      <c r="B211" s="534"/>
      <c r="C211" s="535"/>
      <c r="D211" s="536"/>
      <c r="E211" s="47" t="str">
        <f>VLOOKUP($G:$G,型材表!$B$5:$I$448,2,0)</f>
        <v>扇料</v>
      </c>
      <c r="F211" s="45" t="s">
        <v>820</v>
      </c>
      <c r="G211" s="207" t="str">
        <f>IF(F188=70,"ST70MS001",IF(F188=80,"ST80MS001",IF(F188=105,"ST105AMS002",IF(F188=115,"ST115MS001",IF(F188=90,"ST90MS002")))))</f>
        <v>ST80MS001</v>
      </c>
      <c r="H211" s="45" t="s">
        <v>1109</v>
      </c>
      <c r="I211" s="208">
        <f>I210</f>
        <v>888.45</v>
      </c>
      <c r="J211" s="207">
        <v>2</v>
      </c>
      <c r="K211" s="47">
        <f>VLOOKUP($G:$G,型材表!$B$5:$I$448,4,0)</f>
        <v>1.4890000000000001</v>
      </c>
      <c r="L211" s="46">
        <f t="shared" si="29"/>
        <v>2.6458041000000003</v>
      </c>
      <c r="M211" s="72">
        <f>VLOOKUP($G:$G,型材表!$B$5:$I$448,7,0)</f>
        <v>0</v>
      </c>
      <c r="N211" s="46">
        <f t="shared" si="30"/>
        <v>0</v>
      </c>
      <c r="O211" s="100">
        <f>VLOOKUP($G:$G,型材表!$B$5:$I$448,5,0)</f>
        <v>0.125</v>
      </c>
      <c r="P211" s="100" t="str">
        <f>VLOOKUP($G:$G,型材表!$B$5:$I$448,6,0)</f>
        <v>断桥隔热铝型材</v>
      </c>
      <c r="Q211" s="210"/>
      <c r="R211" s="50"/>
      <c r="S211" s="459"/>
      <c r="W211" s="264"/>
      <c r="X211" s="265"/>
      <c r="Y211" s="264"/>
      <c r="Z211" s="265"/>
      <c r="AA211" s="264"/>
      <c r="AB211" s="265"/>
      <c r="AC211" s="264"/>
      <c r="AD211" s="265"/>
    </row>
    <row r="212" spans="1:30" x14ac:dyDescent="0.15">
      <c r="A212" s="200">
        <v>10</v>
      </c>
      <c r="B212" s="537"/>
      <c r="C212" s="538"/>
      <c r="D212" s="539"/>
      <c r="E212" s="47" t="str">
        <f>VLOOKUP($G:$G,型材表!$B$5:$I$448,2,0)</f>
        <v>收口</v>
      </c>
      <c r="F212" s="45"/>
      <c r="G212" s="45" t="str">
        <f>IF(F188=70,"ST70F005",IF(F188=80,"ST80MF001",IF(F188=105,"ST105AMF001",IF(F188=115,"ST115MF001",IF(F188=90,"ST90MF002")))))</f>
        <v>ST80MF001</v>
      </c>
      <c r="H212" s="45" t="s">
        <v>1112</v>
      </c>
      <c r="I212" s="46">
        <f>IF(F188=70,L192-U212,IF(F188=80,L192-W212,IF(F188=105,L192-Y212,IF(F188=115,L192-AA212,IF(F188=90,L192-AC212)))))</f>
        <v>2257</v>
      </c>
      <c r="J212" s="45">
        <v>1</v>
      </c>
      <c r="K212" s="47">
        <f>VLOOKUP($G:$G,型材表!$B$5:$I$448,4,0)</f>
        <v>0.69299999999999995</v>
      </c>
      <c r="L212" s="46">
        <f t="shared" ref="L212" si="31">I212*J212*K212/1000</f>
        <v>1.564101</v>
      </c>
      <c r="M212" s="72">
        <f>VLOOKUP($G:$G,型材表!$B$5:$I$448,7,0)</f>
        <v>0</v>
      </c>
      <c r="N212" s="46">
        <f t="shared" ref="N212" si="32">M212*L212</f>
        <v>0</v>
      </c>
      <c r="O212" s="100">
        <f>VLOOKUP($G:$G,型材表!$B$5:$I$448,5,0)</f>
        <v>0.125</v>
      </c>
      <c r="P212" s="100" t="str">
        <f>VLOOKUP($G:$G,型材表!$B$5:$I$448,6,0)</f>
        <v>断桥隔热铝型材</v>
      </c>
      <c r="Q212" s="49"/>
      <c r="R212" s="50"/>
      <c r="S212" s="459"/>
      <c r="T212" s="374" t="s">
        <v>1118</v>
      </c>
      <c r="U212" s="259">
        <f>23.4*2</f>
        <v>46.8</v>
      </c>
      <c r="W212" s="264">
        <f>21.5*2</f>
        <v>43</v>
      </c>
      <c r="X212" s="265"/>
      <c r="Y212" s="264">
        <f>21*2</f>
        <v>42</v>
      </c>
      <c r="Z212" s="265"/>
      <c r="AA212" s="264">
        <f>21.8*2</f>
        <v>43.6</v>
      </c>
      <c r="AB212" s="265"/>
      <c r="AC212" s="264">
        <f>20.67*2</f>
        <v>41.34</v>
      </c>
      <c r="AD212" s="265"/>
    </row>
    <row r="213" spans="1:30" ht="13.5" customHeight="1" x14ac:dyDescent="0.15">
      <c r="A213" s="200">
        <v>11</v>
      </c>
      <c r="B213" s="531" t="s">
        <v>44</v>
      </c>
      <c r="C213" s="532"/>
      <c r="D213" s="533"/>
      <c r="E213" s="47" t="str">
        <f>VLOOKUP($G:$G,型材表!$B$5:$I$448,2,0)</f>
        <v>勾企盖板</v>
      </c>
      <c r="F213" s="51"/>
      <c r="G213" s="45" t="str">
        <f>IF(F188=70,"ST70F001",IF(F188=80,"ST80F001",IF(F188=105,"ST105AMF002",IF(F188=115,"ST115MF002",0))))</f>
        <v>ST80F001</v>
      </c>
      <c r="H213" s="45" t="s">
        <v>1108</v>
      </c>
      <c r="I213" s="52">
        <f>I208</f>
        <v>2216</v>
      </c>
      <c r="J213" s="45">
        <f>J208</f>
        <v>4</v>
      </c>
      <c r="K213" s="47">
        <f>VLOOKUP($G:$G,型材表!$B$5:$I$448,4,0)</f>
        <v>0.34</v>
      </c>
      <c r="L213" s="46">
        <f t="shared" ref="L213" si="33">I213*J213*K213/1000</f>
        <v>3.0137600000000004</v>
      </c>
      <c r="M213" s="72">
        <f>VLOOKUP($G:$G,型材表!$B$5:$I$448,7,0)</f>
        <v>0</v>
      </c>
      <c r="N213" s="46">
        <f t="shared" ref="N213" si="34">M213*L213</f>
        <v>0</v>
      </c>
      <c r="O213" s="100">
        <f>VLOOKUP($G:$G,型材表!$B$5:$I$448,5,0)</f>
        <v>0.125</v>
      </c>
      <c r="P213" s="100" t="str">
        <f>VLOOKUP($G:$G,型材表!$B$5:$I$448,6,0)</f>
        <v>非断桥隔热铝型材</v>
      </c>
      <c r="Q213" s="49"/>
      <c r="R213" s="50"/>
      <c r="S213" s="459"/>
      <c r="W213" s="264"/>
      <c r="X213" s="265"/>
      <c r="Y213" s="264"/>
      <c r="Z213" s="265"/>
      <c r="AA213" s="264"/>
      <c r="AB213" s="265"/>
      <c r="AC213" s="264"/>
      <c r="AD213" s="265"/>
    </row>
    <row r="214" spans="1:30" s="229" customFormat="1" x14ac:dyDescent="0.15">
      <c r="A214" s="200">
        <v>12</v>
      </c>
      <c r="B214" s="534"/>
      <c r="C214" s="535"/>
      <c r="D214" s="536"/>
      <c r="E214" s="221"/>
      <c r="F214" s="230"/>
      <c r="G214" s="222"/>
      <c r="H214" s="233"/>
      <c r="I214" s="231"/>
      <c r="J214" s="222"/>
      <c r="K214" s="221"/>
      <c r="L214" s="224"/>
      <c r="M214" s="225"/>
      <c r="N214" s="224"/>
      <c r="O214" s="226"/>
      <c r="P214" s="100"/>
      <c r="Q214" s="227"/>
      <c r="R214" s="228"/>
      <c r="S214" s="467"/>
      <c r="T214" s="375"/>
      <c r="U214" s="266"/>
      <c r="V214" s="266"/>
      <c r="W214" s="267"/>
      <c r="X214" s="268"/>
      <c r="Y214" s="267"/>
      <c r="Z214" s="268"/>
      <c r="AA214" s="267"/>
      <c r="AB214" s="268"/>
      <c r="AC214" s="267"/>
      <c r="AD214" s="268"/>
    </row>
    <row r="215" spans="1:30" x14ac:dyDescent="0.15">
      <c r="A215" s="200">
        <v>13</v>
      </c>
      <c r="B215" s="534"/>
      <c r="C215" s="535"/>
      <c r="D215" s="536"/>
      <c r="E215" s="47" t="str">
        <f>VLOOKUP($G:$G,型材表!$B$5:$I$448,2,0)</f>
        <v>挡水板</v>
      </c>
      <c r="F215" s="213"/>
      <c r="G215" s="207" t="str">
        <f>IF(F188=70,"ST70F002",IF(F188=80,"ST80F002",0))</f>
        <v>ST80F002</v>
      </c>
      <c r="H215" s="45" t="s">
        <v>1107</v>
      </c>
      <c r="I215" s="214">
        <f>IF(F188=105,0,I204)</f>
        <v>3500</v>
      </c>
      <c r="J215" s="207">
        <f>J204</f>
        <v>1</v>
      </c>
      <c r="K215" s="47">
        <f>VLOOKUP($G:$G,型材表!$B$5:$I$448,4,0)</f>
        <v>0.30199999999999999</v>
      </c>
      <c r="L215" s="46">
        <f t="shared" ref="L215" si="35">I215*J215*K215/1000</f>
        <v>1.0569999999999999</v>
      </c>
      <c r="M215" s="72">
        <f>VLOOKUP($G:$G,型材表!$B$5:$I$448,7,0)</f>
        <v>0</v>
      </c>
      <c r="N215" s="46">
        <f t="shared" ref="N215" si="36">M215*L215</f>
        <v>0</v>
      </c>
      <c r="O215" s="100">
        <f>VLOOKUP($G:$G,型材表!$B$5:$I$448,5,0)</f>
        <v>0.125</v>
      </c>
      <c r="P215" s="100" t="str">
        <f>VLOOKUP($G:$G,型材表!$B$5:$I$448,6,0)</f>
        <v>非断桥隔热铝型材</v>
      </c>
      <c r="Q215" s="210"/>
      <c r="R215" s="50"/>
      <c r="S215" s="459"/>
      <c r="W215" s="264"/>
      <c r="X215" s="265"/>
      <c r="Y215" s="264"/>
      <c r="Z215" s="265"/>
      <c r="AA215" s="264"/>
      <c r="AB215" s="265"/>
      <c r="AC215" s="264"/>
      <c r="AD215" s="265"/>
    </row>
    <row r="216" spans="1:30" s="229" customFormat="1" x14ac:dyDescent="0.15">
      <c r="A216" s="200">
        <v>14</v>
      </c>
      <c r="B216" s="534"/>
      <c r="C216" s="535"/>
      <c r="D216" s="536"/>
      <c r="E216" s="221"/>
      <c r="F216" s="230"/>
      <c r="G216" s="222"/>
      <c r="H216" s="233"/>
      <c r="I216" s="231"/>
      <c r="J216" s="222"/>
      <c r="K216" s="221"/>
      <c r="L216" s="224"/>
      <c r="M216" s="225"/>
      <c r="N216" s="224"/>
      <c r="O216" s="226"/>
      <c r="P216" s="100"/>
      <c r="Q216" s="227"/>
      <c r="R216" s="228"/>
      <c r="S216" s="467"/>
      <c r="T216" s="375"/>
      <c r="U216" s="266"/>
      <c r="V216" s="266"/>
      <c r="W216" s="267"/>
      <c r="X216" s="268"/>
      <c r="Y216" s="267"/>
      <c r="Z216" s="268"/>
      <c r="AA216" s="267"/>
      <c r="AB216" s="268"/>
      <c r="AC216" s="267"/>
      <c r="AD216" s="268"/>
    </row>
    <row r="217" spans="1:30" x14ac:dyDescent="0.15">
      <c r="A217" s="200">
        <v>15</v>
      </c>
      <c r="B217" s="534"/>
      <c r="C217" s="535"/>
      <c r="D217" s="536"/>
      <c r="E217" s="47" t="str">
        <f>VLOOKUP($G:$G,型材表!$B$5:$I$448,2,0)</f>
        <v>角码</v>
      </c>
      <c r="F217" s="51" t="s">
        <v>446</v>
      </c>
      <c r="G217" s="45" t="str">
        <f>IF(F188=70,"SW50F002",IF(F188=80,"ST80MF002",0))</f>
        <v>ST80MF002</v>
      </c>
      <c r="H217" s="45" t="s">
        <v>1110</v>
      </c>
      <c r="I217" s="52">
        <f>IF(F188=70,U217,IF(F188=80,W217,0))</f>
        <v>39.799999999999997</v>
      </c>
      <c r="J217" s="45">
        <v>4</v>
      </c>
      <c r="K217" s="47">
        <f>VLOOKUP($G:$G,型材表!$B$5:$I$448,4,0)</f>
        <v>3.2589999999999999</v>
      </c>
      <c r="L217" s="46">
        <f t="shared" ref="L217:L218" si="37">I217*J217*K217/1000</f>
        <v>0.51883279999999987</v>
      </c>
      <c r="M217" s="72">
        <f>VLOOKUP($G:$G,型材表!$B$5:$I$448,7,0)</f>
        <v>0</v>
      </c>
      <c r="N217" s="46">
        <f t="shared" ref="N217:N218" si="38">M217*L217</f>
        <v>0</v>
      </c>
      <c r="O217" s="100">
        <f>VLOOKUP($G:$G,型材表!$B$5:$I$448,5,0)</f>
        <v>0.125</v>
      </c>
      <c r="P217" s="100" t="str">
        <f>VLOOKUP($G:$G,型材表!$B$5:$I$448,6,0)</f>
        <v>阳极氧化铝型材</v>
      </c>
      <c r="Q217" s="49"/>
      <c r="R217" s="50"/>
      <c r="S217" s="459"/>
      <c r="T217" s="374" t="s">
        <v>1110</v>
      </c>
      <c r="U217" s="259">
        <f>20.8-1+32.8-1</f>
        <v>51.599999999999994</v>
      </c>
      <c r="W217" s="264">
        <f>25.2-1+16.6-1</f>
        <v>39.799999999999997</v>
      </c>
      <c r="X217" s="265"/>
      <c r="Y217" s="264"/>
      <c r="Z217" s="265"/>
      <c r="AA217" s="264"/>
      <c r="AB217" s="265"/>
      <c r="AC217" s="264"/>
      <c r="AD217" s="265"/>
    </row>
    <row r="218" spans="1:30" x14ac:dyDescent="0.15">
      <c r="A218" s="200">
        <v>16</v>
      </c>
      <c r="B218" s="534"/>
      <c r="C218" s="535"/>
      <c r="D218" s="536"/>
      <c r="E218" s="47" t="str">
        <f>VLOOKUP($G:$G,型材表!$B$5:$I$448,2,0)</f>
        <v>角码</v>
      </c>
      <c r="F218" s="213" t="s">
        <v>447</v>
      </c>
      <c r="G218" s="207" t="str">
        <f>IF(F188=80,"ST80MF002",0)</f>
        <v>ST80MF002</v>
      </c>
      <c r="H218" s="45" t="s">
        <v>995</v>
      </c>
      <c r="I218" s="214">
        <f>IF(F188=80,W218,0)</f>
        <v>13.4</v>
      </c>
      <c r="J218" s="207">
        <f>4*4</f>
        <v>16</v>
      </c>
      <c r="K218" s="47">
        <f>VLOOKUP($G:$G,型材表!$B$5:$I$448,4,0)</f>
        <v>3.2589999999999999</v>
      </c>
      <c r="L218" s="46">
        <f t="shared" si="37"/>
        <v>0.69872959999999995</v>
      </c>
      <c r="M218" s="72">
        <f>VLOOKUP($G:$G,型材表!$B$5:$I$448,7,0)</f>
        <v>0</v>
      </c>
      <c r="N218" s="46">
        <f t="shared" si="38"/>
        <v>0</v>
      </c>
      <c r="O218" s="100">
        <f>VLOOKUP($G:$G,型材表!$B$5:$I$448,5,0)</f>
        <v>0.125</v>
      </c>
      <c r="P218" s="100" t="str">
        <f>VLOOKUP($G:$G,型材表!$B$5:$I$448,6,0)</f>
        <v>阳极氧化铝型材</v>
      </c>
      <c r="Q218" s="210"/>
      <c r="R218" s="50"/>
      <c r="S218" s="459"/>
      <c r="T218" s="374" t="s">
        <v>1119</v>
      </c>
      <c r="W218" s="264">
        <f>7.7-1+7.7-1</f>
        <v>13.4</v>
      </c>
      <c r="X218" s="265"/>
      <c r="Y218" s="264"/>
      <c r="Z218" s="265"/>
      <c r="AA218" s="264"/>
      <c r="AB218" s="265"/>
      <c r="AC218" s="264"/>
      <c r="AD218" s="265"/>
    </row>
    <row r="219" spans="1:30" s="229" customFormat="1" x14ac:dyDescent="0.15">
      <c r="A219" s="200">
        <v>17</v>
      </c>
      <c r="B219" s="537"/>
      <c r="C219" s="538"/>
      <c r="D219" s="539"/>
      <c r="E219" s="221"/>
      <c r="F219" s="232"/>
      <c r="G219" s="233"/>
      <c r="H219" s="233"/>
      <c r="I219" s="234"/>
      <c r="J219" s="233"/>
      <c r="K219" s="221"/>
      <c r="L219" s="224"/>
      <c r="M219" s="225"/>
      <c r="N219" s="224"/>
      <c r="O219" s="226"/>
      <c r="P219" s="226"/>
      <c r="Q219" s="235"/>
      <c r="R219" s="228"/>
      <c r="S219" s="467"/>
      <c r="T219" s="375"/>
      <c r="U219" s="266"/>
      <c r="V219" s="266"/>
      <c r="W219" s="267"/>
      <c r="X219" s="268"/>
      <c r="Y219" s="267"/>
      <c r="Z219" s="268"/>
      <c r="AA219" s="267"/>
      <c r="AB219" s="268"/>
      <c r="AC219" s="267"/>
      <c r="AD219" s="268"/>
    </row>
    <row r="220" spans="1:30" s="229" customFormat="1" x14ac:dyDescent="0.15">
      <c r="A220" s="567" t="s">
        <v>919</v>
      </c>
      <c r="B220" s="568"/>
      <c r="C220" s="568"/>
      <c r="D220" s="568"/>
      <c r="E220" s="568"/>
      <c r="F220" s="568"/>
      <c r="G220" s="568"/>
      <c r="H220" s="568"/>
      <c r="I220" s="568"/>
      <c r="J220" s="568"/>
      <c r="K220" s="569"/>
      <c r="L220" s="224">
        <f>SUMIF($P$203:$P$219,A220,$L$203:$L$219)</f>
        <v>63.379909400000003</v>
      </c>
      <c r="M220" s="353"/>
      <c r="N220" s="224"/>
      <c r="O220" s="354"/>
      <c r="P220" s="355"/>
      <c r="Q220" s="296"/>
      <c r="R220" s="228"/>
      <c r="S220" s="467"/>
      <c r="T220" s="375"/>
      <c r="U220" s="266"/>
      <c r="V220" s="266"/>
      <c r="W220" s="267"/>
      <c r="X220" s="268"/>
      <c r="Y220" s="267"/>
      <c r="Z220" s="268"/>
      <c r="AA220" s="267"/>
      <c r="AB220" s="268"/>
      <c r="AC220" s="267"/>
      <c r="AD220" s="268"/>
    </row>
    <row r="221" spans="1:30" s="229" customFormat="1" x14ac:dyDescent="0.15">
      <c r="A221" s="567" t="s">
        <v>920</v>
      </c>
      <c r="B221" s="568"/>
      <c r="C221" s="568"/>
      <c r="D221" s="568"/>
      <c r="E221" s="568"/>
      <c r="F221" s="568"/>
      <c r="G221" s="568"/>
      <c r="H221" s="568"/>
      <c r="I221" s="568"/>
      <c r="J221" s="568"/>
      <c r="K221" s="569"/>
      <c r="L221" s="224">
        <f t="shared" ref="L221:L222" si="39">SUMIF($P$203:$P$219,A221,$L$203:$L$219)</f>
        <v>4.0707599999999999</v>
      </c>
      <c r="M221" s="353"/>
      <c r="N221" s="224"/>
      <c r="O221" s="354"/>
      <c r="P221" s="355"/>
      <c r="Q221" s="296"/>
      <c r="R221" s="228"/>
      <c r="S221" s="467"/>
      <c r="T221" s="375"/>
      <c r="U221" s="266"/>
      <c r="V221" s="266"/>
      <c r="W221" s="267"/>
      <c r="X221" s="268"/>
      <c r="Y221" s="267"/>
      <c r="Z221" s="268"/>
      <c r="AA221" s="267"/>
      <c r="AB221" s="268"/>
      <c r="AC221" s="267"/>
      <c r="AD221" s="268"/>
    </row>
    <row r="222" spans="1:30" s="229" customFormat="1" x14ac:dyDescent="0.15">
      <c r="A222" s="567" t="s">
        <v>921</v>
      </c>
      <c r="B222" s="568"/>
      <c r="C222" s="568"/>
      <c r="D222" s="568"/>
      <c r="E222" s="568"/>
      <c r="F222" s="568"/>
      <c r="G222" s="568"/>
      <c r="H222" s="568"/>
      <c r="I222" s="568"/>
      <c r="J222" s="568"/>
      <c r="K222" s="569"/>
      <c r="L222" s="224">
        <f t="shared" si="39"/>
        <v>1.2175623999999998</v>
      </c>
      <c r="M222" s="353"/>
      <c r="N222" s="224"/>
      <c r="O222" s="354"/>
      <c r="P222" s="355"/>
      <c r="Q222" s="296"/>
      <c r="R222" s="228"/>
      <c r="S222" s="467"/>
      <c r="T222" s="375"/>
      <c r="U222" s="266"/>
      <c r="V222" s="266"/>
      <c r="W222" s="267"/>
      <c r="X222" s="268"/>
      <c r="Y222" s="267"/>
      <c r="Z222" s="268"/>
      <c r="AA222" s="267"/>
      <c r="AB222" s="268"/>
      <c r="AC222" s="267"/>
      <c r="AD222" s="268"/>
    </row>
    <row r="223" spans="1:30" x14ac:dyDescent="0.15">
      <c r="A223" s="61"/>
      <c r="B223" s="571"/>
      <c r="C223" s="572"/>
      <c r="D223" s="573"/>
      <c r="E223" s="552" t="s">
        <v>48</v>
      </c>
      <c r="F223" s="557"/>
      <c r="G223" s="557"/>
      <c r="H223" s="557"/>
      <c r="I223" s="557"/>
      <c r="J223" s="557"/>
      <c r="K223" s="553"/>
      <c r="L223" s="62">
        <f>SUM(L220:L222)</f>
        <v>68.668231800000015</v>
      </c>
      <c r="M223" s="63"/>
      <c r="N223" s="62">
        <f>SUM(N203:N219)</f>
        <v>0</v>
      </c>
      <c r="O223" s="63"/>
      <c r="P223" s="337"/>
      <c r="Q223" s="64"/>
      <c r="R223" s="64"/>
      <c r="S223" s="460"/>
      <c r="W223" s="264"/>
      <c r="X223" s="265"/>
      <c r="Y223" s="264"/>
      <c r="Z223" s="265"/>
      <c r="AA223" s="264"/>
      <c r="AB223" s="265"/>
      <c r="AC223" s="264"/>
      <c r="AD223" s="265"/>
    </row>
    <row r="224" spans="1:30" ht="24" x14ac:dyDescent="0.15">
      <c r="A224" s="65"/>
      <c r="B224" s="560" t="s">
        <v>49</v>
      </c>
      <c r="C224" s="561"/>
      <c r="D224" s="562"/>
      <c r="E224" s="565" t="s">
        <v>26</v>
      </c>
      <c r="F224" s="566"/>
      <c r="G224" s="66" t="s">
        <v>1093</v>
      </c>
      <c r="H224" s="66" t="s">
        <v>1094</v>
      </c>
      <c r="I224" s="66" t="s">
        <v>50</v>
      </c>
      <c r="J224" s="66" t="s">
        <v>51</v>
      </c>
      <c r="K224" s="67" t="s">
        <v>30</v>
      </c>
      <c r="L224" s="66" t="s">
        <v>52</v>
      </c>
      <c r="M224" s="68" t="s">
        <v>53</v>
      </c>
      <c r="N224" s="68" t="s">
        <v>34</v>
      </c>
      <c r="O224" s="69" t="s">
        <v>35</v>
      </c>
      <c r="P224" s="42"/>
      <c r="Q224" s="67"/>
      <c r="R224" s="67"/>
      <c r="S224" s="461"/>
      <c r="U224" s="270" t="s">
        <v>352</v>
      </c>
      <c r="V224" s="270" t="s">
        <v>353</v>
      </c>
      <c r="W224" s="271" t="s">
        <v>352</v>
      </c>
      <c r="X224" s="272" t="s">
        <v>353</v>
      </c>
      <c r="Y224" s="271" t="s">
        <v>352</v>
      </c>
      <c r="Z224" s="272" t="s">
        <v>353</v>
      </c>
      <c r="AA224" s="271" t="s">
        <v>352</v>
      </c>
      <c r="AB224" s="272" t="s">
        <v>353</v>
      </c>
      <c r="AC224" s="271" t="s">
        <v>352</v>
      </c>
      <c r="AD224" s="272" t="s">
        <v>353</v>
      </c>
    </row>
    <row r="225" spans="1:30" x14ac:dyDescent="0.15">
      <c r="A225" s="200">
        <v>1</v>
      </c>
      <c r="B225" s="545" t="s">
        <v>54</v>
      </c>
      <c r="C225" s="546"/>
      <c r="D225" s="547"/>
      <c r="E225" s="545" t="s">
        <v>55</v>
      </c>
      <c r="F225" s="547"/>
      <c r="G225" s="45" t="s">
        <v>1113</v>
      </c>
      <c r="H225" s="45" t="s">
        <v>1103</v>
      </c>
      <c r="I225" s="46">
        <f>IF(F188=70,L195-U225,IF(F188=80,L195-W225,IF(F188=105,L195-Y225,IF(F188=115,L195-AA225,IF(F188=90,L195-AC225)))))</f>
        <v>769.85</v>
      </c>
      <c r="J225" s="70">
        <f>IF(F188=70,L192-V225,IF(F188=80,L192-X225,IF(F188=105,L192-Z225,IF(F188=115,L192-AB225,IF(F188=90,L192-AD225)))))</f>
        <v>2097.4</v>
      </c>
      <c r="K225" s="70">
        <v>4</v>
      </c>
      <c r="L225" s="46">
        <f>I225*J225*K225/1000000</f>
        <v>6.4587335600000007</v>
      </c>
      <c r="M225" s="46"/>
      <c r="N225" s="46">
        <f>M225*L225</f>
        <v>0</v>
      </c>
      <c r="O225" s="71"/>
      <c r="P225" s="71"/>
      <c r="Q225" s="72"/>
      <c r="R225" s="72"/>
      <c r="S225" s="462" t="s">
        <v>1612</v>
      </c>
      <c r="T225" s="374" t="s">
        <v>1613</v>
      </c>
      <c r="U225" s="259">
        <f>(99.57*2+120.55+48.13*2)/4</f>
        <v>103.9875</v>
      </c>
      <c r="V225" s="259">
        <f>99.57*2</f>
        <v>199.14</v>
      </c>
      <c r="W225" s="264">
        <f>(101.3*2+120.6+48.7*2)/4</f>
        <v>105.15</v>
      </c>
      <c r="X225" s="265">
        <f>101.3*2</f>
        <v>202.6</v>
      </c>
      <c r="Y225" s="264">
        <f>(84.4*2+128.2+52.1*2)/4</f>
        <v>100.3</v>
      </c>
      <c r="Z225" s="265">
        <f>84.17+96</f>
        <v>180.17000000000002</v>
      </c>
      <c r="AA225" s="264">
        <f>(85.6*2+121.51+47.9*2)/4</f>
        <v>97.127499999999998</v>
      </c>
      <c r="AB225" s="265">
        <f>97.96+93.3</f>
        <v>191.26</v>
      </c>
      <c r="AC225" s="264">
        <f>(72.67*2+110+20*2)/4</f>
        <v>73.835000000000008</v>
      </c>
      <c r="AD225" s="265">
        <f>70+69</f>
        <v>139</v>
      </c>
    </row>
    <row r="226" spans="1:30" x14ac:dyDescent="0.15">
      <c r="A226" s="200"/>
      <c r="B226" s="545"/>
      <c r="C226" s="546"/>
      <c r="D226" s="547"/>
      <c r="E226" s="545"/>
      <c r="F226" s="547"/>
      <c r="G226" s="45"/>
      <c r="H226" s="45"/>
      <c r="I226" s="45"/>
      <c r="J226" s="45"/>
      <c r="K226" s="70"/>
      <c r="L226" s="46"/>
      <c r="M226" s="46"/>
      <c r="N226" s="46"/>
      <c r="O226" s="71"/>
      <c r="P226" s="71"/>
      <c r="Q226" s="72"/>
      <c r="R226" s="72"/>
      <c r="S226" s="462"/>
      <c r="W226" s="264"/>
      <c r="X226" s="265"/>
      <c r="Y226" s="264"/>
      <c r="Z226" s="265"/>
      <c r="AA226" s="264"/>
      <c r="AB226" s="265"/>
      <c r="AC226" s="264"/>
      <c r="AD226" s="265"/>
    </row>
    <row r="227" spans="1:30" x14ac:dyDescent="0.15">
      <c r="A227" s="200"/>
      <c r="B227" s="545"/>
      <c r="C227" s="546"/>
      <c r="D227" s="547"/>
      <c r="E227" s="545"/>
      <c r="F227" s="547"/>
      <c r="G227" s="45"/>
      <c r="H227" s="45"/>
      <c r="I227" s="46"/>
      <c r="J227" s="200"/>
      <c r="K227" s="70"/>
      <c r="L227" s="46"/>
      <c r="M227" s="46"/>
      <c r="N227" s="46"/>
      <c r="O227" s="48"/>
      <c r="P227" s="48"/>
      <c r="Q227" s="73"/>
      <c r="R227" s="73"/>
      <c r="S227" s="463"/>
      <c r="W227" s="264"/>
      <c r="X227" s="265"/>
      <c r="AA227" s="277"/>
      <c r="AB227" s="277"/>
      <c r="AC227" s="277"/>
      <c r="AD227" s="277"/>
    </row>
    <row r="228" spans="1:30" x14ac:dyDescent="0.15">
      <c r="A228" s="74"/>
      <c r="B228" s="571"/>
      <c r="C228" s="572"/>
      <c r="D228" s="573"/>
      <c r="E228" s="554" t="s">
        <v>56</v>
      </c>
      <c r="F228" s="554"/>
      <c r="G228" s="554"/>
      <c r="H228" s="554"/>
      <c r="I228" s="570"/>
      <c r="J228" s="570"/>
      <c r="K228" s="554"/>
      <c r="L228" s="62">
        <f>SUM(L225:L227)</f>
        <v>6.4587335600000007</v>
      </c>
      <c r="M228" s="197"/>
      <c r="N228" s="62">
        <f>SUM(N225:N227)</f>
        <v>0</v>
      </c>
      <c r="O228" s="63" t="s">
        <v>57</v>
      </c>
      <c r="P228" s="337"/>
      <c r="Q228" s="64"/>
      <c r="R228" s="64"/>
      <c r="S228" s="460"/>
    </row>
    <row r="229" spans="1:30" ht="24" x14ac:dyDescent="0.15">
      <c r="A229" s="65"/>
      <c r="B229" s="560" t="s">
        <v>58</v>
      </c>
      <c r="C229" s="561"/>
      <c r="D229" s="562"/>
      <c r="E229" s="565" t="s">
        <v>26</v>
      </c>
      <c r="F229" s="566"/>
      <c r="G229" s="66" t="s">
        <v>59</v>
      </c>
      <c r="H229" s="66"/>
      <c r="I229" s="66" t="s">
        <v>60</v>
      </c>
      <c r="J229" s="66" t="s">
        <v>6</v>
      </c>
      <c r="K229" s="67" t="s">
        <v>61</v>
      </c>
      <c r="L229" s="66" t="s">
        <v>30</v>
      </c>
      <c r="M229" s="68" t="s">
        <v>62</v>
      </c>
      <c r="N229" s="68" t="s">
        <v>34</v>
      </c>
      <c r="O229" s="69" t="s">
        <v>57</v>
      </c>
      <c r="P229" s="42"/>
      <c r="Q229" s="67"/>
      <c r="R229" s="67"/>
      <c r="S229" s="461"/>
    </row>
    <row r="230" spans="1:30" ht="25.5" customHeight="1" x14ac:dyDescent="0.15">
      <c r="A230" s="200">
        <v>1</v>
      </c>
      <c r="B230" s="545"/>
      <c r="C230" s="546"/>
      <c r="D230" s="547"/>
      <c r="E230" s="545" t="s">
        <v>815</v>
      </c>
      <c r="F230" s="547"/>
      <c r="G230" s="45"/>
      <c r="H230" s="45"/>
      <c r="I230" s="45"/>
      <c r="J230" s="46" t="str">
        <f>VLOOKUP($E:$E,材料单价表!$B$3:$G$42,4,0)</f>
        <v>套</v>
      </c>
      <c r="K230" s="72"/>
      <c r="L230" s="46">
        <v>4</v>
      </c>
      <c r="M230" s="46">
        <f>VLOOKUP($E:$E,材料单价表!$B$3:$G$42,5,0)</f>
        <v>0</v>
      </c>
      <c r="N230" s="46">
        <f t="shared" ref="N230" si="40">M230*L230</f>
        <v>0</v>
      </c>
      <c r="O230" s="48"/>
      <c r="P230" s="48"/>
      <c r="Q230" s="73"/>
      <c r="R230" s="73"/>
      <c r="S230" s="463"/>
    </row>
    <row r="231" spans="1:30" x14ac:dyDescent="0.15">
      <c r="A231" s="74"/>
      <c r="B231" s="571"/>
      <c r="C231" s="572"/>
      <c r="D231" s="573"/>
      <c r="E231" s="554" t="s">
        <v>64</v>
      </c>
      <c r="F231" s="554"/>
      <c r="G231" s="554"/>
      <c r="H231" s="554"/>
      <c r="I231" s="570"/>
      <c r="J231" s="570"/>
      <c r="K231" s="554"/>
      <c r="L231" s="62">
        <f>L230</f>
        <v>4</v>
      </c>
      <c r="M231" s="197"/>
      <c r="N231" s="62">
        <f>SUM(N230:N230)</f>
        <v>0</v>
      </c>
      <c r="O231" s="63" t="s">
        <v>57</v>
      </c>
      <c r="P231" s="337"/>
      <c r="Q231" s="64"/>
      <c r="R231" s="64"/>
      <c r="S231" s="460"/>
    </row>
    <row r="232" spans="1:30" ht="24" x14ac:dyDescent="0.15">
      <c r="A232" s="65"/>
      <c r="B232" s="560" t="s">
        <v>65</v>
      </c>
      <c r="C232" s="561"/>
      <c r="D232" s="562"/>
      <c r="E232" s="565" t="s">
        <v>26</v>
      </c>
      <c r="F232" s="566"/>
      <c r="G232" s="66" t="s">
        <v>59</v>
      </c>
      <c r="H232" s="66"/>
      <c r="I232" s="66" t="s">
        <v>60</v>
      </c>
      <c r="J232" s="66" t="s">
        <v>6</v>
      </c>
      <c r="K232" s="67" t="s">
        <v>61</v>
      </c>
      <c r="L232" s="66" t="s">
        <v>30</v>
      </c>
      <c r="M232" s="68" t="s">
        <v>62</v>
      </c>
      <c r="N232" s="68" t="s">
        <v>34</v>
      </c>
      <c r="O232" s="69" t="s">
        <v>57</v>
      </c>
      <c r="P232" s="42"/>
      <c r="Q232" s="67"/>
      <c r="R232" s="67"/>
      <c r="S232" s="461"/>
    </row>
    <row r="233" spans="1:30" ht="13.5" customHeight="1" x14ac:dyDescent="0.15">
      <c r="A233" s="76">
        <v>1</v>
      </c>
      <c r="B233" s="545"/>
      <c r="C233" s="546"/>
      <c r="D233" s="547"/>
      <c r="E233" s="558" t="s">
        <v>66</v>
      </c>
      <c r="F233" s="559"/>
      <c r="G233" s="78"/>
      <c r="H233" s="78"/>
      <c r="I233" s="77"/>
      <c r="J233" s="46" t="str">
        <f>VLOOKUP($E:$E,材料单价表!$B$3:$G$42,4,0)</f>
        <v>m</v>
      </c>
      <c r="K233" s="46"/>
      <c r="L233" s="80">
        <f>L201</f>
        <v>12</v>
      </c>
      <c r="M233" s="46">
        <f>VLOOKUP($E:$E,材料单价表!$B$3:$G$42,5,0)</f>
        <v>0</v>
      </c>
      <c r="N233" s="46">
        <f>M233*L233</f>
        <v>0</v>
      </c>
      <c r="O233" s="48"/>
      <c r="P233" s="59"/>
      <c r="Q233" s="81"/>
      <c r="R233" s="79"/>
      <c r="S233" s="464"/>
    </row>
    <row r="234" spans="1:30" ht="15.75" customHeight="1" x14ac:dyDescent="0.15">
      <c r="A234" s="76">
        <v>2</v>
      </c>
      <c r="B234" s="545"/>
      <c r="C234" s="546"/>
      <c r="D234" s="547"/>
      <c r="E234" s="558" t="s">
        <v>68</v>
      </c>
      <c r="F234" s="559"/>
      <c r="G234" s="78" t="s">
        <v>67</v>
      </c>
      <c r="H234" s="78"/>
      <c r="I234" s="77"/>
      <c r="J234" s="46" t="str">
        <f>VLOOKUP($E:$E,材料单价表!$B$3:$G$42,4,0)</f>
        <v>m</v>
      </c>
      <c r="K234" s="46"/>
      <c r="L234" s="80">
        <f>(I207*J207+I208*J208+I209*J209+I210*J210+I211*J211)/1000*2</f>
        <v>49.671200000000006</v>
      </c>
      <c r="M234" s="46">
        <f>VLOOKUP($E:$E,材料单价表!$B$3:$G$42,5,0)</f>
        <v>0</v>
      </c>
      <c r="N234" s="46">
        <f t="shared" ref="N234:N239" si="41">M234*L234</f>
        <v>0</v>
      </c>
      <c r="O234" s="48"/>
      <c r="P234" s="59"/>
      <c r="Q234" s="81"/>
      <c r="R234" s="79"/>
      <c r="S234" s="464"/>
      <c r="U234" s="104"/>
      <c r="V234" s="104"/>
    </row>
    <row r="235" spans="1:30" ht="13.5" customHeight="1" x14ac:dyDescent="0.15">
      <c r="A235" s="76">
        <v>3</v>
      </c>
      <c r="B235" s="545"/>
      <c r="C235" s="546"/>
      <c r="D235" s="547"/>
      <c r="E235" s="558" t="s">
        <v>68</v>
      </c>
      <c r="F235" s="559"/>
      <c r="G235" s="78" t="s">
        <v>69</v>
      </c>
      <c r="H235" s="78"/>
      <c r="I235" s="77"/>
      <c r="J235" s="46" t="str">
        <f>VLOOKUP($E:$E,材料单价表!$B$3:$G$42,4,0)</f>
        <v>m</v>
      </c>
      <c r="K235" s="46"/>
      <c r="L235" s="80">
        <f>L201</f>
        <v>12</v>
      </c>
      <c r="M235" s="46">
        <f>VLOOKUP($E:$E,材料单价表!$B$3:$G$42,5,0)</f>
        <v>0</v>
      </c>
      <c r="N235" s="46">
        <f t="shared" si="41"/>
        <v>0</v>
      </c>
      <c r="O235" s="48"/>
      <c r="P235" s="59"/>
      <c r="Q235" s="81"/>
      <c r="R235" s="79"/>
      <c r="S235" s="464"/>
      <c r="U235" s="104"/>
      <c r="V235" s="104"/>
    </row>
    <row r="236" spans="1:30" ht="13.5" customHeight="1" x14ac:dyDescent="0.15">
      <c r="A236" s="76">
        <v>4</v>
      </c>
      <c r="B236" s="545"/>
      <c r="C236" s="546"/>
      <c r="D236" s="547"/>
      <c r="E236" s="558" t="s">
        <v>68</v>
      </c>
      <c r="F236" s="559"/>
      <c r="G236" s="78" t="s">
        <v>70</v>
      </c>
      <c r="H236" s="78"/>
      <c r="I236" s="77"/>
      <c r="J236" s="46" t="str">
        <f>VLOOKUP($E:$E,材料单价表!$B$3:$G$42,4,0)</f>
        <v>m</v>
      </c>
      <c r="K236" s="46"/>
      <c r="L236" s="80">
        <f>L201</f>
        <v>12</v>
      </c>
      <c r="M236" s="46">
        <f>VLOOKUP($E:$E,材料单价表!$B$3:$G$42,5,0)</f>
        <v>0</v>
      </c>
      <c r="N236" s="46">
        <f t="shared" si="41"/>
        <v>0</v>
      </c>
      <c r="O236" s="48"/>
      <c r="P236" s="59"/>
      <c r="Q236" s="81"/>
      <c r="R236" s="79"/>
      <c r="S236" s="464"/>
      <c r="U236" s="104"/>
      <c r="V236" s="104"/>
    </row>
    <row r="237" spans="1:30" ht="13.5" customHeight="1" x14ac:dyDescent="0.15">
      <c r="A237" s="76">
        <v>5</v>
      </c>
      <c r="B237" s="545"/>
      <c r="C237" s="546"/>
      <c r="D237" s="547"/>
      <c r="E237" s="558" t="s">
        <v>71</v>
      </c>
      <c r="F237" s="559"/>
      <c r="G237" s="78"/>
      <c r="H237" s="78"/>
      <c r="I237" s="77"/>
      <c r="J237" s="46" t="str">
        <f>VLOOKUP($E:$E,材料单价表!$B$3:$G$42,4,0)</f>
        <v>个</v>
      </c>
      <c r="K237" s="79"/>
      <c r="L237" s="80">
        <f>J217+J218</f>
        <v>20</v>
      </c>
      <c r="M237" s="46">
        <f>VLOOKUP($E:$E,材料单价表!$B$3:$G$42,5,0)</f>
        <v>0</v>
      </c>
      <c r="N237" s="46">
        <f t="shared" si="41"/>
        <v>0</v>
      </c>
      <c r="O237" s="48"/>
      <c r="P237" s="59"/>
      <c r="Q237" s="81"/>
      <c r="R237" s="79"/>
      <c r="S237" s="464"/>
    </row>
    <row r="238" spans="1:30" ht="13.5" customHeight="1" x14ac:dyDescent="0.15">
      <c r="A238" s="76">
        <v>6</v>
      </c>
      <c r="B238" s="545"/>
      <c r="C238" s="546"/>
      <c r="D238" s="547"/>
      <c r="E238" s="558" t="s">
        <v>809</v>
      </c>
      <c r="F238" s="559"/>
      <c r="G238" s="78"/>
      <c r="H238" s="78"/>
      <c r="I238" s="77"/>
      <c r="J238" s="46" t="str">
        <f>VLOOKUP($E:$E,材料单价表!$B$3:$G$42,4,0)</f>
        <v>m</v>
      </c>
      <c r="K238" s="79"/>
      <c r="L238" s="80">
        <f>(I207*J207+I208*J208+I209*J209+I210*J210+I211*J211)/1000*2</f>
        <v>49.671200000000006</v>
      </c>
      <c r="M238" s="46">
        <f>VLOOKUP($E:$E,材料单价表!$B$3:$G$42,5,0)</f>
        <v>0</v>
      </c>
      <c r="N238" s="46">
        <f t="shared" si="41"/>
        <v>0</v>
      </c>
      <c r="O238" s="48"/>
      <c r="P238" s="59"/>
      <c r="Q238" s="81"/>
      <c r="R238" s="46"/>
      <c r="S238" s="465"/>
    </row>
    <row r="239" spans="1:30" x14ac:dyDescent="0.15">
      <c r="A239" s="76">
        <v>7</v>
      </c>
      <c r="B239" s="545"/>
      <c r="C239" s="546"/>
      <c r="D239" s="547"/>
      <c r="E239" s="558" t="s">
        <v>72</v>
      </c>
      <c r="F239" s="559"/>
      <c r="G239" s="45"/>
      <c r="H239" s="45"/>
      <c r="I239" s="45"/>
      <c r="J239" s="46" t="str">
        <f>VLOOKUP($E:$E,材料单价表!$B$3:$G$42,4,0)</f>
        <v>m2</v>
      </c>
      <c r="K239" s="72"/>
      <c r="L239" s="46">
        <f>L245</f>
        <v>8.64</v>
      </c>
      <c r="M239" s="46">
        <f>VLOOKUP($E:$E,材料单价表!$B$3:$G$42,5,0)</f>
        <v>0</v>
      </c>
      <c r="N239" s="46">
        <f t="shared" si="41"/>
        <v>0</v>
      </c>
      <c r="O239" s="48"/>
      <c r="P239" s="48"/>
      <c r="Q239" s="73"/>
      <c r="R239" s="73"/>
      <c r="S239" s="463"/>
    </row>
    <row r="240" spans="1:30" x14ac:dyDescent="0.15">
      <c r="A240" s="76">
        <v>8</v>
      </c>
      <c r="B240" s="545"/>
      <c r="C240" s="546"/>
      <c r="D240" s="547"/>
      <c r="E240" s="198"/>
      <c r="F240" s="199"/>
      <c r="G240" s="207"/>
      <c r="H240" s="45"/>
      <c r="I240" s="207"/>
      <c r="J240" s="208"/>
      <c r="K240" s="209"/>
      <c r="L240" s="208"/>
      <c r="M240" s="208"/>
      <c r="N240" s="208"/>
      <c r="O240" s="211"/>
      <c r="P240" s="48"/>
      <c r="Q240" s="212"/>
      <c r="R240" s="212"/>
      <c r="S240" s="463"/>
    </row>
    <row r="241" spans="1:19" x14ac:dyDescent="0.15">
      <c r="A241" s="76">
        <v>9</v>
      </c>
      <c r="B241" s="545"/>
      <c r="C241" s="546"/>
      <c r="D241" s="547"/>
      <c r="E241" s="558"/>
      <c r="F241" s="559"/>
      <c r="G241" s="45"/>
      <c r="H241" s="45"/>
      <c r="I241" s="45"/>
      <c r="J241" s="45"/>
      <c r="K241" s="72"/>
      <c r="L241" s="46"/>
      <c r="M241" s="46"/>
      <c r="N241" s="82"/>
      <c r="O241" s="48"/>
      <c r="P241" s="48"/>
      <c r="Q241" s="73"/>
      <c r="R241" s="73"/>
      <c r="S241" s="463"/>
    </row>
    <row r="242" spans="1:19" x14ac:dyDescent="0.15">
      <c r="A242" s="74"/>
      <c r="B242" s="571"/>
      <c r="C242" s="572"/>
      <c r="D242" s="573"/>
      <c r="E242" s="552" t="s">
        <v>73</v>
      </c>
      <c r="F242" s="557"/>
      <c r="G242" s="557"/>
      <c r="H242" s="557"/>
      <c r="I242" s="557"/>
      <c r="J242" s="557"/>
      <c r="K242" s="557"/>
      <c r="L242" s="61"/>
      <c r="M242" s="61"/>
      <c r="N242" s="62">
        <f>SUM(N233:N241)</f>
        <v>0</v>
      </c>
      <c r="O242" s="63" t="s">
        <v>57</v>
      </c>
      <c r="P242" s="337"/>
      <c r="Q242" s="64"/>
      <c r="R242" s="64"/>
      <c r="S242" s="460"/>
    </row>
    <row r="243" spans="1:19" x14ac:dyDescent="0.15">
      <c r="A243" s="74"/>
      <c r="B243" s="571"/>
      <c r="C243" s="572"/>
      <c r="D243" s="573"/>
      <c r="E243" s="552" t="s">
        <v>74</v>
      </c>
      <c r="F243" s="557"/>
      <c r="G243" s="557"/>
      <c r="H243" s="557"/>
      <c r="I243" s="557"/>
      <c r="J243" s="557"/>
      <c r="K243" s="557"/>
      <c r="L243" s="557"/>
      <c r="M243" s="553"/>
      <c r="N243" s="62">
        <f>N242+N231+N228+N223</f>
        <v>0</v>
      </c>
      <c r="O243" s="63" t="s">
        <v>57</v>
      </c>
      <c r="P243" s="337"/>
      <c r="Q243" s="64"/>
      <c r="R243" s="64"/>
      <c r="S243" s="460"/>
    </row>
    <row r="244" spans="1:19" ht="24" x14ac:dyDescent="0.15">
      <c r="A244" s="65"/>
      <c r="B244" s="560" t="s">
        <v>75</v>
      </c>
      <c r="C244" s="561"/>
      <c r="D244" s="562"/>
      <c r="E244" s="565" t="s">
        <v>26</v>
      </c>
      <c r="F244" s="566"/>
      <c r="G244" s="66"/>
      <c r="H244" s="66"/>
      <c r="I244" s="66"/>
      <c r="J244" s="66" t="s">
        <v>6</v>
      </c>
      <c r="K244" s="83" t="s">
        <v>61</v>
      </c>
      <c r="L244" s="66" t="s">
        <v>76</v>
      </c>
      <c r="M244" s="68" t="s">
        <v>62</v>
      </c>
      <c r="N244" s="68" t="s">
        <v>34</v>
      </c>
      <c r="O244" s="84" t="s">
        <v>57</v>
      </c>
      <c r="P244" s="84"/>
      <c r="Q244" s="67"/>
      <c r="R244" s="67"/>
      <c r="S244" s="461"/>
    </row>
    <row r="245" spans="1:19" x14ac:dyDescent="0.15">
      <c r="A245" s="200">
        <v>1</v>
      </c>
      <c r="B245" s="545"/>
      <c r="C245" s="546"/>
      <c r="D245" s="547"/>
      <c r="E245" s="545" t="s">
        <v>77</v>
      </c>
      <c r="F245" s="547"/>
      <c r="G245" s="45"/>
      <c r="H245" s="45"/>
      <c r="I245" s="46"/>
      <c r="J245" s="45" t="s">
        <v>78</v>
      </c>
      <c r="K245" s="72"/>
      <c r="L245" s="85">
        <f>N188</f>
        <v>8.64</v>
      </c>
      <c r="M245" s="46">
        <f>VLOOKUP($E:$E,材料单价表!$B$3:$G$42,5,0)</f>
        <v>0</v>
      </c>
      <c r="N245" s="46">
        <f>M245*L245</f>
        <v>0</v>
      </c>
      <c r="O245" s="48"/>
      <c r="P245" s="48"/>
      <c r="Q245" s="72"/>
      <c r="R245" s="72"/>
      <c r="S245" s="462"/>
    </row>
    <row r="246" spans="1:19" x14ac:dyDescent="0.15">
      <c r="A246" s="200">
        <v>2</v>
      </c>
      <c r="B246" s="545"/>
      <c r="C246" s="546"/>
      <c r="D246" s="547"/>
      <c r="E246" s="545" t="s">
        <v>79</v>
      </c>
      <c r="F246" s="547"/>
      <c r="G246" s="45"/>
      <c r="H246" s="45"/>
      <c r="I246" s="46"/>
      <c r="J246" s="45" t="s">
        <v>78</v>
      </c>
      <c r="K246" s="72"/>
      <c r="L246" s="85">
        <f>L245</f>
        <v>8.64</v>
      </c>
      <c r="M246" s="46">
        <f>VLOOKUP($E:$E,材料单价表!$B$3:$G$42,5,0)</f>
        <v>0</v>
      </c>
      <c r="N246" s="46">
        <f>M246*L246</f>
        <v>0</v>
      </c>
      <c r="O246" s="48"/>
      <c r="P246" s="48"/>
      <c r="Q246" s="72"/>
      <c r="R246" s="72"/>
      <c r="S246" s="462"/>
    </row>
    <row r="247" spans="1:19" ht="24.75" customHeight="1" x14ac:dyDescent="0.15">
      <c r="A247" s="74"/>
      <c r="B247" s="571"/>
      <c r="C247" s="572"/>
      <c r="D247" s="573"/>
      <c r="E247" s="552" t="s">
        <v>80</v>
      </c>
      <c r="F247" s="553"/>
      <c r="G247" s="194"/>
      <c r="H247" s="344"/>
      <c r="I247" s="554" t="s">
        <v>81</v>
      </c>
      <c r="J247" s="554"/>
      <c r="K247" s="554"/>
      <c r="L247" s="554"/>
      <c r="M247" s="87"/>
      <c r="N247" s="62">
        <f>N243+N245+N246</f>
        <v>0</v>
      </c>
      <c r="O247" s="63" t="s">
        <v>57</v>
      </c>
      <c r="P247" s="337"/>
      <c r="Q247" s="64"/>
      <c r="R247" s="64"/>
      <c r="S247" s="460"/>
    </row>
    <row r="248" spans="1:19" ht="24" customHeight="1" x14ac:dyDescent="0.15">
      <c r="A248" s="74"/>
      <c r="B248" s="571"/>
      <c r="C248" s="572"/>
      <c r="D248" s="573"/>
      <c r="E248" s="555" t="s">
        <v>82</v>
      </c>
      <c r="F248" s="556"/>
      <c r="G248" s="193"/>
      <c r="H248" s="345"/>
      <c r="I248" s="552" t="s">
        <v>81</v>
      </c>
      <c r="J248" s="557"/>
      <c r="K248" s="557"/>
      <c r="L248" s="557"/>
      <c r="M248" s="62"/>
      <c r="N248" s="62">
        <f>N247/N188</f>
        <v>0</v>
      </c>
      <c r="O248" s="89" t="s">
        <v>57</v>
      </c>
      <c r="P248" s="89"/>
      <c r="Q248" s="90"/>
      <c r="R248" s="90"/>
      <c r="S248" s="466"/>
    </row>
  </sheetData>
  <autoFilter ref="S1:T248"/>
  <mergeCells count="248">
    <mergeCell ref="B183:D183"/>
    <mergeCell ref="B184:D184"/>
    <mergeCell ref="B54:D54"/>
    <mergeCell ref="B140:D140"/>
    <mergeCell ref="B162:D162"/>
    <mergeCell ref="B167:D167"/>
    <mergeCell ref="B170:D170"/>
    <mergeCell ref="B182:D182"/>
    <mergeCell ref="E113:F113"/>
    <mergeCell ref="E114:F114"/>
    <mergeCell ref="E115:F115"/>
    <mergeCell ref="A158:K158"/>
    <mergeCell ref="A159:K159"/>
    <mergeCell ref="A160:K160"/>
    <mergeCell ref="B177:D177"/>
    <mergeCell ref="B178:D178"/>
    <mergeCell ref="B179:D179"/>
    <mergeCell ref="B78:D78"/>
    <mergeCell ref="B100:D100"/>
    <mergeCell ref="B105:D105"/>
    <mergeCell ref="B108:D108"/>
    <mergeCell ref="B107:D107"/>
    <mergeCell ref="B104:D104"/>
    <mergeCell ref="B99:D99"/>
    <mergeCell ref="A35:K35"/>
    <mergeCell ref="A36:K36"/>
    <mergeCell ref="B79:D82"/>
    <mergeCell ref="B83:D88"/>
    <mergeCell ref="B89:D95"/>
    <mergeCell ref="B141:D144"/>
    <mergeCell ref="B145:D150"/>
    <mergeCell ref="B151:D157"/>
    <mergeCell ref="A96:K96"/>
    <mergeCell ref="A97:K97"/>
    <mergeCell ref="A98:K98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1:D121"/>
    <mergeCell ref="B109:D109"/>
    <mergeCell ref="B41:D41"/>
    <mergeCell ref="B44:D44"/>
    <mergeCell ref="B61:D61"/>
    <mergeCell ref="B180:D180"/>
    <mergeCell ref="B181:D181"/>
    <mergeCell ref="B169:D169"/>
    <mergeCell ref="B166:D166"/>
    <mergeCell ref="B161:D161"/>
    <mergeCell ref="B163:D163"/>
    <mergeCell ref="B164:D164"/>
    <mergeCell ref="B165:D165"/>
    <mergeCell ref="B168:D168"/>
    <mergeCell ref="B171:D171"/>
    <mergeCell ref="B172:D172"/>
    <mergeCell ref="B173:D173"/>
    <mergeCell ref="B174:D174"/>
    <mergeCell ref="B175:D175"/>
    <mergeCell ref="B176:D176"/>
    <mergeCell ref="B248:D248"/>
    <mergeCell ref="B242:D242"/>
    <mergeCell ref="B243:D243"/>
    <mergeCell ref="B231:D231"/>
    <mergeCell ref="B228:D228"/>
    <mergeCell ref="B223:D223"/>
    <mergeCell ref="B185:D185"/>
    <mergeCell ref="B186:D186"/>
    <mergeCell ref="B233:D233"/>
    <mergeCell ref="B234:D234"/>
    <mergeCell ref="B235:D235"/>
    <mergeCell ref="B236:D236"/>
    <mergeCell ref="B237:D237"/>
    <mergeCell ref="B238:D238"/>
    <mergeCell ref="B239:D239"/>
    <mergeCell ref="B240:D240"/>
    <mergeCell ref="B241:D241"/>
    <mergeCell ref="B245:D245"/>
    <mergeCell ref="B246:D246"/>
    <mergeCell ref="B202:D202"/>
    <mergeCell ref="B224:D224"/>
    <mergeCell ref="B229:D229"/>
    <mergeCell ref="B244:D244"/>
    <mergeCell ref="B247:D247"/>
    <mergeCell ref="B62:D62"/>
    <mergeCell ref="B101:D101"/>
    <mergeCell ref="B102:D102"/>
    <mergeCell ref="B103:D103"/>
    <mergeCell ref="B106:D106"/>
    <mergeCell ref="E57:M57"/>
    <mergeCell ref="E58:F58"/>
    <mergeCell ref="E59:F59"/>
    <mergeCell ref="E60:F60"/>
    <mergeCell ref="E61:F61"/>
    <mergeCell ref="I61:L61"/>
    <mergeCell ref="B59:D59"/>
    <mergeCell ref="B60:D60"/>
    <mergeCell ref="E102:F102"/>
    <mergeCell ref="E103:F103"/>
    <mergeCell ref="E104:K104"/>
    <mergeCell ref="E105:F105"/>
    <mergeCell ref="E106:F106"/>
    <mergeCell ref="E99:K99"/>
    <mergeCell ref="E100:F100"/>
    <mergeCell ref="E101:F101"/>
    <mergeCell ref="B16:D16"/>
    <mergeCell ref="B38:D38"/>
    <mergeCell ref="B43:D43"/>
    <mergeCell ref="B46:D46"/>
    <mergeCell ref="B58:D58"/>
    <mergeCell ref="B56:D56"/>
    <mergeCell ref="B57:D57"/>
    <mergeCell ref="B45:D45"/>
    <mergeCell ref="B42:D42"/>
    <mergeCell ref="B37:D37"/>
    <mergeCell ref="B17:D20"/>
    <mergeCell ref="B21:D26"/>
    <mergeCell ref="B27:D33"/>
    <mergeCell ref="B39:D39"/>
    <mergeCell ref="B40:D40"/>
    <mergeCell ref="B55:D55"/>
    <mergeCell ref="B47:D47"/>
    <mergeCell ref="B48:D48"/>
    <mergeCell ref="B49:D49"/>
    <mergeCell ref="B50:D50"/>
    <mergeCell ref="B51:D51"/>
    <mergeCell ref="B52:D52"/>
    <mergeCell ref="B53:D53"/>
    <mergeCell ref="A34:K34"/>
    <mergeCell ref="A1:R1"/>
    <mergeCell ref="A63:R63"/>
    <mergeCell ref="E43:F43"/>
    <mergeCell ref="E37:K37"/>
    <mergeCell ref="E38:F38"/>
    <mergeCell ref="E39:F39"/>
    <mergeCell ref="E40:F40"/>
    <mergeCell ref="E41:F41"/>
    <mergeCell ref="E42:K42"/>
    <mergeCell ref="E56:K56"/>
    <mergeCell ref="E44:F44"/>
    <mergeCell ref="E45:K45"/>
    <mergeCell ref="E46:F46"/>
    <mergeCell ref="E47:F47"/>
    <mergeCell ref="E48:F48"/>
    <mergeCell ref="E49:F49"/>
    <mergeCell ref="E50:F50"/>
    <mergeCell ref="E51:F51"/>
    <mergeCell ref="E52:F52"/>
    <mergeCell ref="E53:F53"/>
    <mergeCell ref="N3:O3"/>
    <mergeCell ref="E55:F55"/>
    <mergeCell ref="E62:F62"/>
    <mergeCell ref="I62:L62"/>
    <mergeCell ref="E112:F112"/>
    <mergeCell ref="E117:F117"/>
    <mergeCell ref="E107:K107"/>
    <mergeCell ref="E108:F108"/>
    <mergeCell ref="E109:F109"/>
    <mergeCell ref="E110:F110"/>
    <mergeCell ref="E111:F111"/>
    <mergeCell ref="E123:F123"/>
    <mergeCell ref="I123:L123"/>
    <mergeCell ref="E124:F124"/>
    <mergeCell ref="I124:L124"/>
    <mergeCell ref="A125:R125"/>
    <mergeCell ref="E118:K118"/>
    <mergeCell ref="E119:M119"/>
    <mergeCell ref="E120:F120"/>
    <mergeCell ref="E121:F121"/>
    <mergeCell ref="E122:F122"/>
    <mergeCell ref="B120:D120"/>
    <mergeCell ref="B123:D123"/>
    <mergeCell ref="B124:D124"/>
    <mergeCell ref="B118:D118"/>
    <mergeCell ref="B119:D119"/>
    <mergeCell ref="B122:D122"/>
    <mergeCell ref="E184:F184"/>
    <mergeCell ref="E163:F163"/>
    <mergeCell ref="E164:F164"/>
    <mergeCell ref="E165:F165"/>
    <mergeCell ref="E166:K166"/>
    <mergeCell ref="E167:F167"/>
    <mergeCell ref="E161:K161"/>
    <mergeCell ref="E162:F162"/>
    <mergeCell ref="E173:F173"/>
    <mergeCell ref="E174:F174"/>
    <mergeCell ref="E179:F179"/>
    <mergeCell ref="E180:K180"/>
    <mergeCell ref="E181:M181"/>
    <mergeCell ref="E182:F182"/>
    <mergeCell ref="E183:F183"/>
    <mergeCell ref="E175:F175"/>
    <mergeCell ref="E176:F176"/>
    <mergeCell ref="E177:F177"/>
    <mergeCell ref="E168:F168"/>
    <mergeCell ref="E169:K169"/>
    <mergeCell ref="E170:F170"/>
    <mergeCell ref="E171:F171"/>
    <mergeCell ref="E172:F172"/>
    <mergeCell ref="E226:F226"/>
    <mergeCell ref="E227:F227"/>
    <mergeCell ref="E228:K228"/>
    <mergeCell ref="A187:R187"/>
    <mergeCell ref="E223:K223"/>
    <mergeCell ref="E234:F234"/>
    <mergeCell ref="E235:F235"/>
    <mergeCell ref="E185:F185"/>
    <mergeCell ref="I185:L185"/>
    <mergeCell ref="E186:F186"/>
    <mergeCell ref="I186:L186"/>
    <mergeCell ref="B232:D232"/>
    <mergeCell ref="B225:D225"/>
    <mergeCell ref="B226:D226"/>
    <mergeCell ref="B227:D227"/>
    <mergeCell ref="B230:D230"/>
    <mergeCell ref="A220:K220"/>
    <mergeCell ref="A221:K221"/>
    <mergeCell ref="A222:K222"/>
    <mergeCell ref="B203:D206"/>
    <mergeCell ref="B207:D212"/>
    <mergeCell ref="B213:D219"/>
    <mergeCell ref="N65:O65"/>
    <mergeCell ref="N127:O127"/>
    <mergeCell ref="N189:O189"/>
    <mergeCell ref="E246:F246"/>
    <mergeCell ref="E247:F247"/>
    <mergeCell ref="I247:L247"/>
    <mergeCell ref="E248:F248"/>
    <mergeCell ref="I248:L248"/>
    <mergeCell ref="E239:F239"/>
    <mergeCell ref="E241:F241"/>
    <mergeCell ref="E242:K242"/>
    <mergeCell ref="E243:M243"/>
    <mergeCell ref="E244:F244"/>
    <mergeCell ref="E236:F236"/>
    <mergeCell ref="E237:F237"/>
    <mergeCell ref="E238:F238"/>
    <mergeCell ref="E229:F229"/>
    <mergeCell ref="E230:F230"/>
    <mergeCell ref="E231:K231"/>
    <mergeCell ref="E232:F232"/>
    <mergeCell ref="E233:F233"/>
    <mergeCell ref="E245:F245"/>
    <mergeCell ref="E224:F224"/>
    <mergeCell ref="E225:F225"/>
  </mergeCells>
  <phoneticPr fontId="9" type="noConversion"/>
  <pageMargins left="0.7" right="0.7" top="0.75" bottom="0.75" header="0.3" footer="0.3"/>
  <pageSetup paperSize="9" scale="69" orientation="portrait" r:id="rId1"/>
  <rowBreaks count="3" manualBreakCount="3">
    <brk id="62" max="13" man="1"/>
    <brk id="124" max="13" man="1"/>
    <brk id="186" max="1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5"/>
  <sheetViews>
    <sheetView view="pageBreakPreview" zoomScale="95" zoomScaleNormal="100" zoomScaleSheetLayoutView="95" workbookViewId="0">
      <selection activeCell="V13" sqref="V13"/>
    </sheetView>
  </sheetViews>
  <sheetFormatPr defaultColWidth="8.125" defaultRowHeight="13.5" x14ac:dyDescent="0.15"/>
  <cols>
    <col min="1" max="1" width="6.375" style="1" customWidth="1"/>
    <col min="2" max="2" width="5.125" style="1" customWidth="1"/>
    <col min="3" max="3" width="3" style="1" customWidth="1"/>
    <col min="4" max="4" width="2.75" style="1" customWidth="1"/>
    <col min="5" max="5" width="14.25" style="1" customWidth="1"/>
    <col min="6" max="6" width="7" style="1" customWidth="1"/>
    <col min="7" max="8" width="11" style="1" customWidth="1"/>
    <col min="9" max="9" width="13.125" style="1" customWidth="1"/>
    <col min="10" max="10" width="6.375" style="1" customWidth="1"/>
    <col min="11" max="11" width="8.125" style="1" customWidth="1"/>
    <col min="12" max="12" width="7.875" style="1" customWidth="1"/>
    <col min="13" max="14" width="9.25" style="1" customWidth="1"/>
    <col min="15" max="15" width="8" style="1" customWidth="1"/>
    <col min="16" max="16" width="15.25" style="1" customWidth="1"/>
    <col min="17" max="17" width="8.5" style="1" customWidth="1"/>
    <col min="18" max="18" width="8.125" style="1" customWidth="1"/>
    <col min="19" max="19" width="3.125" style="1" customWidth="1"/>
    <col min="20" max="20" width="3" style="374" customWidth="1"/>
    <col min="21" max="21" width="8" style="259" customWidth="1"/>
    <col min="22" max="22" width="6" style="259" customWidth="1"/>
    <col min="23" max="23" width="8.5" style="259" bestFit="1" customWidth="1"/>
    <col min="24" max="24" width="5.75" style="259" customWidth="1"/>
    <col min="25" max="16384" width="8.125" style="1"/>
  </cols>
  <sheetData>
    <row r="1" spans="1:24" ht="18.75" customHeight="1" x14ac:dyDescent="0.15">
      <c r="A1" s="549" t="s">
        <v>0</v>
      </c>
      <c r="B1" s="549"/>
      <c r="C1" s="549"/>
      <c r="D1" s="549"/>
      <c r="E1" s="549"/>
      <c r="F1" s="549"/>
      <c r="G1" s="549"/>
      <c r="H1" s="549"/>
      <c r="I1" s="549"/>
      <c r="J1" s="549"/>
      <c r="K1" s="550"/>
      <c r="L1" s="549"/>
      <c r="M1" s="549"/>
      <c r="N1" s="549"/>
      <c r="O1" s="549"/>
      <c r="P1" s="549"/>
      <c r="Q1" s="551"/>
      <c r="R1" s="551"/>
      <c r="S1" s="415"/>
    </row>
    <row r="2" spans="1:24" ht="15" customHeight="1" x14ac:dyDescent="0.15">
      <c r="A2" s="2" t="s">
        <v>1</v>
      </c>
      <c r="B2" s="3" t="s">
        <v>1449</v>
      </c>
      <c r="C2" s="3">
        <v>2</v>
      </c>
      <c r="D2" s="340"/>
      <c r="E2" s="4" t="s">
        <v>2</v>
      </c>
      <c r="F2" s="5">
        <v>128</v>
      </c>
      <c r="G2" s="106" t="s">
        <v>86</v>
      </c>
      <c r="H2" s="106"/>
      <c r="I2" s="4" t="s">
        <v>3</v>
      </c>
      <c r="J2" s="6">
        <f>K5</f>
        <v>2500</v>
      </c>
      <c r="K2" s="7" t="s">
        <v>83</v>
      </c>
      <c r="L2" s="6">
        <f>K4</f>
        <v>2400</v>
      </c>
      <c r="M2" s="8" t="s">
        <v>4</v>
      </c>
      <c r="N2" s="9">
        <f>L14</f>
        <v>6</v>
      </c>
      <c r="O2" s="10"/>
      <c r="P2" s="10"/>
      <c r="Q2" s="10" t="s">
        <v>5</v>
      </c>
      <c r="R2" s="11"/>
      <c r="S2" s="457"/>
    </row>
    <row r="3" spans="1:24" ht="15" customHeight="1" x14ac:dyDescent="0.2">
      <c r="A3" s="12"/>
      <c r="B3" s="13"/>
      <c r="C3" s="13"/>
      <c r="D3" s="13"/>
      <c r="E3" s="14"/>
      <c r="F3" s="14"/>
      <c r="G3" s="15"/>
      <c r="H3" s="15"/>
      <c r="I3" s="16"/>
      <c r="J3" s="16" t="s">
        <v>6</v>
      </c>
      <c r="K3" s="17" t="s">
        <v>7</v>
      </c>
      <c r="L3" s="16" t="s">
        <v>8</v>
      </c>
      <c r="M3" s="18"/>
      <c r="N3" s="548" t="s">
        <v>1087</v>
      </c>
      <c r="O3" s="548"/>
      <c r="P3" s="16" t="s">
        <v>1018</v>
      </c>
      <c r="Q3" s="19"/>
      <c r="R3" s="20"/>
      <c r="S3" s="27"/>
    </row>
    <row r="4" spans="1:24" ht="15" customHeight="1" x14ac:dyDescent="0.2">
      <c r="A4" s="398" t="s">
        <v>918</v>
      </c>
      <c r="B4" s="406" t="s">
        <v>961</v>
      </c>
      <c r="C4" s="358"/>
      <c r="D4" s="358"/>
      <c r="E4" s="23"/>
      <c r="F4" s="23"/>
      <c r="G4" s="107"/>
      <c r="H4" s="107"/>
      <c r="I4" s="24" t="s">
        <v>9</v>
      </c>
      <c r="J4" s="16" t="s">
        <v>10</v>
      </c>
      <c r="K4" s="25">
        <v>2400</v>
      </c>
      <c r="L4" s="113">
        <f>K4-L13*2</f>
        <v>2300</v>
      </c>
      <c r="M4" s="18"/>
      <c r="N4" s="356" t="s">
        <v>1088</v>
      </c>
      <c r="O4" s="357"/>
      <c r="P4" s="16" t="s">
        <v>1019</v>
      </c>
      <c r="Q4" s="27"/>
      <c r="R4" s="28"/>
      <c r="S4" s="27"/>
    </row>
    <row r="5" spans="1:24" ht="15" customHeight="1" x14ac:dyDescent="0.2">
      <c r="A5" s="21"/>
      <c r="B5" s="22"/>
      <c r="C5" s="22"/>
      <c r="D5" s="22"/>
      <c r="E5" s="23"/>
      <c r="F5" s="23"/>
      <c r="G5" s="18"/>
      <c r="H5" s="18"/>
      <c r="I5" s="24" t="s">
        <v>11</v>
      </c>
      <c r="J5" s="16" t="s">
        <v>10</v>
      </c>
      <c r="K5" s="25">
        <v>2500</v>
      </c>
      <c r="L5" s="113">
        <f>K5-L13*2</f>
        <v>2400</v>
      </c>
      <c r="M5" s="18"/>
      <c r="N5" s="356" t="s">
        <v>1089</v>
      </c>
      <c r="O5" s="357"/>
      <c r="P5" s="16" t="s">
        <v>1022</v>
      </c>
      <c r="Q5" s="27"/>
      <c r="R5" s="28"/>
      <c r="S5" s="27"/>
    </row>
    <row r="6" spans="1:24" ht="15" customHeight="1" x14ac:dyDescent="0.2">
      <c r="A6" s="21"/>
      <c r="B6" s="22"/>
      <c r="C6" s="22"/>
      <c r="D6" s="22"/>
      <c r="E6" s="23"/>
      <c r="F6" s="23"/>
      <c r="G6" s="18"/>
      <c r="H6" s="18"/>
      <c r="I6" s="24" t="s">
        <v>12</v>
      </c>
      <c r="J6" s="16" t="s">
        <v>10</v>
      </c>
      <c r="K6" s="26"/>
      <c r="L6" s="113">
        <f>L4</f>
        <v>2300</v>
      </c>
      <c r="M6" s="18"/>
      <c r="N6" s="356" t="s">
        <v>924</v>
      </c>
      <c r="O6" s="357"/>
      <c r="P6" s="16" t="s">
        <v>1020</v>
      </c>
      <c r="Q6" s="27"/>
      <c r="R6" s="28"/>
      <c r="S6" s="27"/>
    </row>
    <row r="7" spans="1:24" ht="15" customHeight="1" x14ac:dyDescent="0.2">
      <c r="A7" s="21"/>
      <c r="B7" s="22"/>
      <c r="C7" s="22"/>
      <c r="D7" s="22"/>
      <c r="E7" s="23"/>
      <c r="F7" s="23"/>
      <c r="G7" s="18"/>
      <c r="H7" s="18"/>
      <c r="I7" s="24" t="s">
        <v>13</v>
      </c>
      <c r="J7" s="16" t="s">
        <v>10</v>
      </c>
      <c r="K7" s="26"/>
      <c r="L7" s="113"/>
      <c r="M7" s="18"/>
      <c r="N7" s="356" t="s">
        <v>925</v>
      </c>
      <c r="O7" s="357"/>
      <c r="P7" s="16" t="s">
        <v>1021</v>
      </c>
      <c r="Q7" s="27"/>
      <c r="R7" s="28"/>
      <c r="S7" s="27"/>
    </row>
    <row r="8" spans="1:24" ht="15" customHeight="1" x14ac:dyDescent="0.2">
      <c r="A8" s="21"/>
      <c r="B8" s="22"/>
      <c r="C8" s="22"/>
      <c r="D8" s="22"/>
      <c r="E8" s="23"/>
      <c r="F8" s="23"/>
      <c r="G8" s="18"/>
      <c r="H8" s="18"/>
      <c r="I8" s="24" t="s">
        <v>14</v>
      </c>
      <c r="J8" s="16" t="s">
        <v>10</v>
      </c>
      <c r="K8" s="26"/>
      <c r="L8" s="113"/>
      <c r="M8" s="18"/>
      <c r="N8" s="356"/>
      <c r="O8" s="357"/>
      <c r="P8" s="16"/>
      <c r="Q8" s="27"/>
      <c r="R8" s="28"/>
      <c r="S8" s="27"/>
    </row>
    <row r="9" spans="1:24" ht="15" customHeight="1" x14ac:dyDescent="0.2">
      <c r="A9" s="21"/>
      <c r="B9" s="22"/>
      <c r="C9" s="22"/>
      <c r="D9" s="22"/>
      <c r="E9" s="23"/>
      <c r="F9" s="23"/>
      <c r="G9" s="18"/>
      <c r="H9" s="18"/>
      <c r="I9" s="24" t="s">
        <v>15</v>
      </c>
      <c r="J9" s="16" t="s">
        <v>10</v>
      </c>
      <c r="K9" s="26"/>
      <c r="L9" s="113">
        <f>L5/2</f>
        <v>1200</v>
      </c>
      <c r="M9" s="18"/>
      <c r="N9" s="356" t="s">
        <v>928</v>
      </c>
      <c r="O9" s="357"/>
      <c r="P9" s="16" t="s">
        <v>1005</v>
      </c>
      <c r="Q9" s="27"/>
      <c r="R9" s="28"/>
      <c r="S9" s="27"/>
    </row>
    <row r="10" spans="1:24" ht="15" customHeight="1" x14ac:dyDescent="0.2">
      <c r="A10" s="21"/>
      <c r="B10" s="22"/>
      <c r="C10" s="22"/>
      <c r="D10" s="22"/>
      <c r="E10" s="23"/>
      <c r="F10" s="23"/>
      <c r="G10" s="18"/>
      <c r="H10" s="18"/>
      <c r="I10" s="24" t="s">
        <v>16</v>
      </c>
      <c r="J10" s="16" t="s">
        <v>10</v>
      </c>
      <c r="K10" s="26"/>
      <c r="L10" s="113"/>
      <c r="M10" s="18"/>
      <c r="N10" s="356" t="s">
        <v>929</v>
      </c>
      <c r="O10" s="357"/>
      <c r="P10" s="16" t="s">
        <v>1024</v>
      </c>
      <c r="Q10" s="27"/>
      <c r="R10" s="28"/>
      <c r="S10" s="27"/>
    </row>
    <row r="11" spans="1:24" ht="15" customHeight="1" x14ac:dyDescent="0.2">
      <c r="A11" s="21"/>
      <c r="B11" s="22"/>
      <c r="C11" s="22"/>
      <c r="D11" s="22"/>
      <c r="E11" s="23"/>
      <c r="F11" s="23"/>
      <c r="G11" s="18"/>
      <c r="H11" s="18"/>
      <c r="I11" s="24" t="s">
        <v>17</v>
      </c>
      <c r="J11" s="16" t="s">
        <v>10</v>
      </c>
      <c r="K11" s="26"/>
      <c r="L11" s="113"/>
      <c r="M11" s="18"/>
      <c r="N11" s="356" t="s">
        <v>930</v>
      </c>
      <c r="O11" s="357"/>
      <c r="P11" s="16" t="s">
        <v>931</v>
      </c>
      <c r="Q11" s="27"/>
      <c r="R11" s="28"/>
      <c r="S11" s="27"/>
    </row>
    <row r="12" spans="1:24" ht="15" customHeight="1" x14ac:dyDescent="0.2">
      <c r="A12" s="21"/>
      <c r="B12" s="22"/>
      <c r="C12" s="22"/>
      <c r="D12" s="22"/>
      <c r="E12" s="23"/>
      <c r="F12" s="23"/>
      <c r="G12" s="18"/>
      <c r="H12" s="18"/>
      <c r="I12" s="24" t="s">
        <v>18</v>
      </c>
      <c r="J12" s="16" t="s">
        <v>10</v>
      </c>
      <c r="K12" s="26"/>
      <c r="L12" s="113"/>
      <c r="M12" s="18"/>
      <c r="N12" s="356" t="s">
        <v>932</v>
      </c>
      <c r="O12" s="357"/>
      <c r="P12" s="16" t="s">
        <v>933</v>
      </c>
      <c r="Q12" s="27"/>
      <c r="R12" s="28"/>
      <c r="S12" s="27"/>
    </row>
    <row r="13" spans="1:24" ht="15" customHeight="1" x14ac:dyDescent="0.2">
      <c r="A13" s="21"/>
      <c r="B13" s="22"/>
      <c r="C13" s="22"/>
      <c r="D13" s="22"/>
      <c r="E13" s="23"/>
      <c r="F13" s="23"/>
      <c r="G13" s="18"/>
      <c r="H13" s="18"/>
      <c r="I13" s="24" t="s">
        <v>19</v>
      </c>
      <c r="J13" s="16" t="s">
        <v>10</v>
      </c>
      <c r="K13" s="26"/>
      <c r="L13" s="25">
        <v>50</v>
      </c>
      <c r="M13" s="18"/>
      <c r="N13" s="356" t="s">
        <v>1101</v>
      </c>
      <c r="O13" s="357"/>
      <c r="P13" s="16" t="s">
        <v>935</v>
      </c>
      <c r="Q13" s="27"/>
      <c r="R13" s="28"/>
      <c r="S13" s="27"/>
    </row>
    <row r="14" spans="1:24" ht="15" customHeight="1" x14ac:dyDescent="0.2">
      <c r="A14" s="21"/>
      <c r="B14" s="22"/>
      <c r="C14" s="22"/>
      <c r="D14" s="22"/>
      <c r="E14" s="23"/>
      <c r="F14" s="23"/>
      <c r="G14" s="18"/>
      <c r="H14" s="18"/>
      <c r="I14" s="29" t="s">
        <v>20</v>
      </c>
      <c r="J14" s="16" t="s">
        <v>21</v>
      </c>
      <c r="K14" s="30"/>
      <c r="L14" s="31">
        <f>K4*K5/1000000</f>
        <v>6</v>
      </c>
      <c r="M14" s="18"/>
      <c r="N14" s="356" t="s">
        <v>936</v>
      </c>
      <c r="O14" s="357"/>
      <c r="P14" s="16" t="s">
        <v>937</v>
      </c>
      <c r="Q14" s="27"/>
      <c r="R14" s="28"/>
      <c r="S14" s="27"/>
    </row>
    <row r="15" spans="1:24" ht="15" customHeight="1" x14ac:dyDescent="0.2">
      <c r="A15" s="32"/>
      <c r="B15" s="33"/>
      <c r="C15" s="33"/>
      <c r="D15" s="33"/>
      <c r="E15" s="34"/>
      <c r="F15" s="34"/>
      <c r="G15" s="35"/>
      <c r="H15" s="35"/>
      <c r="I15" s="29" t="s">
        <v>22</v>
      </c>
      <c r="J15" s="16" t="s">
        <v>23</v>
      </c>
      <c r="K15" s="30"/>
      <c r="L15" s="36">
        <f>(K5+K4)*2/1000</f>
        <v>9.8000000000000007</v>
      </c>
      <c r="M15" s="35"/>
      <c r="N15" s="356" t="s">
        <v>938</v>
      </c>
      <c r="O15" s="357"/>
      <c r="P15" s="16" t="s">
        <v>939</v>
      </c>
      <c r="Q15" s="37"/>
      <c r="R15" s="38"/>
      <c r="S15" s="27"/>
    </row>
    <row r="16" spans="1:24" ht="48.75" customHeight="1" x14ac:dyDescent="0.15">
      <c r="A16" s="39" t="s">
        <v>24</v>
      </c>
      <c r="B16" s="560" t="s">
        <v>25</v>
      </c>
      <c r="C16" s="561"/>
      <c r="D16" s="562"/>
      <c r="E16" s="40" t="s">
        <v>26</v>
      </c>
      <c r="F16" s="40" t="s">
        <v>27</v>
      </c>
      <c r="G16" s="40" t="s">
        <v>28</v>
      </c>
      <c r="H16" s="40" t="s">
        <v>1140</v>
      </c>
      <c r="I16" s="40" t="s">
        <v>29</v>
      </c>
      <c r="J16" s="40" t="s">
        <v>30</v>
      </c>
      <c r="K16" s="41" t="s">
        <v>31</v>
      </c>
      <c r="L16" s="40" t="s">
        <v>32</v>
      </c>
      <c r="M16" s="40" t="s">
        <v>33</v>
      </c>
      <c r="N16" s="40" t="s">
        <v>34</v>
      </c>
      <c r="O16" s="42" t="s">
        <v>35</v>
      </c>
      <c r="P16" s="359" t="s">
        <v>962</v>
      </c>
      <c r="Q16" s="43" t="s">
        <v>36</v>
      </c>
      <c r="R16" s="43" t="s">
        <v>37</v>
      </c>
      <c r="S16" s="458"/>
      <c r="U16" s="261" t="s">
        <v>825</v>
      </c>
      <c r="V16" s="261"/>
      <c r="W16" s="262" t="s">
        <v>826</v>
      </c>
      <c r="X16" s="263"/>
    </row>
    <row r="17" spans="1:24" ht="15" customHeight="1" x14ac:dyDescent="0.15">
      <c r="A17" s="200">
        <v>1</v>
      </c>
      <c r="B17" s="531" t="s">
        <v>38</v>
      </c>
      <c r="C17" s="532"/>
      <c r="D17" s="533"/>
      <c r="E17" s="47" t="str">
        <f>VLOOKUP($G:$G,型材表!$B$5:$I$448,2,0)</f>
        <v>边封</v>
      </c>
      <c r="F17" s="45" t="s">
        <v>39</v>
      </c>
      <c r="G17" s="45" t="str">
        <f>IF(F2=128,"ST128MK003",IF(F2=120,"ST120MK003"))</f>
        <v>ST128MK003</v>
      </c>
      <c r="H17" s="207" t="s">
        <v>1142</v>
      </c>
      <c r="I17" s="46">
        <f>L4</f>
        <v>2300</v>
      </c>
      <c r="J17" s="45">
        <v>2</v>
      </c>
      <c r="K17" s="47">
        <f>VLOOKUP($G:$G,型材表!$B$5:$I$448,4,0)</f>
        <v>2.379</v>
      </c>
      <c r="L17" s="46">
        <f>I17*J17*K17/1000</f>
        <v>10.9434</v>
      </c>
      <c r="M17" s="72">
        <f>VLOOKUP($G:$G,型材表!$B$5:$I$448,7,0)</f>
        <v>0</v>
      </c>
      <c r="N17" s="46">
        <f>M17*L17</f>
        <v>0</v>
      </c>
      <c r="O17" s="100">
        <f>VLOOKUP($G:$G,型材表!$B$5:$I$448,5,0)</f>
        <v>0.125</v>
      </c>
      <c r="P17" s="100" t="str">
        <f>VLOOKUP($G:$G,型材表!$B$5:$I$448,6,0)</f>
        <v>断桥隔热铝型材</v>
      </c>
      <c r="Q17" s="49"/>
      <c r="R17" s="50"/>
      <c r="S17" s="459"/>
      <c r="W17" s="264"/>
      <c r="X17" s="265"/>
    </row>
    <row r="18" spans="1:24" ht="15" customHeight="1" x14ac:dyDescent="0.15">
      <c r="A18" s="200">
        <v>2</v>
      </c>
      <c r="B18" s="534"/>
      <c r="C18" s="535"/>
      <c r="D18" s="536"/>
      <c r="E18" s="47" t="str">
        <f>VLOOKUP($G:$G,型材表!$B$5:$I$448,2,0)</f>
        <v>上滑</v>
      </c>
      <c r="F18" s="45" t="s">
        <v>807</v>
      </c>
      <c r="G18" s="45" t="str">
        <f>IF(F2=128,"ST128MK001",IF(F2=120,"ST120MK001"))</f>
        <v>ST128MK001</v>
      </c>
      <c r="H18" s="207" t="s">
        <v>1143</v>
      </c>
      <c r="I18" s="46">
        <f>IF(F2=128,L5-U18,IF(F2=120,L5-W18))</f>
        <v>2340</v>
      </c>
      <c r="J18" s="45">
        <v>1</v>
      </c>
      <c r="K18" s="47">
        <f>VLOOKUP($G:$G,型材表!$B$5:$I$448,4,0)</f>
        <v>3.5590000000000002</v>
      </c>
      <c r="L18" s="46">
        <f t="shared" ref="L18:L25" si="0">I18*J18*K18/1000</f>
        <v>8.3280599999999989</v>
      </c>
      <c r="M18" s="72">
        <f>VLOOKUP($G:$G,型材表!$B$5:$I$448,7,0)</f>
        <v>0</v>
      </c>
      <c r="N18" s="46">
        <f t="shared" ref="N18:N25" si="1">M18*L18</f>
        <v>0</v>
      </c>
      <c r="O18" s="100">
        <f>VLOOKUP($G:$G,型材表!$B$5:$I$448,5,0)</f>
        <v>0.125</v>
      </c>
      <c r="P18" s="100" t="str">
        <f>VLOOKUP($G:$G,型材表!$B$5:$I$448,6,0)</f>
        <v>断桥隔热铝型材</v>
      </c>
      <c r="Q18" s="49"/>
      <c r="R18" s="50"/>
      <c r="S18" s="459"/>
      <c r="T18" s="374" t="s">
        <v>1154</v>
      </c>
      <c r="U18" s="259">
        <f>30*2</f>
        <v>60</v>
      </c>
      <c r="W18" s="264">
        <f>30*2</f>
        <v>60</v>
      </c>
      <c r="X18" s="265"/>
    </row>
    <row r="19" spans="1:24" ht="15" customHeight="1" x14ac:dyDescent="0.15">
      <c r="A19" s="350">
        <v>3</v>
      </c>
      <c r="B19" s="534"/>
      <c r="C19" s="535"/>
      <c r="D19" s="536"/>
      <c r="E19" s="47" t="str">
        <f>VLOOKUP($G:$G,型材表!$B$5:$I$448,2,0)</f>
        <v>下滑</v>
      </c>
      <c r="F19" s="207" t="s">
        <v>591</v>
      </c>
      <c r="G19" s="207" t="str">
        <f>IF(F2=128,"ST128MK004",IF(F2=120,"ST120MK002"))</f>
        <v>ST128MK004</v>
      </c>
      <c r="H19" s="207" t="s">
        <v>1143</v>
      </c>
      <c r="I19" s="208">
        <f>I18</f>
        <v>2340</v>
      </c>
      <c r="J19" s="207">
        <v>1</v>
      </c>
      <c r="K19" s="47">
        <f>VLOOKUP($G:$G,型材表!$B$5:$I$448,4,0)</f>
        <v>2.7770000000000001</v>
      </c>
      <c r="L19" s="46">
        <f t="shared" si="0"/>
        <v>6.4981800000000005</v>
      </c>
      <c r="M19" s="72">
        <f>VLOOKUP($G:$G,型材表!$B$5:$I$448,7,0)</f>
        <v>0</v>
      </c>
      <c r="N19" s="46">
        <f t="shared" si="1"/>
        <v>0</v>
      </c>
      <c r="O19" s="100">
        <f>VLOOKUP($G:$G,型材表!$B$5:$I$448,5,0)</f>
        <v>0.125</v>
      </c>
      <c r="P19" s="100" t="str">
        <f>VLOOKUP($G:$G,型材表!$B$5:$I$448,6,0)</f>
        <v>断桥隔热铝型材</v>
      </c>
      <c r="Q19" s="210"/>
      <c r="R19" s="50"/>
      <c r="S19" s="459"/>
      <c r="W19" s="264"/>
      <c r="X19" s="265"/>
    </row>
    <row r="20" spans="1:24" s="229" customFormat="1" ht="15" customHeight="1" x14ac:dyDescent="0.15">
      <c r="A20" s="350">
        <v>4</v>
      </c>
      <c r="B20" s="537"/>
      <c r="C20" s="538"/>
      <c r="D20" s="539"/>
      <c r="E20" s="221"/>
      <c r="F20" s="222"/>
      <c r="G20" s="222"/>
      <c r="H20" s="222"/>
      <c r="I20" s="223"/>
      <c r="J20" s="222"/>
      <c r="K20" s="221"/>
      <c r="L20" s="224"/>
      <c r="M20" s="225"/>
      <c r="N20" s="224"/>
      <c r="O20" s="226"/>
      <c r="P20" s="100"/>
      <c r="Q20" s="227"/>
      <c r="R20" s="228"/>
      <c r="S20" s="467"/>
      <c r="T20" s="375"/>
      <c r="U20" s="266"/>
      <c r="V20" s="266"/>
      <c r="W20" s="267"/>
      <c r="X20" s="268"/>
    </row>
    <row r="21" spans="1:24" ht="15" customHeight="1" x14ac:dyDescent="0.15">
      <c r="A21" s="350">
        <v>5</v>
      </c>
      <c r="B21" s="531" t="s">
        <v>41</v>
      </c>
      <c r="C21" s="532"/>
      <c r="D21" s="533"/>
      <c r="E21" s="47" t="str">
        <f>VLOOKUP($G:$G,型材表!$B$5:$I$448,2,0)</f>
        <v>扇料</v>
      </c>
      <c r="F21" s="45" t="s">
        <v>812</v>
      </c>
      <c r="G21" s="45" t="str">
        <f>IF(F2=128,"ST128MS001",IF(F2=120,"ST120MS001"))</f>
        <v>ST128MS001</v>
      </c>
      <c r="H21" s="207" t="s">
        <v>1144</v>
      </c>
      <c r="I21" s="46">
        <f>IF(F2=128,L6-U21,IF(F2=120,L6-W21))</f>
        <v>2215.88</v>
      </c>
      <c r="J21" s="45">
        <v>2</v>
      </c>
      <c r="K21" s="47">
        <f>VLOOKUP($G:$G,型材表!$B$5:$I$448,4,0)</f>
        <v>2.0739999999999998</v>
      </c>
      <c r="L21" s="46">
        <f t="shared" si="0"/>
        <v>9.191470240000001</v>
      </c>
      <c r="M21" s="72">
        <f>VLOOKUP($G:$G,型材表!$B$5:$I$448,7,0)</f>
        <v>0</v>
      </c>
      <c r="N21" s="46">
        <f t="shared" si="1"/>
        <v>0</v>
      </c>
      <c r="O21" s="100">
        <f>VLOOKUP($G:$G,型材表!$B$5:$I$448,5,0)</f>
        <v>0.125</v>
      </c>
      <c r="P21" s="100" t="str">
        <f>VLOOKUP($G:$G,型材表!$B$5:$I$448,6,0)</f>
        <v>断桥隔热铝型材</v>
      </c>
      <c r="Q21" s="49"/>
      <c r="R21" s="50"/>
      <c r="S21" s="459"/>
      <c r="T21" s="374" t="s">
        <v>1155</v>
      </c>
      <c r="U21" s="259">
        <f>45+39.12</f>
        <v>84.12</v>
      </c>
      <c r="W21" s="264">
        <f>47.5*2</f>
        <v>95</v>
      </c>
      <c r="X21" s="265"/>
    </row>
    <row r="22" spans="1:24" ht="15" customHeight="1" x14ac:dyDescent="0.15">
      <c r="A22" s="350">
        <v>6</v>
      </c>
      <c r="B22" s="534"/>
      <c r="C22" s="535"/>
      <c r="D22" s="536"/>
      <c r="E22" s="47" t="str">
        <f>VLOOKUP($G:$G,型材表!$B$5:$I$448,2,0)</f>
        <v>扇料</v>
      </c>
      <c r="F22" s="45" t="s">
        <v>813</v>
      </c>
      <c r="G22" s="207" t="str">
        <f>IF(F2=128,"ST128MS001",IF(F2=120,"ST120MS001"))</f>
        <v>ST128MS001</v>
      </c>
      <c r="H22" s="207" t="s">
        <v>1144</v>
      </c>
      <c r="I22" s="208">
        <f>IF(F2=128,L6-U22,IF(F2=120,L6-W22))</f>
        <v>2215.88</v>
      </c>
      <c r="J22" s="207">
        <v>2</v>
      </c>
      <c r="K22" s="47">
        <f>VLOOKUP($G:$G,型材表!$B$5:$I$448,4,0)</f>
        <v>2.0739999999999998</v>
      </c>
      <c r="L22" s="46">
        <f t="shared" si="0"/>
        <v>9.191470240000001</v>
      </c>
      <c r="M22" s="72">
        <f>VLOOKUP($G:$G,型材表!$B$5:$I$448,7,0)</f>
        <v>0</v>
      </c>
      <c r="N22" s="46">
        <f t="shared" si="1"/>
        <v>0</v>
      </c>
      <c r="O22" s="100">
        <f>VLOOKUP($G:$G,型材表!$B$5:$I$448,5,0)</f>
        <v>0.125</v>
      </c>
      <c r="P22" s="100" t="str">
        <f>VLOOKUP($G:$G,型材表!$B$5:$I$448,6,0)</f>
        <v>断桥隔热铝型材</v>
      </c>
      <c r="Q22" s="210"/>
      <c r="R22" s="50"/>
      <c r="S22" s="459"/>
      <c r="T22" s="374" t="s">
        <v>1155</v>
      </c>
      <c r="U22" s="259">
        <f>45+39.12</f>
        <v>84.12</v>
      </c>
      <c r="W22" s="264">
        <f>47.5*2</f>
        <v>95</v>
      </c>
      <c r="X22" s="265"/>
    </row>
    <row r="23" spans="1:24" ht="15" customHeight="1" x14ac:dyDescent="0.15">
      <c r="A23" s="350">
        <v>7</v>
      </c>
      <c r="B23" s="534"/>
      <c r="C23" s="535"/>
      <c r="D23" s="536"/>
      <c r="E23" s="47" t="str">
        <f>VLOOKUP($G:$G,型材表!$B$5:$I$448,2,0)</f>
        <v>扇料</v>
      </c>
      <c r="F23" s="45" t="s">
        <v>808</v>
      </c>
      <c r="G23" s="45" t="str">
        <f>IF(F2=128,"ST128MS001",IF(F2=120,"ST120MS001"))</f>
        <v>ST128MS001</v>
      </c>
      <c r="H23" s="207" t="s">
        <v>1145</v>
      </c>
      <c r="I23" s="46">
        <f>IF(F2=128,L9-U23,IF(F2=120,L9-W23))</f>
        <v>1068.8499999999999</v>
      </c>
      <c r="J23" s="45">
        <v>2</v>
      </c>
      <c r="K23" s="47">
        <f>VLOOKUP($G:$G,型材表!$B$5:$I$448,4,0)</f>
        <v>2.0739999999999998</v>
      </c>
      <c r="L23" s="46">
        <f t="shared" si="0"/>
        <v>4.4335898</v>
      </c>
      <c r="M23" s="72">
        <f>VLOOKUP($G:$G,型材表!$B$5:$I$448,7,0)</f>
        <v>0</v>
      </c>
      <c r="N23" s="46">
        <f t="shared" si="1"/>
        <v>0</v>
      </c>
      <c r="O23" s="100">
        <f>VLOOKUP($G:$G,型材表!$B$5:$I$448,5,0)</f>
        <v>0.125</v>
      </c>
      <c r="P23" s="100" t="str">
        <f>VLOOKUP($G:$G,型材表!$B$5:$I$448,6,0)</f>
        <v>断桥隔热铝型材</v>
      </c>
      <c r="Q23" s="49"/>
      <c r="R23" s="50"/>
      <c r="S23" s="459"/>
      <c r="T23" s="374" t="s">
        <v>1156</v>
      </c>
      <c r="U23" s="259">
        <f>(35*2-95.7)/2+72*2</f>
        <v>131.15</v>
      </c>
      <c r="W23" s="264">
        <f>(34*2-92.6)/2+72*2</f>
        <v>131.69999999999999</v>
      </c>
      <c r="X23" s="265"/>
    </row>
    <row r="24" spans="1:24" ht="15" customHeight="1" x14ac:dyDescent="0.15">
      <c r="A24" s="350">
        <v>8</v>
      </c>
      <c r="B24" s="534"/>
      <c r="C24" s="535"/>
      <c r="D24" s="536"/>
      <c r="E24" s="47" t="str">
        <f>VLOOKUP($G:$G,型材表!$B$5:$I$448,2,0)</f>
        <v>扇料</v>
      </c>
      <c r="F24" s="45" t="s">
        <v>819</v>
      </c>
      <c r="G24" s="45" t="str">
        <f>IF(F2=128,"ST128MS001",IF(F2=120,"ST120MS001"))</f>
        <v>ST128MS001</v>
      </c>
      <c r="H24" s="207" t="s">
        <v>1145</v>
      </c>
      <c r="I24" s="46">
        <f>I23</f>
        <v>1068.8499999999999</v>
      </c>
      <c r="J24" s="45">
        <v>1</v>
      </c>
      <c r="K24" s="47">
        <f>VLOOKUP($G:$G,型材表!$B$5:$I$448,4,0)</f>
        <v>2.0739999999999998</v>
      </c>
      <c r="L24" s="46">
        <f t="shared" si="0"/>
        <v>2.2167949</v>
      </c>
      <c r="M24" s="72">
        <f>VLOOKUP($G:$G,型材表!$B$5:$I$448,7,0)</f>
        <v>0</v>
      </c>
      <c r="N24" s="46">
        <f t="shared" si="1"/>
        <v>0</v>
      </c>
      <c r="O24" s="100">
        <f>VLOOKUP($G:$G,型材表!$B$5:$I$448,5,0)</f>
        <v>0.125</v>
      </c>
      <c r="P24" s="100" t="str">
        <f>VLOOKUP($G:$G,型材表!$B$5:$I$448,6,0)</f>
        <v>断桥隔热铝型材</v>
      </c>
      <c r="Q24" s="49"/>
      <c r="R24" s="50"/>
      <c r="S24" s="459"/>
      <c r="W24" s="264"/>
      <c r="X24" s="265"/>
    </row>
    <row r="25" spans="1:24" ht="15" customHeight="1" x14ac:dyDescent="0.15">
      <c r="A25" s="350">
        <v>9</v>
      </c>
      <c r="B25" s="534"/>
      <c r="C25" s="535"/>
      <c r="D25" s="536"/>
      <c r="E25" s="47" t="str">
        <f>VLOOKUP($G:$G,型材表!$B$5:$I$448,2,0)</f>
        <v>扇料</v>
      </c>
      <c r="F25" s="45" t="s">
        <v>820</v>
      </c>
      <c r="G25" s="207" t="str">
        <f>IF(F2=128,"ST128MS001",IF(F2=120,"ST120MS001"))</f>
        <v>ST128MS001</v>
      </c>
      <c r="H25" s="207" t="s">
        <v>1145</v>
      </c>
      <c r="I25" s="208">
        <f>I24</f>
        <v>1068.8499999999999</v>
      </c>
      <c r="J25" s="207">
        <v>1</v>
      </c>
      <c r="K25" s="47">
        <f>VLOOKUP($G:$G,型材表!$B$5:$I$448,4,0)</f>
        <v>2.0739999999999998</v>
      </c>
      <c r="L25" s="46">
        <f t="shared" si="0"/>
        <v>2.2167949</v>
      </c>
      <c r="M25" s="72">
        <f>VLOOKUP($G:$G,型材表!$B$5:$I$448,7,0)</f>
        <v>0</v>
      </c>
      <c r="N25" s="46">
        <f t="shared" si="1"/>
        <v>0</v>
      </c>
      <c r="O25" s="100">
        <f>VLOOKUP($G:$G,型材表!$B$5:$I$448,5,0)</f>
        <v>0.125</v>
      </c>
      <c r="P25" s="100" t="str">
        <f>VLOOKUP($G:$G,型材表!$B$5:$I$448,6,0)</f>
        <v>断桥隔热铝型材</v>
      </c>
      <c r="Q25" s="210"/>
      <c r="R25" s="50"/>
      <c r="S25" s="459"/>
      <c r="W25" s="264"/>
      <c r="X25" s="265"/>
    </row>
    <row r="26" spans="1:24" ht="15" customHeight="1" x14ac:dyDescent="0.15">
      <c r="A26" s="350">
        <v>10</v>
      </c>
      <c r="B26" s="537"/>
      <c r="C26" s="538"/>
      <c r="D26" s="539"/>
      <c r="E26" s="47"/>
      <c r="F26" s="45"/>
      <c r="G26" s="45"/>
      <c r="H26" s="207"/>
      <c r="I26" s="46"/>
      <c r="J26" s="45"/>
      <c r="K26" s="47"/>
      <c r="L26" s="46"/>
      <c r="M26" s="72"/>
      <c r="N26" s="46"/>
      <c r="O26" s="100"/>
      <c r="P26" s="100"/>
      <c r="Q26" s="49"/>
      <c r="R26" s="50"/>
      <c r="S26" s="459"/>
      <c r="W26" s="264"/>
      <c r="X26" s="265"/>
    </row>
    <row r="27" spans="1:24" ht="15" customHeight="1" x14ac:dyDescent="0.15">
      <c r="A27" s="350">
        <v>11</v>
      </c>
      <c r="B27" s="531" t="s">
        <v>44</v>
      </c>
      <c r="C27" s="532"/>
      <c r="D27" s="533"/>
      <c r="E27" s="47" t="str">
        <f>VLOOKUP($G:$G,型材表!$B$5:$I$448,2,0)</f>
        <v>盖板</v>
      </c>
      <c r="F27" s="51"/>
      <c r="G27" s="45" t="str">
        <f>IF(F2=128,"ST128MF002",IF(F2=120,"ST120MF001"))</f>
        <v>ST128MF002</v>
      </c>
      <c r="H27" s="207" t="s">
        <v>1144</v>
      </c>
      <c r="I27" s="52">
        <f>I22</f>
        <v>2215.88</v>
      </c>
      <c r="J27" s="45">
        <f>J22</f>
        <v>2</v>
      </c>
      <c r="K27" s="47">
        <f>VLOOKUP($G:$G,型材表!$B$5:$I$448,4,0)</f>
        <v>5.7000000000000002E-2</v>
      </c>
      <c r="L27" s="46">
        <f t="shared" ref="L27:L28" si="2">I27*J27*K27/1000</f>
        <v>0.25261032000000005</v>
      </c>
      <c r="M27" s="72">
        <f>VLOOKUP($G:$G,型材表!$B$5:$I$448,7,0)</f>
        <v>0</v>
      </c>
      <c r="N27" s="46">
        <f t="shared" ref="N27:N28" si="3">M27*L27</f>
        <v>0</v>
      </c>
      <c r="O27" s="100">
        <f>VLOOKUP($G:$G,型材表!$B$5:$I$448,5,0)</f>
        <v>0.125</v>
      </c>
      <c r="P27" s="100" t="str">
        <f>VLOOKUP($G:$G,型材表!$B$5:$I$448,6,0)</f>
        <v>非断桥隔热铝型材</v>
      </c>
      <c r="Q27" s="49"/>
      <c r="R27" s="50"/>
      <c r="S27" s="459"/>
      <c r="W27" s="264"/>
      <c r="X27" s="265"/>
    </row>
    <row r="28" spans="1:24" ht="15" customHeight="1" x14ac:dyDescent="0.15">
      <c r="A28" s="350">
        <v>12</v>
      </c>
      <c r="B28" s="534"/>
      <c r="C28" s="535"/>
      <c r="D28" s="536"/>
      <c r="E28" s="47" t="str">
        <f>VLOOKUP($G:$G,型材表!$B$5:$I$448,2,0)</f>
        <v>压线</v>
      </c>
      <c r="F28" s="213" t="s">
        <v>1146</v>
      </c>
      <c r="G28" s="207" t="str">
        <f>IF(F2=128,"ST128MY001",IF(F2=120,"ST120MY001"))</f>
        <v>ST128MY001</v>
      </c>
      <c r="H28" s="207" t="s">
        <v>1148</v>
      </c>
      <c r="I28" s="214">
        <f>IF(F2=128,L6-U28,IF(F2=120,L6-W28))</f>
        <v>2071.88</v>
      </c>
      <c r="J28" s="207">
        <v>2</v>
      </c>
      <c r="K28" s="47">
        <f>VLOOKUP($G:$G,型材表!$B$5:$I$448,4,0)</f>
        <v>0.216</v>
      </c>
      <c r="L28" s="46">
        <f t="shared" si="2"/>
        <v>0.8950521600000001</v>
      </c>
      <c r="M28" s="72">
        <f>VLOOKUP($G:$G,型材表!$B$5:$I$448,7,0)</f>
        <v>0</v>
      </c>
      <c r="N28" s="46">
        <f t="shared" si="3"/>
        <v>0</v>
      </c>
      <c r="O28" s="100">
        <f>VLOOKUP($G:$G,型材表!$B$5:$I$448,5,0)</f>
        <v>0.125</v>
      </c>
      <c r="P28" s="100" t="str">
        <f>VLOOKUP($G:$G,型材表!$B$5:$I$448,6,0)</f>
        <v>非断桥隔热铝型材</v>
      </c>
      <c r="Q28" s="210"/>
      <c r="R28" s="50"/>
      <c r="S28" s="459"/>
      <c r="T28" s="374" t="s">
        <v>1157</v>
      </c>
      <c r="U28" s="259">
        <f>117+111.12</f>
        <v>228.12</v>
      </c>
      <c r="W28" s="264">
        <f>119.5*2</f>
        <v>239</v>
      </c>
      <c r="X28" s="265"/>
    </row>
    <row r="29" spans="1:24" ht="15" customHeight="1" x14ac:dyDescent="0.15">
      <c r="A29" s="350">
        <v>13</v>
      </c>
      <c r="B29" s="534"/>
      <c r="C29" s="535"/>
      <c r="D29" s="536"/>
      <c r="E29" s="47" t="str">
        <f>VLOOKUP($G:$G,型材表!$B$5:$I$448,2,0)</f>
        <v>压线</v>
      </c>
      <c r="F29" s="213" t="s">
        <v>1146</v>
      </c>
      <c r="G29" s="207" t="str">
        <f>G28</f>
        <v>ST128MY001</v>
      </c>
      <c r="H29" s="207" t="s">
        <v>1148</v>
      </c>
      <c r="I29" s="214">
        <f>IF(F2=128,L6-U29,IF(F2=120,L6-W29))</f>
        <v>2071.88</v>
      </c>
      <c r="J29" s="207">
        <v>2</v>
      </c>
      <c r="K29" s="47">
        <f>VLOOKUP($G:$G,型材表!$B$5:$I$448,4,0)</f>
        <v>0.216</v>
      </c>
      <c r="L29" s="46">
        <f t="shared" ref="L29:L31" si="4">I29*J29*K29/1000</f>
        <v>0.8950521600000001</v>
      </c>
      <c r="M29" s="72">
        <f>VLOOKUP($G:$G,型材表!$B$5:$I$448,7,0)</f>
        <v>0</v>
      </c>
      <c r="N29" s="46">
        <f t="shared" ref="N29:N31" si="5">M29*L29</f>
        <v>0</v>
      </c>
      <c r="O29" s="100">
        <f>VLOOKUP($G:$G,型材表!$B$5:$I$448,5,0)</f>
        <v>0.125</v>
      </c>
      <c r="P29" s="100" t="str">
        <f>VLOOKUP($G:$G,型材表!$B$5:$I$448,6,0)</f>
        <v>非断桥隔热铝型材</v>
      </c>
      <c r="Q29" s="210"/>
      <c r="R29" s="50"/>
      <c r="S29" s="459"/>
      <c r="T29" s="374" t="s">
        <v>1157</v>
      </c>
      <c r="U29" s="259">
        <f>117+111.12</f>
        <v>228.12</v>
      </c>
      <c r="W29" s="264">
        <f>119.5*2</f>
        <v>239</v>
      </c>
      <c r="X29" s="265"/>
    </row>
    <row r="30" spans="1:24" ht="15" customHeight="1" x14ac:dyDescent="0.15">
      <c r="A30" s="350">
        <v>14</v>
      </c>
      <c r="B30" s="534"/>
      <c r="C30" s="535"/>
      <c r="D30" s="536"/>
      <c r="E30" s="47" t="str">
        <f>VLOOKUP($G:$G,型材表!$B$5:$I$448,2,0)</f>
        <v>压线</v>
      </c>
      <c r="F30" s="213" t="s">
        <v>1147</v>
      </c>
      <c r="G30" s="207" t="str">
        <f t="shared" ref="G30:G31" si="6">G29</f>
        <v>ST128MY001</v>
      </c>
      <c r="H30" s="207" t="s">
        <v>1149</v>
      </c>
      <c r="I30" s="214">
        <f>IF(F2=128,L9-U30,IF(F2=120,L9-W30))</f>
        <v>1068.8499999999999</v>
      </c>
      <c r="J30" s="207">
        <v>2</v>
      </c>
      <c r="K30" s="47">
        <f>VLOOKUP($G:$G,型材表!$B$5:$I$448,4,0)</f>
        <v>0.216</v>
      </c>
      <c r="L30" s="46">
        <f t="shared" si="4"/>
        <v>0.46174319999999996</v>
      </c>
      <c r="M30" s="72">
        <f>VLOOKUP($G:$G,型材表!$B$5:$I$448,7,0)</f>
        <v>0</v>
      </c>
      <c r="N30" s="46">
        <f t="shared" si="5"/>
        <v>0</v>
      </c>
      <c r="O30" s="100">
        <f>VLOOKUP($G:$G,型材表!$B$5:$I$448,5,0)</f>
        <v>0.125</v>
      </c>
      <c r="P30" s="100" t="str">
        <f>VLOOKUP($G:$G,型材表!$B$5:$I$448,6,0)</f>
        <v>非断桥隔热铝型材</v>
      </c>
      <c r="Q30" s="210"/>
      <c r="R30" s="50"/>
      <c r="S30" s="459"/>
      <c r="T30" s="374" t="s">
        <v>1158</v>
      </c>
      <c r="U30" s="259">
        <f>107+48.3/2</f>
        <v>131.15</v>
      </c>
      <c r="W30" s="264">
        <f>106+51.4/2</f>
        <v>131.69999999999999</v>
      </c>
      <c r="X30" s="265"/>
    </row>
    <row r="31" spans="1:24" ht="15" customHeight="1" x14ac:dyDescent="0.15">
      <c r="A31" s="350">
        <v>15</v>
      </c>
      <c r="B31" s="534"/>
      <c r="C31" s="535"/>
      <c r="D31" s="536"/>
      <c r="E31" s="47" t="str">
        <f>VLOOKUP($G:$G,型材表!$B$5:$I$448,2,0)</f>
        <v>压线</v>
      </c>
      <c r="F31" s="213" t="s">
        <v>1147</v>
      </c>
      <c r="G31" s="207" t="str">
        <f t="shared" si="6"/>
        <v>ST128MY001</v>
      </c>
      <c r="H31" s="207" t="s">
        <v>1149</v>
      </c>
      <c r="I31" s="214">
        <f>IF(F2=128,L9-U31,IF(F2=120,L9-W31))</f>
        <v>1068.8499999999999</v>
      </c>
      <c r="J31" s="207">
        <v>2</v>
      </c>
      <c r="K31" s="47">
        <f>VLOOKUP($G:$G,型材表!$B$5:$I$448,4,0)</f>
        <v>0.216</v>
      </c>
      <c r="L31" s="46">
        <f t="shared" si="4"/>
        <v>0.46174319999999996</v>
      </c>
      <c r="M31" s="72">
        <f>VLOOKUP($G:$G,型材表!$B$5:$I$448,7,0)</f>
        <v>0</v>
      </c>
      <c r="N31" s="46">
        <f t="shared" si="5"/>
        <v>0</v>
      </c>
      <c r="O31" s="100">
        <f>VLOOKUP($G:$G,型材表!$B$5:$I$448,5,0)</f>
        <v>0.125</v>
      </c>
      <c r="P31" s="100" t="str">
        <f>VLOOKUP($G:$G,型材表!$B$5:$I$448,6,0)</f>
        <v>非断桥隔热铝型材</v>
      </c>
      <c r="Q31" s="210"/>
      <c r="R31" s="50"/>
      <c r="S31" s="459"/>
      <c r="T31" s="374" t="s">
        <v>1158</v>
      </c>
      <c r="U31" s="259">
        <f>107+48.3/2</f>
        <v>131.15</v>
      </c>
      <c r="W31" s="264">
        <f>106+51.4/2</f>
        <v>131.69999999999999</v>
      </c>
      <c r="X31" s="265"/>
    </row>
    <row r="32" spans="1:24" ht="15" customHeight="1" x14ac:dyDescent="0.15">
      <c r="A32" s="350">
        <v>16</v>
      </c>
      <c r="B32" s="534"/>
      <c r="C32" s="535"/>
      <c r="D32" s="536"/>
      <c r="E32" s="47" t="str">
        <f>VLOOKUP($G:$G,型材表!$B$5:$I$448,2,0)</f>
        <v>下滑轨道</v>
      </c>
      <c r="F32" s="213"/>
      <c r="G32" s="207" t="str">
        <f>IF(F2=128,"ST128MF004",0)</f>
        <v>ST128MF004</v>
      </c>
      <c r="H32" s="207" t="s">
        <v>1145</v>
      </c>
      <c r="I32" s="214">
        <f>I23</f>
        <v>1068.8499999999999</v>
      </c>
      <c r="J32" s="207">
        <v>1</v>
      </c>
      <c r="K32" s="47">
        <f>VLOOKUP($G:$G,型材表!$B$5:$I$448,4,0)</f>
        <v>0.68200000000000005</v>
      </c>
      <c r="L32" s="46">
        <f t="shared" ref="L32" si="7">I32*J32*K32/1000</f>
        <v>0.72895569999999998</v>
      </c>
      <c r="M32" s="72">
        <f>VLOOKUP($G:$G,型材表!$B$5:$I$448,7,0)</f>
        <v>0</v>
      </c>
      <c r="N32" s="46">
        <f t="shared" ref="N32" si="8">M32*L32</f>
        <v>0</v>
      </c>
      <c r="O32" s="100">
        <f>VLOOKUP($G:$G,型材表!$B$5:$I$448,5,0)</f>
        <v>0.125</v>
      </c>
      <c r="P32" s="100" t="str">
        <f>VLOOKUP($G:$G,型材表!$B$5:$I$448,6,0)</f>
        <v>非断桥隔热铝型材</v>
      </c>
      <c r="Q32" s="210"/>
      <c r="R32" s="50"/>
      <c r="S32" s="459"/>
      <c r="W32" s="264"/>
      <c r="X32" s="265"/>
    </row>
    <row r="33" spans="1:24" s="229" customFormat="1" ht="15" customHeight="1" x14ac:dyDescent="0.15">
      <c r="A33" s="350">
        <v>17</v>
      </c>
      <c r="B33" s="534"/>
      <c r="C33" s="535"/>
      <c r="D33" s="536"/>
      <c r="E33" s="47" t="str">
        <f>VLOOKUP($G:$G,型材表!$B$5:$I$448,2,0)</f>
        <v>盖板</v>
      </c>
      <c r="F33" s="230"/>
      <c r="G33" s="222" t="str">
        <f>IF(F2=128,"ST128MF002",0)</f>
        <v>ST128MF002</v>
      </c>
      <c r="H33" s="207" t="s">
        <v>1144</v>
      </c>
      <c r="I33" s="214">
        <f>I22</f>
        <v>2215.88</v>
      </c>
      <c r="J33" s="207">
        <f>J22</f>
        <v>2</v>
      </c>
      <c r="K33" s="47">
        <f>VLOOKUP($G:$G,型材表!$B$5:$I$448,4,0)</f>
        <v>5.7000000000000002E-2</v>
      </c>
      <c r="L33" s="46">
        <f t="shared" ref="L33" si="9">I33*J33*K33/1000</f>
        <v>0.25261032000000005</v>
      </c>
      <c r="M33" s="72">
        <f>VLOOKUP($G:$G,型材表!$B$5:$I$448,7,0)</f>
        <v>0</v>
      </c>
      <c r="N33" s="46">
        <f t="shared" ref="N33" si="10">M33*L33</f>
        <v>0</v>
      </c>
      <c r="O33" s="100">
        <f>VLOOKUP($G:$G,型材表!$B$5:$I$448,5,0)</f>
        <v>0.125</v>
      </c>
      <c r="P33" s="100" t="str">
        <f>VLOOKUP($G:$G,型材表!$B$5:$I$448,6,0)</f>
        <v>非断桥隔热铝型材</v>
      </c>
      <c r="Q33" s="227"/>
      <c r="R33" s="228"/>
      <c r="S33" s="467"/>
      <c r="T33" s="375"/>
      <c r="U33" s="266"/>
      <c r="V33" s="266"/>
      <c r="W33" s="267"/>
      <c r="X33" s="268"/>
    </row>
    <row r="34" spans="1:24" ht="15" customHeight="1" x14ac:dyDescent="0.15">
      <c r="A34" s="350">
        <v>18</v>
      </c>
      <c r="B34" s="534"/>
      <c r="C34" s="535"/>
      <c r="D34" s="536"/>
      <c r="E34" s="47"/>
      <c r="F34" s="51"/>
      <c r="G34" s="45"/>
      <c r="H34" s="207"/>
      <c r="I34" s="52"/>
      <c r="J34" s="45"/>
      <c r="K34" s="47"/>
      <c r="L34" s="46"/>
      <c r="M34" s="72"/>
      <c r="N34" s="46"/>
      <c r="O34" s="100"/>
      <c r="P34" s="100"/>
      <c r="Q34" s="49"/>
      <c r="R34" s="50"/>
      <c r="S34" s="459"/>
      <c r="W34" s="264"/>
      <c r="X34" s="265"/>
    </row>
    <row r="35" spans="1:24" ht="15" customHeight="1" x14ac:dyDescent="0.15">
      <c r="A35" s="350">
        <v>19</v>
      </c>
      <c r="B35" s="534"/>
      <c r="C35" s="535"/>
      <c r="D35" s="536"/>
      <c r="E35" s="47"/>
      <c r="F35" s="213"/>
      <c r="G35" s="207"/>
      <c r="H35" s="207"/>
      <c r="I35" s="214"/>
      <c r="J35" s="207"/>
      <c r="K35" s="47"/>
      <c r="L35" s="46"/>
      <c r="M35" s="72"/>
      <c r="N35" s="46"/>
      <c r="O35" s="100"/>
      <c r="P35" s="100"/>
      <c r="Q35" s="210"/>
      <c r="R35" s="50"/>
      <c r="S35" s="459"/>
      <c r="W35" s="264"/>
      <c r="X35" s="265"/>
    </row>
    <row r="36" spans="1:24" s="229" customFormat="1" ht="15" customHeight="1" x14ac:dyDescent="0.15">
      <c r="A36" s="350">
        <v>20</v>
      </c>
      <c r="B36" s="537"/>
      <c r="C36" s="538"/>
      <c r="D36" s="539"/>
      <c r="E36" s="221"/>
      <c r="F36" s="232"/>
      <c r="G36" s="233"/>
      <c r="H36" s="222"/>
      <c r="I36" s="234"/>
      <c r="J36" s="233"/>
      <c r="K36" s="221"/>
      <c r="L36" s="224"/>
      <c r="M36" s="225"/>
      <c r="N36" s="224"/>
      <c r="O36" s="226"/>
      <c r="P36" s="100"/>
      <c r="Q36" s="235"/>
      <c r="R36" s="228"/>
      <c r="S36" s="467"/>
      <c r="T36" s="375"/>
      <c r="U36" s="266"/>
      <c r="V36" s="266"/>
      <c r="W36" s="267"/>
      <c r="X36" s="268"/>
    </row>
    <row r="37" spans="1:24" s="229" customFormat="1" ht="15" customHeight="1" x14ac:dyDescent="0.15">
      <c r="A37" s="567" t="s">
        <v>919</v>
      </c>
      <c r="B37" s="568"/>
      <c r="C37" s="568"/>
      <c r="D37" s="568"/>
      <c r="E37" s="568"/>
      <c r="F37" s="568"/>
      <c r="G37" s="568"/>
      <c r="H37" s="568"/>
      <c r="I37" s="568"/>
      <c r="J37" s="568"/>
      <c r="K37" s="569"/>
      <c r="L37" s="224">
        <f>SUMIF($P$17:$P$36,A37,$L$17:$L$36)</f>
        <v>53.019760079999998</v>
      </c>
      <c r="M37" s="353"/>
      <c r="N37" s="224"/>
      <c r="O37" s="354"/>
      <c r="P37" s="360"/>
      <c r="Q37" s="296"/>
      <c r="R37" s="228"/>
      <c r="S37" s="467"/>
      <c r="T37" s="375"/>
      <c r="U37" s="266"/>
      <c r="V37" s="266"/>
      <c r="W37" s="267"/>
      <c r="X37" s="268"/>
    </row>
    <row r="38" spans="1:24" s="229" customFormat="1" ht="15" customHeight="1" x14ac:dyDescent="0.15">
      <c r="A38" s="567" t="s">
        <v>920</v>
      </c>
      <c r="B38" s="568"/>
      <c r="C38" s="568"/>
      <c r="D38" s="568"/>
      <c r="E38" s="568"/>
      <c r="F38" s="568"/>
      <c r="G38" s="568"/>
      <c r="H38" s="568"/>
      <c r="I38" s="568"/>
      <c r="J38" s="568"/>
      <c r="K38" s="569"/>
      <c r="L38" s="224">
        <f t="shared" ref="L38:L39" si="11">SUMIF($P$17:$P$36,A38,$L$17:$L$36)</f>
        <v>3.9477670599999999</v>
      </c>
      <c r="M38" s="353"/>
      <c r="N38" s="224"/>
      <c r="O38" s="354"/>
      <c r="P38" s="360"/>
      <c r="Q38" s="296"/>
      <c r="R38" s="228"/>
      <c r="S38" s="467"/>
      <c r="T38" s="375"/>
      <c r="U38" s="266"/>
      <c r="V38" s="266"/>
      <c r="W38" s="267"/>
      <c r="X38" s="268"/>
    </row>
    <row r="39" spans="1:24" s="229" customFormat="1" ht="15" customHeight="1" x14ac:dyDescent="0.15">
      <c r="A39" s="567" t="s">
        <v>921</v>
      </c>
      <c r="B39" s="568"/>
      <c r="C39" s="568"/>
      <c r="D39" s="568"/>
      <c r="E39" s="568"/>
      <c r="F39" s="568"/>
      <c r="G39" s="568"/>
      <c r="H39" s="568"/>
      <c r="I39" s="568"/>
      <c r="J39" s="568"/>
      <c r="K39" s="569"/>
      <c r="L39" s="224">
        <f t="shared" si="11"/>
        <v>0</v>
      </c>
      <c r="M39" s="353"/>
      <c r="N39" s="224"/>
      <c r="O39" s="354"/>
      <c r="P39" s="360"/>
      <c r="Q39" s="296"/>
      <c r="R39" s="228"/>
      <c r="S39" s="467"/>
      <c r="T39" s="375"/>
      <c r="U39" s="266"/>
      <c r="V39" s="266"/>
      <c r="W39" s="267"/>
      <c r="X39" s="268"/>
    </row>
    <row r="40" spans="1:24" x14ac:dyDescent="0.15">
      <c r="A40" s="61"/>
      <c r="B40" s="552"/>
      <c r="C40" s="557"/>
      <c r="D40" s="553"/>
      <c r="E40" s="552" t="s">
        <v>48</v>
      </c>
      <c r="F40" s="557"/>
      <c r="G40" s="557"/>
      <c r="H40" s="557"/>
      <c r="I40" s="557"/>
      <c r="J40" s="557"/>
      <c r="K40" s="553"/>
      <c r="L40" s="62">
        <f>SUM(L37:L39)</f>
        <v>56.967527139999994</v>
      </c>
      <c r="M40" s="63"/>
      <c r="N40" s="62">
        <f>SUM(N17:N36)</f>
        <v>0</v>
      </c>
      <c r="O40" s="63"/>
      <c r="P40" s="337"/>
      <c r="Q40" s="64"/>
      <c r="R40" s="64"/>
      <c r="S40" s="460"/>
      <c r="W40" s="264"/>
      <c r="X40" s="265"/>
    </row>
    <row r="41" spans="1:24" ht="24" x14ac:dyDescent="0.15">
      <c r="A41" s="65"/>
      <c r="B41" s="560" t="s">
        <v>49</v>
      </c>
      <c r="C41" s="561"/>
      <c r="D41" s="562"/>
      <c r="E41" s="565" t="s">
        <v>26</v>
      </c>
      <c r="F41" s="566"/>
      <c r="G41" s="66" t="s">
        <v>1150</v>
      </c>
      <c r="H41" s="351" t="s">
        <v>1151</v>
      </c>
      <c r="I41" s="66" t="s">
        <v>50</v>
      </c>
      <c r="J41" s="66" t="s">
        <v>51</v>
      </c>
      <c r="K41" s="67" t="s">
        <v>30</v>
      </c>
      <c r="L41" s="66" t="s">
        <v>52</v>
      </c>
      <c r="M41" s="68" t="s">
        <v>53</v>
      </c>
      <c r="N41" s="68" t="s">
        <v>34</v>
      </c>
      <c r="O41" s="69" t="s">
        <v>35</v>
      </c>
      <c r="P41" s="42"/>
      <c r="Q41" s="67"/>
      <c r="R41" s="67"/>
      <c r="S41" s="461"/>
      <c r="U41" s="270" t="s">
        <v>352</v>
      </c>
      <c r="V41" s="270" t="s">
        <v>353</v>
      </c>
      <c r="W41" s="271" t="s">
        <v>352</v>
      </c>
      <c r="X41" s="272" t="s">
        <v>353</v>
      </c>
    </row>
    <row r="42" spans="1:24" ht="18" customHeight="1" x14ac:dyDescent="0.15">
      <c r="A42" s="200">
        <v>1</v>
      </c>
      <c r="B42" s="545" t="s">
        <v>823</v>
      </c>
      <c r="C42" s="546"/>
      <c r="D42" s="547"/>
      <c r="E42" s="545" t="s">
        <v>55</v>
      </c>
      <c r="F42" s="547"/>
      <c r="G42" s="45" t="s">
        <v>1152</v>
      </c>
      <c r="H42" s="207" t="s">
        <v>1153</v>
      </c>
      <c r="I42" s="46">
        <f>IF(F2=128,L9-U42,IF(F2=120,L9-W42))</f>
        <v>1048.8499999999999</v>
      </c>
      <c r="J42" s="70">
        <f>IF(F2=128,L6-V42,IF(F2=120,L6-X42))</f>
        <v>2051.89</v>
      </c>
      <c r="K42" s="70">
        <v>1</v>
      </c>
      <c r="L42" s="46">
        <f>I42*J42*K42/1000000</f>
        <v>2.1521248264999997</v>
      </c>
      <c r="M42" s="46"/>
      <c r="N42" s="46">
        <f>M42*L42</f>
        <v>0</v>
      </c>
      <c r="O42" s="71"/>
      <c r="P42" s="71"/>
      <c r="Q42" s="72"/>
      <c r="R42" s="72"/>
      <c r="S42" s="462" t="s">
        <v>1610</v>
      </c>
      <c r="T42" s="374" t="s">
        <v>1611</v>
      </c>
      <c r="U42" s="259">
        <f>117+68.3/2</f>
        <v>151.15</v>
      </c>
      <c r="V42" s="259">
        <f>127+121.11</f>
        <v>248.11</v>
      </c>
      <c r="W42" s="264">
        <f>116+71.4/2</f>
        <v>151.69999999999999</v>
      </c>
      <c r="X42" s="265">
        <f>129.5*2</f>
        <v>259</v>
      </c>
    </row>
    <row r="43" spans="1:24" x14ac:dyDescent="0.15">
      <c r="A43" s="200">
        <v>2</v>
      </c>
      <c r="B43" s="545" t="s">
        <v>824</v>
      </c>
      <c r="C43" s="546"/>
      <c r="D43" s="547"/>
      <c r="E43" s="545" t="s">
        <v>135</v>
      </c>
      <c r="F43" s="547"/>
      <c r="G43" s="45" t="s">
        <v>1152</v>
      </c>
      <c r="H43" s="207" t="s">
        <v>1153</v>
      </c>
      <c r="I43" s="45">
        <f>IF(F2=128,L9-U43,IF(F2=120,L9-W43))</f>
        <v>1048.8499999999999</v>
      </c>
      <c r="J43" s="45">
        <f>IF(F2=128,L6-V43,IF(F2=120,L6-X43))</f>
        <v>2051.89</v>
      </c>
      <c r="K43" s="70">
        <v>1</v>
      </c>
      <c r="L43" s="46">
        <f>I43*J43*K43/1000000</f>
        <v>2.1521248264999997</v>
      </c>
      <c r="M43" s="46"/>
      <c r="N43" s="46">
        <f>M43*L43</f>
        <v>0</v>
      </c>
      <c r="O43" s="71"/>
      <c r="P43" s="71"/>
      <c r="Q43" s="72"/>
      <c r="R43" s="72"/>
      <c r="S43" s="462" t="s">
        <v>1610</v>
      </c>
      <c r="T43" s="374" t="s">
        <v>1611</v>
      </c>
      <c r="U43" s="259">
        <f>117+68.3/2</f>
        <v>151.15</v>
      </c>
      <c r="V43" s="259">
        <f>127+121.11</f>
        <v>248.11</v>
      </c>
      <c r="W43" s="264">
        <f>116+71.4/2</f>
        <v>151.69999999999999</v>
      </c>
      <c r="X43" s="265">
        <f>129.5*2</f>
        <v>259</v>
      </c>
    </row>
    <row r="44" spans="1:24" x14ac:dyDescent="0.15">
      <c r="A44" s="200"/>
      <c r="B44" s="545"/>
      <c r="C44" s="546"/>
      <c r="D44" s="547"/>
      <c r="E44" s="545"/>
      <c r="F44" s="547"/>
      <c r="G44" s="45"/>
      <c r="H44" s="207"/>
      <c r="I44" s="46"/>
      <c r="J44" s="200"/>
      <c r="K44" s="70"/>
      <c r="L44" s="46"/>
      <c r="M44" s="46"/>
      <c r="N44" s="46"/>
      <c r="O44" s="48"/>
      <c r="P44" s="48"/>
      <c r="Q44" s="73"/>
      <c r="R44" s="73"/>
      <c r="S44" s="463"/>
      <c r="W44" s="264"/>
      <c r="X44" s="265"/>
    </row>
    <row r="45" spans="1:24" x14ac:dyDescent="0.15">
      <c r="A45" s="74"/>
      <c r="B45" s="552"/>
      <c r="C45" s="557"/>
      <c r="D45" s="553"/>
      <c r="E45" s="554" t="s">
        <v>56</v>
      </c>
      <c r="F45" s="554"/>
      <c r="G45" s="554"/>
      <c r="H45" s="579"/>
      <c r="I45" s="570"/>
      <c r="J45" s="570"/>
      <c r="K45" s="554"/>
      <c r="L45" s="62">
        <f>SUM(L42:L44)</f>
        <v>4.3042496529999994</v>
      </c>
      <c r="M45" s="197"/>
      <c r="N45" s="62">
        <f>SUM(N42:N44)</f>
        <v>0</v>
      </c>
      <c r="O45" s="63" t="s">
        <v>57</v>
      </c>
      <c r="P45" s="337"/>
      <c r="Q45" s="64"/>
      <c r="R45" s="64"/>
      <c r="S45" s="460"/>
    </row>
    <row r="46" spans="1:24" ht="24" x14ac:dyDescent="0.15">
      <c r="A46" s="65"/>
      <c r="B46" s="560" t="s">
        <v>58</v>
      </c>
      <c r="C46" s="561"/>
      <c r="D46" s="562"/>
      <c r="E46" s="565" t="s">
        <v>26</v>
      </c>
      <c r="F46" s="566"/>
      <c r="G46" s="66" t="s">
        <v>59</v>
      </c>
      <c r="H46" s="351"/>
      <c r="I46" s="66" t="s">
        <v>60</v>
      </c>
      <c r="J46" s="66" t="s">
        <v>6</v>
      </c>
      <c r="K46" s="67" t="s">
        <v>61</v>
      </c>
      <c r="L46" s="66" t="s">
        <v>30</v>
      </c>
      <c r="M46" s="68" t="s">
        <v>62</v>
      </c>
      <c r="N46" s="68" t="s">
        <v>34</v>
      </c>
      <c r="O46" s="69" t="s">
        <v>57</v>
      </c>
      <c r="P46" s="42"/>
      <c r="Q46" s="67"/>
      <c r="R46" s="67"/>
      <c r="S46" s="461"/>
    </row>
    <row r="47" spans="1:24" ht="25.5" customHeight="1" x14ac:dyDescent="0.15">
      <c r="A47" s="200">
        <v>1</v>
      </c>
      <c r="B47" s="545"/>
      <c r="C47" s="546"/>
      <c r="D47" s="547"/>
      <c r="E47" s="545" t="s">
        <v>831</v>
      </c>
      <c r="F47" s="547"/>
      <c r="G47" s="45"/>
      <c r="H47" s="207"/>
      <c r="I47" s="45"/>
      <c r="J47" s="46" t="str">
        <f>VLOOKUP($E:$E,材料单价表!$B$3:$G$42,4,0)</f>
        <v>套</v>
      </c>
      <c r="K47" s="72"/>
      <c r="L47" s="46">
        <v>1</v>
      </c>
      <c r="M47" s="46">
        <f>VLOOKUP($E:$E,材料单价表!$B$3:$G$42,5,0)</f>
        <v>0</v>
      </c>
      <c r="N47" s="46">
        <f t="shared" ref="N47" si="12">M47*L47</f>
        <v>0</v>
      </c>
      <c r="O47" s="48"/>
      <c r="P47" s="48"/>
      <c r="Q47" s="73"/>
      <c r="R47" s="73"/>
      <c r="S47" s="463"/>
    </row>
    <row r="48" spans="1:24" x14ac:dyDescent="0.15">
      <c r="A48" s="74"/>
      <c r="B48" s="552"/>
      <c r="C48" s="557"/>
      <c r="D48" s="553"/>
      <c r="E48" s="554" t="s">
        <v>64</v>
      </c>
      <c r="F48" s="554"/>
      <c r="G48" s="554"/>
      <c r="H48" s="579"/>
      <c r="I48" s="570"/>
      <c r="J48" s="570"/>
      <c r="K48" s="554"/>
      <c r="L48" s="62">
        <f>L47</f>
        <v>1</v>
      </c>
      <c r="M48" s="197"/>
      <c r="N48" s="62">
        <f>SUM(N47:N47)</f>
        <v>0</v>
      </c>
      <c r="O48" s="63" t="s">
        <v>57</v>
      </c>
      <c r="P48" s="337"/>
      <c r="Q48" s="64"/>
      <c r="R48" s="64"/>
      <c r="S48" s="460"/>
    </row>
    <row r="49" spans="1:22" ht="24" x14ac:dyDescent="0.15">
      <c r="A49" s="65"/>
      <c r="B49" s="560" t="s">
        <v>65</v>
      </c>
      <c r="C49" s="561"/>
      <c r="D49" s="562"/>
      <c r="E49" s="565" t="s">
        <v>26</v>
      </c>
      <c r="F49" s="566"/>
      <c r="G49" s="66" t="s">
        <v>59</v>
      </c>
      <c r="H49" s="351"/>
      <c r="I49" s="66" t="s">
        <v>60</v>
      </c>
      <c r="J49" s="66" t="s">
        <v>6</v>
      </c>
      <c r="K49" s="67" t="s">
        <v>61</v>
      </c>
      <c r="L49" s="66" t="s">
        <v>30</v>
      </c>
      <c r="M49" s="68" t="s">
        <v>62</v>
      </c>
      <c r="N49" s="68" t="s">
        <v>34</v>
      </c>
      <c r="O49" s="69" t="s">
        <v>57</v>
      </c>
      <c r="P49" s="42"/>
      <c r="Q49" s="67"/>
      <c r="R49" s="67"/>
      <c r="S49" s="461"/>
    </row>
    <row r="50" spans="1:22" ht="13.5" customHeight="1" x14ac:dyDescent="0.15">
      <c r="A50" s="76">
        <v>1</v>
      </c>
      <c r="B50" s="545"/>
      <c r="C50" s="546"/>
      <c r="D50" s="547"/>
      <c r="E50" s="558" t="s">
        <v>66</v>
      </c>
      <c r="F50" s="559"/>
      <c r="G50" s="78"/>
      <c r="H50" s="352"/>
      <c r="I50" s="77"/>
      <c r="J50" s="46" t="str">
        <f>VLOOKUP($E:$E,材料单价表!$B$3:$G$42,4,0)</f>
        <v>m</v>
      </c>
      <c r="K50" s="46"/>
      <c r="L50" s="80">
        <f>L15</f>
        <v>9.8000000000000007</v>
      </c>
      <c r="M50" s="46">
        <f>VLOOKUP($E:$E,材料单价表!$B$3:$G$42,5,0)</f>
        <v>0</v>
      </c>
      <c r="N50" s="46">
        <f>M50*L50</f>
        <v>0</v>
      </c>
      <c r="O50" s="48"/>
      <c r="P50" s="59"/>
      <c r="Q50" s="81"/>
      <c r="R50" s="79"/>
      <c r="S50" s="464"/>
    </row>
    <row r="51" spans="1:22" ht="15.75" customHeight="1" x14ac:dyDescent="0.15">
      <c r="A51" s="76">
        <v>2</v>
      </c>
      <c r="B51" s="545"/>
      <c r="C51" s="546"/>
      <c r="D51" s="547"/>
      <c r="E51" s="558" t="s">
        <v>68</v>
      </c>
      <c r="F51" s="559"/>
      <c r="G51" s="78" t="s">
        <v>67</v>
      </c>
      <c r="H51" s="352"/>
      <c r="I51" s="77"/>
      <c r="J51" s="46" t="str">
        <f>VLOOKUP($E:$E,材料单价表!$B$3:$G$42,4,0)</f>
        <v>m</v>
      </c>
      <c r="K51" s="46"/>
      <c r="L51" s="80">
        <f>(I21*J21+I22*J22+I23*J23+I24*J24+I25*J25)/1000*2</f>
        <v>26.277840000000005</v>
      </c>
      <c r="M51" s="46">
        <f>VLOOKUP($E:$E,材料单价表!$B$3:$G$42,5,0)</f>
        <v>0</v>
      </c>
      <c r="N51" s="46">
        <f t="shared" ref="N51:N56" si="13">M51*L51</f>
        <v>0</v>
      </c>
      <c r="O51" s="48"/>
      <c r="P51" s="59"/>
      <c r="Q51" s="81"/>
      <c r="R51" s="79"/>
      <c r="S51" s="464"/>
      <c r="U51" s="104"/>
      <c r="V51" s="104"/>
    </row>
    <row r="52" spans="1:22" ht="13.5" customHeight="1" x14ac:dyDescent="0.15">
      <c r="A52" s="76">
        <v>3</v>
      </c>
      <c r="B52" s="545"/>
      <c r="C52" s="546"/>
      <c r="D52" s="547"/>
      <c r="E52" s="558" t="s">
        <v>68</v>
      </c>
      <c r="F52" s="559"/>
      <c r="G52" s="78" t="s">
        <v>69</v>
      </c>
      <c r="H52" s="352"/>
      <c r="I52" s="77"/>
      <c r="J52" s="46" t="str">
        <f>VLOOKUP($E:$E,材料单价表!$B$3:$G$42,4,0)</f>
        <v>m</v>
      </c>
      <c r="K52" s="46"/>
      <c r="L52" s="80">
        <f>L15</f>
        <v>9.8000000000000007</v>
      </c>
      <c r="M52" s="46">
        <f>VLOOKUP($E:$E,材料单价表!$B$3:$G$42,5,0)</f>
        <v>0</v>
      </c>
      <c r="N52" s="46">
        <f t="shared" si="13"/>
        <v>0</v>
      </c>
      <c r="O52" s="48"/>
      <c r="P52" s="59"/>
      <c r="Q52" s="81"/>
      <c r="R52" s="79"/>
      <c r="S52" s="464"/>
      <c r="U52" s="104"/>
      <c r="V52" s="104"/>
    </row>
    <row r="53" spans="1:22" ht="13.5" customHeight="1" x14ac:dyDescent="0.15">
      <c r="A53" s="76">
        <v>4</v>
      </c>
      <c r="B53" s="545"/>
      <c r="C53" s="546"/>
      <c r="D53" s="547"/>
      <c r="E53" s="558" t="s">
        <v>68</v>
      </c>
      <c r="F53" s="559"/>
      <c r="G53" s="78" t="s">
        <v>70</v>
      </c>
      <c r="H53" s="352"/>
      <c r="I53" s="77"/>
      <c r="J53" s="46" t="str">
        <f>VLOOKUP($E:$E,材料单价表!$B$3:$G$42,4,0)</f>
        <v>m</v>
      </c>
      <c r="K53" s="46"/>
      <c r="L53" s="80">
        <f>L15</f>
        <v>9.8000000000000007</v>
      </c>
      <c r="M53" s="46">
        <f>VLOOKUP($E:$E,材料单价表!$B$3:$G$42,5,0)</f>
        <v>0</v>
      </c>
      <c r="N53" s="46">
        <f t="shared" si="13"/>
        <v>0</v>
      </c>
      <c r="O53" s="48"/>
      <c r="P53" s="59"/>
      <c r="Q53" s="81"/>
      <c r="R53" s="79"/>
      <c r="S53" s="464"/>
      <c r="U53" s="104"/>
      <c r="V53" s="104"/>
    </row>
    <row r="54" spans="1:22" ht="13.5" customHeight="1" x14ac:dyDescent="0.15">
      <c r="A54" s="76">
        <v>5</v>
      </c>
      <c r="B54" s="545"/>
      <c r="C54" s="546"/>
      <c r="D54" s="547"/>
      <c r="E54" s="558" t="s">
        <v>71</v>
      </c>
      <c r="F54" s="559"/>
      <c r="G54" s="78"/>
      <c r="H54" s="352"/>
      <c r="I54" s="77"/>
      <c r="J54" s="46" t="str">
        <f>VLOOKUP($E:$E,材料单价表!$B$3:$G$42,4,0)</f>
        <v>个</v>
      </c>
      <c r="K54" s="79"/>
      <c r="L54" s="80">
        <f>J34+J35</f>
        <v>0</v>
      </c>
      <c r="M54" s="46">
        <f>VLOOKUP($E:$E,材料单价表!$B$3:$G$42,5,0)</f>
        <v>0</v>
      </c>
      <c r="N54" s="46">
        <f t="shared" si="13"/>
        <v>0</v>
      </c>
      <c r="O54" s="48"/>
      <c r="P54" s="59"/>
      <c r="Q54" s="81"/>
      <c r="R54" s="79"/>
      <c r="S54" s="464"/>
    </row>
    <row r="55" spans="1:22" ht="13.5" customHeight="1" x14ac:dyDescent="0.15">
      <c r="A55" s="76">
        <v>6</v>
      </c>
      <c r="B55" s="545"/>
      <c r="C55" s="546"/>
      <c r="D55" s="547"/>
      <c r="E55" s="558" t="s">
        <v>833</v>
      </c>
      <c r="F55" s="559"/>
      <c r="G55" s="78"/>
      <c r="H55" s="352"/>
      <c r="I55" s="77"/>
      <c r="J55" s="46" t="str">
        <f>VLOOKUP($E:$E,材料单价表!$B$3:$G$42,4,0)</f>
        <v>m</v>
      </c>
      <c r="K55" s="79"/>
      <c r="L55" s="80">
        <f>(I21*J21+I23*J23+I24*J24+I25*J25)/1000*2*(18.71/1000*1.27)</f>
        <v>0.413793847544</v>
      </c>
      <c r="M55" s="46">
        <f>VLOOKUP($E:$E,材料单价表!$B$3:$G$42,5,0)</f>
        <v>0</v>
      </c>
      <c r="N55" s="46">
        <f t="shared" si="13"/>
        <v>0</v>
      </c>
      <c r="O55" s="48"/>
      <c r="P55" s="59"/>
      <c r="Q55" s="81"/>
      <c r="R55" s="46"/>
      <c r="S55" s="465"/>
    </row>
    <row r="56" spans="1:22" x14ac:dyDescent="0.15">
      <c r="A56" s="76">
        <v>7</v>
      </c>
      <c r="B56" s="545"/>
      <c r="C56" s="546"/>
      <c r="D56" s="547"/>
      <c r="E56" s="558" t="s">
        <v>72</v>
      </c>
      <c r="F56" s="559"/>
      <c r="G56" s="45"/>
      <c r="H56" s="207"/>
      <c r="I56" s="45"/>
      <c r="J56" s="46" t="str">
        <f>VLOOKUP($E:$E,材料单价表!$B$3:$G$42,4,0)</f>
        <v>m2</v>
      </c>
      <c r="K56" s="72"/>
      <c r="L56" s="46">
        <f>L62</f>
        <v>6</v>
      </c>
      <c r="M56" s="46">
        <f>VLOOKUP($E:$E,材料单价表!$B$3:$G$42,5,0)</f>
        <v>0</v>
      </c>
      <c r="N56" s="46">
        <f t="shared" si="13"/>
        <v>0</v>
      </c>
      <c r="O56" s="48"/>
      <c r="P56" s="48"/>
      <c r="Q56" s="73"/>
      <c r="R56" s="73"/>
      <c r="S56" s="463"/>
    </row>
    <row r="57" spans="1:22" x14ac:dyDescent="0.15">
      <c r="A57" s="76">
        <v>8</v>
      </c>
      <c r="B57" s="545"/>
      <c r="C57" s="546"/>
      <c r="D57" s="547"/>
      <c r="E57" s="198"/>
      <c r="F57" s="199"/>
      <c r="G57" s="207"/>
      <c r="H57" s="207"/>
      <c r="I57" s="207"/>
      <c r="J57" s="208"/>
      <c r="K57" s="209"/>
      <c r="L57" s="208"/>
      <c r="M57" s="208"/>
      <c r="N57" s="208"/>
      <c r="O57" s="211"/>
      <c r="P57" s="48"/>
      <c r="Q57" s="212"/>
      <c r="R57" s="212"/>
      <c r="S57" s="463"/>
    </row>
    <row r="58" spans="1:22" x14ac:dyDescent="0.15">
      <c r="A58" s="76">
        <v>9</v>
      </c>
      <c r="B58" s="545"/>
      <c r="C58" s="546"/>
      <c r="D58" s="547"/>
      <c r="E58" s="558"/>
      <c r="F58" s="559"/>
      <c r="G58" s="45"/>
      <c r="H58" s="207"/>
      <c r="I58" s="45"/>
      <c r="J58" s="45"/>
      <c r="K58" s="72"/>
      <c r="L58" s="46"/>
      <c r="M58" s="46"/>
      <c r="N58" s="82"/>
      <c r="O58" s="48"/>
      <c r="P58" s="48"/>
      <c r="Q58" s="73"/>
      <c r="R58" s="73"/>
      <c r="S58" s="463"/>
    </row>
    <row r="59" spans="1:22" x14ac:dyDescent="0.15">
      <c r="A59" s="74"/>
      <c r="B59" s="552"/>
      <c r="C59" s="557"/>
      <c r="D59" s="553"/>
      <c r="E59" s="552" t="s">
        <v>73</v>
      </c>
      <c r="F59" s="557"/>
      <c r="G59" s="557"/>
      <c r="H59" s="557"/>
      <c r="I59" s="557"/>
      <c r="J59" s="557"/>
      <c r="K59" s="557"/>
      <c r="L59" s="61"/>
      <c r="M59" s="61"/>
      <c r="N59" s="62">
        <f>SUM(N50:N58)</f>
        <v>0</v>
      </c>
      <c r="O59" s="63" t="s">
        <v>57</v>
      </c>
      <c r="P59" s="337"/>
      <c r="Q59" s="64"/>
      <c r="R59" s="64"/>
      <c r="S59" s="460"/>
    </row>
    <row r="60" spans="1:22" x14ac:dyDescent="0.15">
      <c r="A60" s="74"/>
      <c r="B60" s="552"/>
      <c r="C60" s="557"/>
      <c r="D60" s="553"/>
      <c r="E60" s="552" t="s">
        <v>74</v>
      </c>
      <c r="F60" s="557"/>
      <c r="G60" s="557"/>
      <c r="H60" s="557"/>
      <c r="I60" s="557"/>
      <c r="J60" s="557"/>
      <c r="K60" s="557"/>
      <c r="L60" s="557"/>
      <c r="M60" s="553"/>
      <c r="N60" s="62">
        <f>N59+N48+N45+N40</f>
        <v>0</v>
      </c>
      <c r="O60" s="63" t="s">
        <v>57</v>
      </c>
      <c r="P60" s="337"/>
      <c r="Q60" s="64"/>
      <c r="R60" s="64"/>
      <c r="S60" s="460"/>
    </row>
    <row r="61" spans="1:22" ht="24" x14ac:dyDescent="0.15">
      <c r="A61" s="65"/>
      <c r="B61" s="560" t="s">
        <v>75</v>
      </c>
      <c r="C61" s="561"/>
      <c r="D61" s="562"/>
      <c r="E61" s="565" t="s">
        <v>26</v>
      </c>
      <c r="F61" s="566"/>
      <c r="G61" s="66"/>
      <c r="H61" s="351"/>
      <c r="I61" s="66"/>
      <c r="J61" s="66" t="s">
        <v>6</v>
      </c>
      <c r="K61" s="83" t="s">
        <v>61</v>
      </c>
      <c r="L61" s="66" t="s">
        <v>76</v>
      </c>
      <c r="M61" s="68" t="s">
        <v>62</v>
      </c>
      <c r="N61" s="68" t="s">
        <v>34</v>
      </c>
      <c r="O61" s="84" t="s">
        <v>57</v>
      </c>
      <c r="P61" s="84"/>
      <c r="Q61" s="67"/>
      <c r="R61" s="67"/>
      <c r="S61" s="461"/>
    </row>
    <row r="62" spans="1:22" x14ac:dyDescent="0.15">
      <c r="A62" s="200">
        <v>1</v>
      </c>
      <c r="B62" s="545"/>
      <c r="C62" s="546"/>
      <c r="D62" s="547"/>
      <c r="E62" s="545" t="s">
        <v>77</v>
      </c>
      <c r="F62" s="547"/>
      <c r="G62" s="45"/>
      <c r="H62" s="207"/>
      <c r="I62" s="46"/>
      <c r="J62" s="45" t="s">
        <v>78</v>
      </c>
      <c r="K62" s="72"/>
      <c r="L62" s="85">
        <f>N2</f>
        <v>6</v>
      </c>
      <c r="M62" s="46">
        <f>VLOOKUP($E:$E,材料单价表!$B$3:$G$42,5,0)</f>
        <v>0</v>
      </c>
      <c r="N62" s="46">
        <f>M62*L62</f>
        <v>0</v>
      </c>
      <c r="O62" s="48"/>
      <c r="P62" s="48"/>
      <c r="Q62" s="72"/>
      <c r="R62" s="72"/>
      <c r="S62" s="462"/>
    </row>
    <row r="63" spans="1:22" x14ac:dyDescent="0.15">
      <c r="A63" s="200">
        <v>2</v>
      </c>
      <c r="B63" s="545"/>
      <c r="C63" s="546"/>
      <c r="D63" s="547"/>
      <c r="E63" s="545" t="s">
        <v>79</v>
      </c>
      <c r="F63" s="547"/>
      <c r="G63" s="45"/>
      <c r="H63" s="207"/>
      <c r="I63" s="46"/>
      <c r="J63" s="45" t="s">
        <v>78</v>
      </c>
      <c r="K63" s="72"/>
      <c r="L63" s="85">
        <f>L62</f>
        <v>6</v>
      </c>
      <c r="M63" s="46">
        <f>VLOOKUP($E:$E,材料单价表!$B$3:$G$42,5,0)</f>
        <v>0</v>
      </c>
      <c r="N63" s="46">
        <f>M63*L63</f>
        <v>0</v>
      </c>
      <c r="O63" s="48"/>
      <c r="P63" s="48"/>
      <c r="Q63" s="72"/>
      <c r="R63" s="72"/>
      <c r="S63" s="462"/>
    </row>
    <row r="64" spans="1:22" ht="24.75" customHeight="1" x14ac:dyDescent="0.15">
      <c r="A64" s="74"/>
      <c r="B64" s="552"/>
      <c r="C64" s="557"/>
      <c r="D64" s="553"/>
      <c r="E64" s="552" t="s">
        <v>80</v>
      </c>
      <c r="F64" s="553"/>
      <c r="G64" s="194"/>
      <c r="H64" s="348"/>
      <c r="I64" s="554" t="s">
        <v>81</v>
      </c>
      <c r="J64" s="554"/>
      <c r="K64" s="554"/>
      <c r="L64" s="554"/>
      <c r="M64" s="87"/>
      <c r="N64" s="62">
        <f>N60+N62+N63</f>
        <v>0</v>
      </c>
      <c r="O64" s="63" t="s">
        <v>57</v>
      </c>
      <c r="P64" s="337"/>
      <c r="Q64" s="64"/>
      <c r="R64" s="64"/>
      <c r="S64" s="460"/>
    </row>
    <row r="65" spans="1:19" ht="24" customHeight="1" x14ac:dyDescent="0.15">
      <c r="A65" s="74"/>
      <c r="B65" s="552"/>
      <c r="C65" s="557"/>
      <c r="D65" s="553"/>
      <c r="E65" s="555" t="s">
        <v>82</v>
      </c>
      <c r="F65" s="556"/>
      <c r="G65" s="193"/>
      <c r="H65" s="349"/>
      <c r="I65" s="552" t="s">
        <v>81</v>
      </c>
      <c r="J65" s="557"/>
      <c r="K65" s="557"/>
      <c r="L65" s="557"/>
      <c r="M65" s="62"/>
      <c r="N65" s="62">
        <f>N64/N2</f>
        <v>0</v>
      </c>
      <c r="O65" s="89" t="s">
        <v>57</v>
      </c>
      <c r="P65" s="89"/>
      <c r="Q65" s="90"/>
      <c r="R65" s="90"/>
      <c r="S65" s="466"/>
    </row>
    <row r="66" spans="1:19" ht="18.75" customHeight="1" x14ac:dyDescent="0.15">
      <c r="A66" s="549" t="s">
        <v>0</v>
      </c>
      <c r="B66" s="549"/>
      <c r="C66" s="549"/>
      <c r="D66" s="549"/>
      <c r="E66" s="549"/>
      <c r="F66" s="549"/>
      <c r="G66" s="549"/>
      <c r="H66" s="549"/>
      <c r="I66" s="549"/>
      <c r="J66" s="549"/>
      <c r="K66" s="550"/>
      <c r="L66" s="549"/>
      <c r="M66" s="549"/>
      <c r="N66" s="549"/>
      <c r="O66" s="549"/>
      <c r="P66" s="549"/>
      <c r="Q66" s="551"/>
      <c r="R66" s="551"/>
      <c r="S66" s="415"/>
    </row>
    <row r="67" spans="1:19" ht="15" customHeight="1" x14ac:dyDescent="0.15">
      <c r="A67" s="2" t="s">
        <v>1</v>
      </c>
      <c r="B67" s="339" t="str">
        <f>$B$2</f>
        <v>TLM</v>
      </c>
      <c r="C67" s="3">
        <v>3</v>
      </c>
      <c r="D67" s="3"/>
      <c r="E67" s="4" t="s">
        <v>2</v>
      </c>
      <c r="F67" s="5">
        <v>128</v>
      </c>
      <c r="G67" s="106" t="s">
        <v>86</v>
      </c>
      <c r="H67" s="106"/>
      <c r="I67" s="4" t="s">
        <v>3</v>
      </c>
      <c r="J67" s="6">
        <f>K70</f>
        <v>2800</v>
      </c>
      <c r="K67" s="7" t="s">
        <v>83</v>
      </c>
      <c r="L67" s="6">
        <f>K69</f>
        <v>2400</v>
      </c>
      <c r="M67" s="8" t="s">
        <v>4</v>
      </c>
      <c r="N67" s="9">
        <f>L79</f>
        <v>6.72</v>
      </c>
      <c r="O67" s="10"/>
      <c r="P67" s="10"/>
      <c r="Q67" s="10" t="s">
        <v>5</v>
      </c>
      <c r="R67" s="11"/>
      <c r="S67" s="457"/>
    </row>
    <row r="68" spans="1:19" ht="15" customHeight="1" x14ac:dyDescent="0.2">
      <c r="A68" s="12"/>
      <c r="B68" s="13"/>
      <c r="C68" s="13"/>
      <c r="D68" s="13"/>
      <c r="E68" s="14"/>
      <c r="F68" s="14"/>
      <c r="G68" s="15"/>
      <c r="H68" s="15"/>
      <c r="I68" s="16"/>
      <c r="J68" s="16" t="s">
        <v>6</v>
      </c>
      <c r="K68" s="17" t="s">
        <v>7</v>
      </c>
      <c r="L68" s="16" t="s">
        <v>8</v>
      </c>
      <c r="M68" s="18"/>
      <c r="N68" s="548" t="s">
        <v>1087</v>
      </c>
      <c r="O68" s="548"/>
      <c r="P68" s="16" t="s">
        <v>1018</v>
      </c>
      <c r="Q68" s="19"/>
      <c r="R68" s="20"/>
      <c r="S68" s="27"/>
    </row>
    <row r="69" spans="1:19" ht="15" customHeight="1" x14ac:dyDescent="0.2">
      <c r="A69" s="398" t="s">
        <v>918</v>
      </c>
      <c r="B69" s="406" t="s">
        <v>963</v>
      </c>
      <c r="C69" s="397"/>
      <c r="D69"/>
      <c r="E69" s="23"/>
      <c r="F69" s="23"/>
      <c r="G69" s="107"/>
      <c r="H69" s="107"/>
      <c r="I69" s="24" t="s">
        <v>9</v>
      </c>
      <c r="J69" s="16" t="s">
        <v>10</v>
      </c>
      <c r="K69" s="25">
        <v>2400</v>
      </c>
      <c r="L69" s="113">
        <f>K69-L78*2</f>
        <v>2300</v>
      </c>
      <c r="M69" s="18"/>
      <c r="N69" s="356" t="s">
        <v>1088</v>
      </c>
      <c r="O69" s="357"/>
      <c r="P69" s="16" t="s">
        <v>1019</v>
      </c>
      <c r="Q69" s="27"/>
      <c r="R69" s="28"/>
      <c r="S69" s="27"/>
    </row>
    <row r="70" spans="1:19" ht="15" customHeight="1" x14ac:dyDescent="0.2">
      <c r="A70" s="21"/>
      <c r="B70" s="22"/>
      <c r="C70" s="22"/>
      <c r="D70" s="22"/>
      <c r="E70" s="23"/>
      <c r="F70" s="23"/>
      <c r="G70" s="18"/>
      <c r="H70" s="18"/>
      <c r="I70" s="24" t="s">
        <v>11</v>
      </c>
      <c r="J70" s="16" t="s">
        <v>10</v>
      </c>
      <c r="K70" s="25">
        <v>2800</v>
      </c>
      <c r="L70" s="113">
        <f>K70-L78*2</f>
        <v>2700</v>
      </c>
      <c r="M70" s="18"/>
      <c r="N70" s="356" t="s">
        <v>1089</v>
      </c>
      <c r="O70" s="357"/>
      <c r="P70" s="16" t="s">
        <v>1022</v>
      </c>
      <c r="Q70" s="27"/>
      <c r="R70" s="28"/>
      <c r="S70" s="27"/>
    </row>
    <row r="71" spans="1:19" ht="15" customHeight="1" x14ac:dyDescent="0.2">
      <c r="A71" s="21"/>
      <c r="B71" s="22"/>
      <c r="C71" s="22"/>
      <c r="D71" s="22"/>
      <c r="E71" s="23"/>
      <c r="F71" s="23"/>
      <c r="G71" s="18"/>
      <c r="H71" s="18"/>
      <c r="I71" s="24" t="s">
        <v>12</v>
      </c>
      <c r="J71" s="16" t="s">
        <v>10</v>
      </c>
      <c r="K71" s="26"/>
      <c r="L71" s="113">
        <f>L69</f>
        <v>2300</v>
      </c>
      <c r="M71" s="18"/>
      <c r="N71" s="356" t="s">
        <v>924</v>
      </c>
      <c r="O71" s="357"/>
      <c r="P71" s="16" t="s">
        <v>1020</v>
      </c>
      <c r="Q71" s="27"/>
      <c r="R71" s="28"/>
      <c r="S71" s="27"/>
    </row>
    <row r="72" spans="1:19" ht="15" customHeight="1" x14ac:dyDescent="0.2">
      <c r="A72" s="21"/>
      <c r="B72" s="22"/>
      <c r="C72" s="22"/>
      <c r="D72" s="22"/>
      <c r="E72" s="23"/>
      <c r="F72" s="23"/>
      <c r="G72" s="18"/>
      <c r="H72" s="18"/>
      <c r="I72" s="24" t="s">
        <v>13</v>
      </c>
      <c r="J72" s="16" t="s">
        <v>10</v>
      </c>
      <c r="K72" s="26"/>
      <c r="L72" s="113"/>
      <c r="M72" s="18"/>
      <c r="N72" s="356" t="s">
        <v>925</v>
      </c>
      <c r="O72" s="357"/>
      <c r="P72" s="16" t="s">
        <v>1021</v>
      </c>
      <c r="Q72" s="27"/>
      <c r="R72" s="28"/>
      <c r="S72" s="27"/>
    </row>
    <row r="73" spans="1:19" ht="15" customHeight="1" x14ac:dyDescent="0.2">
      <c r="A73" s="21"/>
      <c r="B73" s="22"/>
      <c r="C73" s="22"/>
      <c r="D73" s="22"/>
      <c r="E73" s="23"/>
      <c r="F73" s="23"/>
      <c r="G73" s="18"/>
      <c r="H73" s="18"/>
      <c r="I73" s="24" t="s">
        <v>14</v>
      </c>
      <c r="J73" s="16" t="s">
        <v>10</v>
      </c>
      <c r="K73" s="26"/>
      <c r="L73" s="113"/>
      <c r="M73" s="18"/>
      <c r="N73" s="356"/>
      <c r="O73" s="357"/>
      <c r="P73" s="16"/>
      <c r="Q73" s="27"/>
      <c r="R73" s="28"/>
      <c r="S73" s="27"/>
    </row>
    <row r="74" spans="1:19" ht="15" customHeight="1" x14ac:dyDescent="0.2">
      <c r="A74" s="21"/>
      <c r="B74" s="22"/>
      <c r="C74" s="22"/>
      <c r="D74" s="22"/>
      <c r="E74" s="23"/>
      <c r="F74" s="23"/>
      <c r="G74" s="18"/>
      <c r="H74" s="18"/>
      <c r="I74" s="24" t="s">
        <v>15</v>
      </c>
      <c r="J74" s="16" t="s">
        <v>10</v>
      </c>
      <c r="K74" s="26"/>
      <c r="L74" s="113">
        <f>L70/2</f>
        <v>1350</v>
      </c>
      <c r="M74" s="18"/>
      <c r="N74" s="356" t="s">
        <v>928</v>
      </c>
      <c r="O74" s="357"/>
      <c r="P74" s="16" t="s">
        <v>1005</v>
      </c>
      <c r="Q74" s="27"/>
      <c r="R74" s="28"/>
      <c r="S74" s="27"/>
    </row>
    <row r="75" spans="1:19" ht="15" customHeight="1" x14ac:dyDescent="0.2">
      <c r="A75" s="21"/>
      <c r="B75" s="22"/>
      <c r="C75" s="22"/>
      <c r="D75" s="22"/>
      <c r="E75" s="23"/>
      <c r="F75" s="23"/>
      <c r="G75" s="18"/>
      <c r="H75" s="18"/>
      <c r="I75" s="24" t="s">
        <v>16</v>
      </c>
      <c r="J75" s="16" t="s">
        <v>10</v>
      </c>
      <c r="K75" s="26"/>
      <c r="L75" s="113"/>
      <c r="M75" s="18"/>
      <c r="N75" s="356" t="s">
        <v>929</v>
      </c>
      <c r="O75" s="357"/>
      <c r="P75" s="16" t="s">
        <v>1024</v>
      </c>
      <c r="Q75" s="27"/>
      <c r="R75" s="28"/>
      <c r="S75" s="27"/>
    </row>
    <row r="76" spans="1:19" ht="15" customHeight="1" x14ac:dyDescent="0.2">
      <c r="A76" s="21"/>
      <c r="B76" s="22"/>
      <c r="C76" s="22"/>
      <c r="D76" s="22"/>
      <c r="E76" s="23"/>
      <c r="F76" s="23"/>
      <c r="G76" s="18"/>
      <c r="H76" s="18"/>
      <c r="I76" s="24" t="s">
        <v>17</v>
      </c>
      <c r="J76" s="16" t="s">
        <v>10</v>
      </c>
      <c r="K76" s="26"/>
      <c r="L76" s="113"/>
      <c r="M76" s="18"/>
      <c r="N76" s="356" t="s">
        <v>930</v>
      </c>
      <c r="O76" s="357"/>
      <c r="P76" s="16" t="s">
        <v>931</v>
      </c>
      <c r="Q76" s="27"/>
      <c r="R76" s="28"/>
      <c r="S76" s="27"/>
    </row>
    <row r="77" spans="1:19" ht="15" customHeight="1" x14ac:dyDescent="0.2">
      <c r="A77" s="21"/>
      <c r="B77" s="22"/>
      <c r="C77" s="22"/>
      <c r="D77" s="22"/>
      <c r="E77" s="23"/>
      <c r="F77" s="23"/>
      <c r="G77" s="18"/>
      <c r="H77" s="18"/>
      <c r="I77" s="24" t="s">
        <v>18</v>
      </c>
      <c r="J77" s="16" t="s">
        <v>10</v>
      </c>
      <c r="K77" s="26"/>
      <c r="L77" s="113"/>
      <c r="M77" s="18"/>
      <c r="N77" s="356" t="s">
        <v>932</v>
      </c>
      <c r="O77" s="357"/>
      <c r="P77" s="16" t="s">
        <v>933</v>
      </c>
      <c r="Q77" s="27"/>
      <c r="R77" s="28"/>
      <c r="S77" s="27"/>
    </row>
    <row r="78" spans="1:19" ht="15" customHeight="1" x14ac:dyDescent="0.2">
      <c r="A78" s="21"/>
      <c r="B78" s="22"/>
      <c r="C78" s="22"/>
      <c r="D78" s="22"/>
      <c r="E78" s="23"/>
      <c r="F78" s="23"/>
      <c r="G78" s="18"/>
      <c r="H78" s="18"/>
      <c r="I78" s="24" t="s">
        <v>19</v>
      </c>
      <c r="J78" s="16" t="s">
        <v>10</v>
      </c>
      <c r="K78" s="26"/>
      <c r="L78" s="25">
        <v>50</v>
      </c>
      <c r="M78" s="18"/>
      <c r="N78" s="356" t="s">
        <v>1101</v>
      </c>
      <c r="O78" s="357"/>
      <c r="P78" s="16" t="s">
        <v>935</v>
      </c>
      <c r="Q78" s="27"/>
      <c r="R78" s="28"/>
      <c r="S78" s="27"/>
    </row>
    <row r="79" spans="1:19" ht="15" customHeight="1" x14ac:dyDescent="0.2">
      <c r="A79" s="21"/>
      <c r="B79" s="22"/>
      <c r="C79" s="22"/>
      <c r="D79" s="22"/>
      <c r="E79" s="23"/>
      <c r="F79" s="23"/>
      <c r="G79" s="18"/>
      <c r="H79" s="18"/>
      <c r="I79" s="29" t="s">
        <v>20</v>
      </c>
      <c r="J79" s="16" t="s">
        <v>21</v>
      </c>
      <c r="K79" s="30"/>
      <c r="L79" s="31">
        <f>K69*K70/1000000</f>
        <v>6.72</v>
      </c>
      <c r="M79" s="18"/>
      <c r="N79" s="356" t="s">
        <v>936</v>
      </c>
      <c r="O79" s="357"/>
      <c r="P79" s="16" t="s">
        <v>937</v>
      </c>
      <c r="Q79" s="27"/>
      <c r="R79" s="28"/>
      <c r="S79" s="27"/>
    </row>
    <row r="80" spans="1:19" ht="15" customHeight="1" x14ac:dyDescent="0.2">
      <c r="A80" s="32"/>
      <c r="B80" s="33"/>
      <c r="C80" s="33"/>
      <c r="D80" s="33"/>
      <c r="E80" s="34"/>
      <c r="F80" s="34"/>
      <c r="G80" s="35"/>
      <c r="H80" s="35"/>
      <c r="I80" s="29" t="s">
        <v>22</v>
      </c>
      <c r="J80" s="16" t="s">
        <v>23</v>
      </c>
      <c r="K80" s="30"/>
      <c r="L80" s="36">
        <f>(K70+K69)*2/1000</f>
        <v>10.4</v>
      </c>
      <c r="M80" s="35"/>
      <c r="N80" s="356" t="s">
        <v>938</v>
      </c>
      <c r="O80" s="357"/>
      <c r="P80" s="16" t="s">
        <v>939</v>
      </c>
      <c r="Q80" s="37"/>
      <c r="R80" s="38"/>
      <c r="S80" s="27"/>
    </row>
    <row r="81" spans="1:24" ht="48.75" customHeight="1" x14ac:dyDescent="0.15">
      <c r="A81" s="39" t="s">
        <v>24</v>
      </c>
      <c r="B81" s="560" t="s">
        <v>25</v>
      </c>
      <c r="C81" s="561"/>
      <c r="D81" s="562"/>
      <c r="E81" s="40" t="s">
        <v>26</v>
      </c>
      <c r="F81" s="40" t="s">
        <v>27</v>
      </c>
      <c r="G81" s="40" t="s">
        <v>28</v>
      </c>
      <c r="H81" s="40" t="s">
        <v>1140</v>
      </c>
      <c r="I81" s="40" t="s">
        <v>29</v>
      </c>
      <c r="J81" s="40" t="s">
        <v>30</v>
      </c>
      <c r="K81" s="41" t="s">
        <v>31</v>
      </c>
      <c r="L81" s="40" t="s">
        <v>32</v>
      </c>
      <c r="M81" s="40" t="s">
        <v>33</v>
      </c>
      <c r="N81" s="40" t="s">
        <v>34</v>
      </c>
      <c r="O81" s="42" t="s">
        <v>35</v>
      </c>
      <c r="P81" s="359" t="s">
        <v>962</v>
      </c>
      <c r="Q81" s="43" t="s">
        <v>36</v>
      </c>
      <c r="R81" s="43" t="s">
        <v>37</v>
      </c>
      <c r="S81" s="458"/>
      <c r="U81" s="261" t="s">
        <v>825</v>
      </c>
      <c r="V81" s="261"/>
      <c r="W81" s="262" t="s">
        <v>826</v>
      </c>
      <c r="X81" s="263"/>
    </row>
    <row r="82" spans="1:24" ht="15" customHeight="1" x14ac:dyDescent="0.15">
      <c r="A82" s="200">
        <v>1</v>
      </c>
      <c r="B82" s="531" t="s">
        <v>38</v>
      </c>
      <c r="C82" s="532"/>
      <c r="D82" s="533"/>
      <c r="E82" s="47" t="str">
        <f>VLOOKUP($G:$G,型材表!$B$5:$I$448,2,0)</f>
        <v>边封</v>
      </c>
      <c r="F82" s="45" t="s">
        <v>39</v>
      </c>
      <c r="G82" s="45" t="str">
        <f>IF(F67=128,"ST128MK003",IF(F67=120,"ST120MK003"))</f>
        <v>ST128MK003</v>
      </c>
      <c r="H82" s="207" t="s">
        <v>1142</v>
      </c>
      <c r="I82" s="46">
        <f>L69</f>
        <v>2300</v>
      </c>
      <c r="J82" s="45">
        <v>2</v>
      </c>
      <c r="K82" s="47">
        <f>VLOOKUP($G:$G,型材表!$B$5:$I$448,4,0)</f>
        <v>2.379</v>
      </c>
      <c r="L82" s="46">
        <f>I82*J82*K82/1000</f>
        <v>10.9434</v>
      </c>
      <c r="M82" s="72">
        <f>VLOOKUP($G:$G,型材表!$B$5:$I$448,7,0)</f>
        <v>0</v>
      </c>
      <c r="N82" s="46">
        <f>M82*L82</f>
        <v>0</v>
      </c>
      <c r="O82" s="100">
        <f>VLOOKUP($G:$G,型材表!$B$5:$I$448,5,0)</f>
        <v>0.125</v>
      </c>
      <c r="P82" s="100" t="str">
        <f>VLOOKUP($G:$G,型材表!$B$5:$I$448,6,0)</f>
        <v>断桥隔热铝型材</v>
      </c>
      <c r="Q82" s="49"/>
      <c r="R82" s="50"/>
      <c r="S82" s="459"/>
      <c r="W82" s="264"/>
      <c r="X82" s="265"/>
    </row>
    <row r="83" spans="1:24" ht="15" customHeight="1" x14ac:dyDescent="0.15">
      <c r="A83" s="200">
        <v>2</v>
      </c>
      <c r="B83" s="534"/>
      <c r="C83" s="535"/>
      <c r="D83" s="536"/>
      <c r="E83" s="47" t="str">
        <f>VLOOKUP($G:$G,型材表!$B$5:$I$448,2,0)</f>
        <v>上滑</v>
      </c>
      <c r="F83" s="45" t="s">
        <v>807</v>
      </c>
      <c r="G83" s="45" t="str">
        <f>IF(F67=128,"ST128MK001",IF(F67=120,"ST120MK001"))</f>
        <v>ST128MK001</v>
      </c>
      <c r="H83" s="207" t="s">
        <v>1143</v>
      </c>
      <c r="I83" s="46">
        <f>IF(F67=128,L70-U83,IF(F67=120,L70-W83))</f>
        <v>2640</v>
      </c>
      <c r="J83" s="45">
        <v>1</v>
      </c>
      <c r="K83" s="47">
        <f>VLOOKUP($G:$G,型材表!$B$5:$I$448,4,0)</f>
        <v>3.5590000000000002</v>
      </c>
      <c r="L83" s="46">
        <f t="shared" ref="L83:L84" si="14">I83*J83*K83/1000</f>
        <v>9.395760000000001</v>
      </c>
      <c r="M83" s="72">
        <f>VLOOKUP($G:$G,型材表!$B$5:$I$448,7,0)</f>
        <v>0</v>
      </c>
      <c r="N83" s="46">
        <f t="shared" ref="N83:N84" si="15">M83*L83</f>
        <v>0</v>
      </c>
      <c r="O83" s="100">
        <f>VLOOKUP($G:$G,型材表!$B$5:$I$448,5,0)</f>
        <v>0.125</v>
      </c>
      <c r="P83" s="100" t="str">
        <f>VLOOKUP($G:$G,型材表!$B$5:$I$448,6,0)</f>
        <v>断桥隔热铝型材</v>
      </c>
      <c r="Q83" s="49"/>
      <c r="R83" s="50"/>
      <c r="S83" s="459"/>
      <c r="T83" s="374" t="s">
        <v>1154</v>
      </c>
      <c r="U83" s="259">
        <f>30*2</f>
        <v>60</v>
      </c>
      <c r="W83" s="264">
        <f>30*2</f>
        <v>60</v>
      </c>
      <c r="X83" s="265"/>
    </row>
    <row r="84" spans="1:24" ht="15" customHeight="1" x14ac:dyDescent="0.15">
      <c r="A84" s="395">
        <v>3</v>
      </c>
      <c r="B84" s="534"/>
      <c r="C84" s="535"/>
      <c r="D84" s="536"/>
      <c r="E84" s="47" t="str">
        <f>VLOOKUP($G:$G,型材表!$B$5:$I$448,2,0)</f>
        <v>下滑</v>
      </c>
      <c r="F84" s="207" t="s">
        <v>591</v>
      </c>
      <c r="G84" s="207" t="str">
        <f>IF(F67=128,"ST128MK004",IF(F67=120,"ST120MK002"))</f>
        <v>ST128MK004</v>
      </c>
      <c r="H84" s="207" t="s">
        <v>1143</v>
      </c>
      <c r="I84" s="208">
        <f>I83</f>
        <v>2640</v>
      </c>
      <c r="J84" s="207">
        <v>1</v>
      </c>
      <c r="K84" s="47">
        <f>VLOOKUP($G:$G,型材表!$B$5:$I$448,4,0)</f>
        <v>2.7770000000000001</v>
      </c>
      <c r="L84" s="46">
        <f t="shared" si="14"/>
        <v>7.3312800000000005</v>
      </c>
      <c r="M84" s="72">
        <f>VLOOKUP($G:$G,型材表!$B$5:$I$448,7,0)</f>
        <v>0</v>
      </c>
      <c r="N84" s="46">
        <f t="shared" si="15"/>
        <v>0</v>
      </c>
      <c r="O84" s="100">
        <f>VLOOKUP($G:$G,型材表!$B$5:$I$448,5,0)</f>
        <v>0.125</v>
      </c>
      <c r="P84" s="100" t="str">
        <f>VLOOKUP($G:$G,型材表!$B$5:$I$448,6,0)</f>
        <v>断桥隔热铝型材</v>
      </c>
      <c r="Q84" s="210"/>
      <c r="R84" s="50"/>
      <c r="S84" s="459"/>
      <c r="W84" s="264"/>
      <c r="X84" s="265"/>
    </row>
    <row r="85" spans="1:24" s="229" customFormat="1" ht="15" customHeight="1" x14ac:dyDescent="0.15">
      <c r="A85" s="395">
        <v>4</v>
      </c>
      <c r="B85" s="537"/>
      <c r="C85" s="538"/>
      <c r="D85" s="539"/>
      <c r="E85" s="221"/>
      <c r="F85" s="222"/>
      <c r="G85" s="222"/>
      <c r="H85" s="222"/>
      <c r="I85" s="223"/>
      <c r="J85" s="222"/>
      <c r="K85" s="221"/>
      <c r="L85" s="224"/>
      <c r="M85" s="225"/>
      <c r="N85" s="224"/>
      <c r="O85" s="226"/>
      <c r="P85" s="100"/>
      <c r="Q85" s="227"/>
      <c r="R85" s="228"/>
      <c r="S85" s="467"/>
      <c r="T85" s="375"/>
      <c r="U85" s="266"/>
      <c r="V85" s="266"/>
      <c r="W85" s="267"/>
      <c r="X85" s="268"/>
    </row>
    <row r="86" spans="1:24" ht="15" customHeight="1" x14ac:dyDescent="0.15">
      <c r="A86" s="395">
        <v>5</v>
      </c>
      <c r="B86" s="531" t="s">
        <v>41</v>
      </c>
      <c r="C86" s="532"/>
      <c r="D86" s="533"/>
      <c r="E86" s="47" t="str">
        <f>VLOOKUP($G:$G,型材表!$B$5:$I$448,2,0)</f>
        <v>扇料</v>
      </c>
      <c r="F86" s="45" t="s">
        <v>812</v>
      </c>
      <c r="G86" s="45" t="str">
        <f>IF(F67=128,"ST128MS001",IF(F67=120,"ST120MS001"))</f>
        <v>ST128MS001</v>
      </c>
      <c r="H86" s="207" t="s">
        <v>1144</v>
      </c>
      <c r="I86" s="46">
        <f>IF(F67=128,L71-U86,IF(F67=120,L71-W86))</f>
        <v>2215.88</v>
      </c>
      <c r="J86" s="45">
        <v>2</v>
      </c>
      <c r="K86" s="47">
        <f>VLOOKUP($G:$G,型材表!$B$5:$I$448,4,0)</f>
        <v>2.0739999999999998</v>
      </c>
      <c r="L86" s="46">
        <f t="shared" ref="L86:L90" si="16">I86*J86*K86/1000</f>
        <v>9.191470240000001</v>
      </c>
      <c r="M86" s="72">
        <f>VLOOKUP($G:$G,型材表!$B$5:$I$448,7,0)</f>
        <v>0</v>
      </c>
      <c r="N86" s="46">
        <f t="shared" ref="N86:N90" si="17">M86*L86</f>
        <v>0</v>
      </c>
      <c r="O86" s="100">
        <f>VLOOKUP($G:$G,型材表!$B$5:$I$448,5,0)</f>
        <v>0.125</v>
      </c>
      <c r="P86" s="100" t="str">
        <f>VLOOKUP($G:$G,型材表!$B$5:$I$448,6,0)</f>
        <v>断桥隔热铝型材</v>
      </c>
      <c r="Q86" s="49"/>
      <c r="R86" s="50"/>
      <c r="S86" s="459"/>
      <c r="T86" s="374" t="s">
        <v>1155</v>
      </c>
      <c r="U86" s="259">
        <f>45+39.12</f>
        <v>84.12</v>
      </c>
      <c r="W86" s="264">
        <f>47.5*2</f>
        <v>95</v>
      </c>
      <c r="X86" s="265"/>
    </row>
    <row r="87" spans="1:24" ht="15" customHeight="1" x14ac:dyDescent="0.15">
      <c r="A87" s="395">
        <v>6</v>
      </c>
      <c r="B87" s="534"/>
      <c r="C87" s="535"/>
      <c r="D87" s="536"/>
      <c r="E87" s="47" t="str">
        <f>VLOOKUP($G:$G,型材表!$B$5:$I$448,2,0)</f>
        <v>扇料</v>
      </c>
      <c r="F87" s="45" t="s">
        <v>813</v>
      </c>
      <c r="G87" s="207" t="str">
        <f>IF(F67=128,"ST128MS001",IF(F67=120,"ST120MS001"))</f>
        <v>ST128MS001</v>
      </c>
      <c r="H87" s="207" t="s">
        <v>1144</v>
      </c>
      <c r="I87" s="208">
        <f>IF(F67=128,L71-U87,IF(F67=120,L71-W87))</f>
        <v>2215.88</v>
      </c>
      <c r="J87" s="207">
        <v>2</v>
      </c>
      <c r="K87" s="47">
        <f>VLOOKUP($G:$G,型材表!$B$5:$I$448,4,0)</f>
        <v>2.0739999999999998</v>
      </c>
      <c r="L87" s="46">
        <f t="shared" si="16"/>
        <v>9.191470240000001</v>
      </c>
      <c r="M87" s="72">
        <f>VLOOKUP($G:$G,型材表!$B$5:$I$448,7,0)</f>
        <v>0</v>
      </c>
      <c r="N87" s="46">
        <f t="shared" si="17"/>
        <v>0</v>
      </c>
      <c r="O87" s="100">
        <f>VLOOKUP($G:$G,型材表!$B$5:$I$448,5,0)</f>
        <v>0.125</v>
      </c>
      <c r="P87" s="100" t="str">
        <f>VLOOKUP($G:$G,型材表!$B$5:$I$448,6,0)</f>
        <v>断桥隔热铝型材</v>
      </c>
      <c r="Q87" s="210"/>
      <c r="R87" s="50"/>
      <c r="S87" s="459"/>
      <c r="T87" s="374" t="s">
        <v>1155</v>
      </c>
      <c r="U87" s="259">
        <f>45+39.12</f>
        <v>84.12</v>
      </c>
      <c r="W87" s="264">
        <f>47.5*2</f>
        <v>95</v>
      </c>
      <c r="X87" s="265"/>
    </row>
    <row r="88" spans="1:24" ht="15" customHeight="1" x14ac:dyDescent="0.15">
      <c r="A88" s="395">
        <v>7</v>
      </c>
      <c r="B88" s="534"/>
      <c r="C88" s="535"/>
      <c r="D88" s="536"/>
      <c r="E88" s="47" t="str">
        <f>VLOOKUP($G:$G,型材表!$B$5:$I$448,2,0)</f>
        <v>扇料</v>
      </c>
      <c r="F88" s="45" t="s">
        <v>808</v>
      </c>
      <c r="G88" s="45" t="str">
        <f>IF(F67=128,"ST128MS001",IF(F67=120,"ST120MS001"))</f>
        <v>ST128MS001</v>
      </c>
      <c r="H88" s="207" t="s">
        <v>1145</v>
      </c>
      <c r="I88" s="46">
        <f>IF(F67=128,L74-U88,IF(F67=120,L74-W88))</f>
        <v>1218.8499999999999</v>
      </c>
      <c r="J88" s="45">
        <v>2</v>
      </c>
      <c r="K88" s="47">
        <f>VLOOKUP($G:$G,型材表!$B$5:$I$448,4,0)</f>
        <v>2.0739999999999998</v>
      </c>
      <c r="L88" s="46">
        <f t="shared" si="16"/>
        <v>5.0557897999999994</v>
      </c>
      <c r="M88" s="72">
        <f>VLOOKUP($G:$G,型材表!$B$5:$I$448,7,0)</f>
        <v>0</v>
      </c>
      <c r="N88" s="46">
        <f t="shared" si="17"/>
        <v>0</v>
      </c>
      <c r="O88" s="100">
        <f>VLOOKUP($G:$G,型材表!$B$5:$I$448,5,0)</f>
        <v>0.125</v>
      </c>
      <c r="P88" s="100" t="str">
        <f>VLOOKUP($G:$G,型材表!$B$5:$I$448,6,0)</f>
        <v>断桥隔热铝型材</v>
      </c>
      <c r="Q88" s="49"/>
      <c r="R88" s="50"/>
      <c r="S88" s="459"/>
      <c r="T88" s="374" t="s">
        <v>1156</v>
      </c>
      <c r="U88" s="259">
        <f>(35*2-95.7)/2+72*2</f>
        <v>131.15</v>
      </c>
      <c r="W88" s="264">
        <f>(34*2-92.6)/2+72*2</f>
        <v>131.69999999999999</v>
      </c>
      <c r="X88" s="265"/>
    </row>
    <row r="89" spans="1:24" ht="15" customHeight="1" x14ac:dyDescent="0.15">
      <c r="A89" s="395">
        <v>8</v>
      </c>
      <c r="B89" s="534"/>
      <c r="C89" s="535"/>
      <c r="D89" s="536"/>
      <c r="E89" s="47" t="str">
        <f>VLOOKUP($G:$G,型材表!$B$5:$I$448,2,0)</f>
        <v>扇料</v>
      </c>
      <c r="F89" s="45" t="s">
        <v>819</v>
      </c>
      <c r="G89" s="45" t="str">
        <f>IF(F67=128,"ST128MS001",IF(F67=120,"ST120MS001"))</f>
        <v>ST128MS001</v>
      </c>
      <c r="H89" s="207" t="s">
        <v>1145</v>
      </c>
      <c r="I89" s="46">
        <f>I88</f>
        <v>1218.8499999999999</v>
      </c>
      <c r="J89" s="45">
        <v>1</v>
      </c>
      <c r="K89" s="47">
        <f>VLOOKUP($G:$G,型材表!$B$5:$I$448,4,0)</f>
        <v>2.0739999999999998</v>
      </c>
      <c r="L89" s="46">
        <f t="shared" si="16"/>
        <v>2.5278948999999997</v>
      </c>
      <c r="M89" s="72">
        <f>VLOOKUP($G:$G,型材表!$B$5:$I$448,7,0)</f>
        <v>0</v>
      </c>
      <c r="N89" s="46">
        <f t="shared" si="17"/>
        <v>0</v>
      </c>
      <c r="O89" s="100">
        <f>VLOOKUP($G:$G,型材表!$B$5:$I$448,5,0)</f>
        <v>0.125</v>
      </c>
      <c r="P89" s="100" t="str">
        <f>VLOOKUP($G:$G,型材表!$B$5:$I$448,6,0)</f>
        <v>断桥隔热铝型材</v>
      </c>
      <c r="Q89" s="49"/>
      <c r="R89" s="50"/>
      <c r="S89" s="459"/>
      <c r="W89" s="264"/>
      <c r="X89" s="265"/>
    </row>
    <row r="90" spans="1:24" ht="15" customHeight="1" x14ac:dyDescent="0.15">
      <c r="A90" s="395">
        <v>9</v>
      </c>
      <c r="B90" s="534"/>
      <c r="C90" s="535"/>
      <c r="D90" s="536"/>
      <c r="E90" s="47" t="str">
        <f>VLOOKUP($G:$G,型材表!$B$5:$I$448,2,0)</f>
        <v>扇料</v>
      </c>
      <c r="F90" s="45" t="s">
        <v>820</v>
      </c>
      <c r="G90" s="207" t="str">
        <f>IF(F67=128,"ST128MS001",IF(F67=120,"ST120MS001"))</f>
        <v>ST128MS001</v>
      </c>
      <c r="H90" s="207" t="s">
        <v>1145</v>
      </c>
      <c r="I90" s="208">
        <f>I89</f>
        <v>1218.8499999999999</v>
      </c>
      <c r="J90" s="207">
        <v>1</v>
      </c>
      <c r="K90" s="47">
        <f>VLOOKUP($G:$G,型材表!$B$5:$I$448,4,0)</f>
        <v>2.0739999999999998</v>
      </c>
      <c r="L90" s="46">
        <f t="shared" si="16"/>
        <v>2.5278948999999997</v>
      </c>
      <c r="M90" s="72">
        <f>VLOOKUP($G:$G,型材表!$B$5:$I$448,7,0)</f>
        <v>0</v>
      </c>
      <c r="N90" s="46">
        <f t="shared" si="17"/>
        <v>0</v>
      </c>
      <c r="O90" s="100">
        <f>VLOOKUP($G:$G,型材表!$B$5:$I$448,5,0)</f>
        <v>0.125</v>
      </c>
      <c r="P90" s="100" t="str">
        <f>VLOOKUP($G:$G,型材表!$B$5:$I$448,6,0)</f>
        <v>断桥隔热铝型材</v>
      </c>
      <c r="Q90" s="210"/>
      <c r="R90" s="50"/>
      <c r="S90" s="459"/>
      <c r="W90" s="264"/>
      <c r="X90" s="265"/>
    </row>
    <row r="91" spans="1:24" ht="15" customHeight="1" x14ac:dyDescent="0.15">
      <c r="A91" s="395">
        <v>10</v>
      </c>
      <c r="B91" s="537"/>
      <c r="C91" s="538"/>
      <c r="D91" s="539"/>
      <c r="E91" s="47"/>
      <c r="F91" s="45"/>
      <c r="G91" s="45"/>
      <c r="H91" s="207"/>
      <c r="I91" s="46"/>
      <c r="J91" s="45"/>
      <c r="K91" s="47"/>
      <c r="L91" s="46"/>
      <c r="M91" s="72"/>
      <c r="N91" s="46"/>
      <c r="O91" s="100"/>
      <c r="P91" s="100"/>
      <c r="Q91" s="49"/>
      <c r="R91" s="50"/>
      <c r="S91" s="459"/>
      <c r="W91" s="264"/>
      <c r="X91" s="265"/>
    </row>
    <row r="92" spans="1:24" ht="15" customHeight="1" x14ac:dyDescent="0.15">
      <c r="A92" s="395">
        <v>11</v>
      </c>
      <c r="B92" s="531" t="s">
        <v>44</v>
      </c>
      <c r="C92" s="532"/>
      <c r="D92" s="533"/>
      <c r="E92" s="47" t="str">
        <f>VLOOKUP($G:$G,型材表!$B$5:$I$448,2,0)</f>
        <v>盖板</v>
      </c>
      <c r="F92" s="51"/>
      <c r="G92" s="45" t="str">
        <f>IF(F67=128,"ST128MF002",IF(F67=120,"ST120MF001"))</f>
        <v>ST128MF002</v>
      </c>
      <c r="H92" s="207" t="s">
        <v>1144</v>
      </c>
      <c r="I92" s="52">
        <f>I87</f>
        <v>2215.88</v>
      </c>
      <c r="J92" s="45">
        <f>J87</f>
        <v>2</v>
      </c>
      <c r="K92" s="47">
        <f>VLOOKUP($G:$G,型材表!$B$5:$I$448,4,0)</f>
        <v>5.7000000000000002E-2</v>
      </c>
      <c r="L92" s="46">
        <f t="shared" ref="L92:L98" si="18">I92*J92*K92/1000</f>
        <v>0.25261032000000005</v>
      </c>
      <c r="M92" s="72">
        <f>VLOOKUP($G:$G,型材表!$B$5:$I$448,7,0)</f>
        <v>0</v>
      </c>
      <c r="N92" s="46">
        <f t="shared" ref="N92:N98" si="19">M92*L92</f>
        <v>0</v>
      </c>
      <c r="O92" s="100">
        <f>VLOOKUP($G:$G,型材表!$B$5:$I$448,5,0)</f>
        <v>0.125</v>
      </c>
      <c r="P92" s="100" t="str">
        <f>VLOOKUP($G:$G,型材表!$B$5:$I$448,6,0)</f>
        <v>非断桥隔热铝型材</v>
      </c>
      <c r="Q92" s="49"/>
      <c r="R92" s="50"/>
      <c r="S92" s="459"/>
      <c r="W92" s="264"/>
      <c r="X92" s="265"/>
    </row>
    <row r="93" spans="1:24" ht="15" customHeight="1" x14ac:dyDescent="0.15">
      <c r="A93" s="395">
        <v>12</v>
      </c>
      <c r="B93" s="534"/>
      <c r="C93" s="535"/>
      <c r="D93" s="536"/>
      <c r="E93" s="47" t="str">
        <f>VLOOKUP($G:$G,型材表!$B$5:$I$448,2,0)</f>
        <v>压线</v>
      </c>
      <c r="F93" s="213" t="s">
        <v>1146</v>
      </c>
      <c r="G93" s="207" t="str">
        <f>IF(F67=128,"ST128MY001",IF(F67=120,"ST120MY001"))</f>
        <v>ST128MY001</v>
      </c>
      <c r="H93" s="207" t="s">
        <v>1148</v>
      </c>
      <c r="I93" s="214">
        <f>IF(F67=128,L71-U93,IF(F67=120,L71-W93))</f>
        <v>2071.88</v>
      </c>
      <c r="J93" s="207">
        <v>2</v>
      </c>
      <c r="K93" s="47">
        <f>VLOOKUP($G:$G,型材表!$B$5:$I$448,4,0)</f>
        <v>0.216</v>
      </c>
      <c r="L93" s="46">
        <f t="shared" si="18"/>
        <v>0.8950521600000001</v>
      </c>
      <c r="M93" s="72">
        <f>VLOOKUP($G:$G,型材表!$B$5:$I$448,7,0)</f>
        <v>0</v>
      </c>
      <c r="N93" s="46">
        <f t="shared" si="19"/>
        <v>0</v>
      </c>
      <c r="O93" s="100">
        <f>VLOOKUP($G:$G,型材表!$B$5:$I$448,5,0)</f>
        <v>0.125</v>
      </c>
      <c r="P93" s="100" t="str">
        <f>VLOOKUP($G:$G,型材表!$B$5:$I$448,6,0)</f>
        <v>非断桥隔热铝型材</v>
      </c>
      <c r="Q93" s="210"/>
      <c r="R93" s="50"/>
      <c r="S93" s="459"/>
      <c r="T93" s="374" t="s">
        <v>1157</v>
      </c>
      <c r="U93" s="259">
        <f>117+111.12</f>
        <v>228.12</v>
      </c>
      <c r="W93" s="264">
        <f>119.5*2</f>
        <v>239</v>
      </c>
      <c r="X93" s="265"/>
    </row>
    <row r="94" spans="1:24" ht="15" customHeight="1" x14ac:dyDescent="0.15">
      <c r="A94" s="395">
        <v>13</v>
      </c>
      <c r="B94" s="534"/>
      <c r="C94" s="535"/>
      <c r="D94" s="536"/>
      <c r="E94" s="47" t="str">
        <f>VLOOKUP($G:$G,型材表!$B$5:$I$448,2,0)</f>
        <v>压线</v>
      </c>
      <c r="F94" s="213" t="s">
        <v>1146</v>
      </c>
      <c r="G94" s="207" t="str">
        <f>G93</f>
        <v>ST128MY001</v>
      </c>
      <c r="H94" s="207" t="s">
        <v>1148</v>
      </c>
      <c r="I94" s="214">
        <f>IF(F67=128,L71-U94,IF(F67=120,L71-W94))</f>
        <v>2071.88</v>
      </c>
      <c r="J94" s="207">
        <v>2</v>
      </c>
      <c r="K94" s="47">
        <f>VLOOKUP($G:$G,型材表!$B$5:$I$448,4,0)</f>
        <v>0.216</v>
      </c>
      <c r="L94" s="46">
        <f t="shared" ref="L94:L96" si="20">I94*J94*K94/1000</f>
        <v>0.8950521600000001</v>
      </c>
      <c r="M94" s="72">
        <f>VLOOKUP($G:$G,型材表!$B$5:$I$448,7,0)</f>
        <v>0</v>
      </c>
      <c r="N94" s="46">
        <f t="shared" ref="N94:N96" si="21">M94*L94</f>
        <v>0</v>
      </c>
      <c r="O94" s="100">
        <f>VLOOKUP($G:$G,型材表!$B$5:$I$448,5,0)</f>
        <v>0.125</v>
      </c>
      <c r="P94" s="100" t="str">
        <f>VLOOKUP($G:$G,型材表!$B$5:$I$448,6,0)</f>
        <v>非断桥隔热铝型材</v>
      </c>
      <c r="Q94" s="210"/>
      <c r="R94" s="50"/>
      <c r="S94" s="459"/>
      <c r="T94" s="374" t="s">
        <v>1157</v>
      </c>
      <c r="U94" s="259">
        <f>117+111.12</f>
        <v>228.12</v>
      </c>
      <c r="W94" s="264">
        <f>119.5*2</f>
        <v>239</v>
      </c>
      <c r="X94" s="265"/>
    </row>
    <row r="95" spans="1:24" ht="15" customHeight="1" x14ac:dyDescent="0.15">
      <c r="A95" s="395">
        <v>14</v>
      </c>
      <c r="B95" s="534"/>
      <c r="C95" s="535"/>
      <c r="D95" s="536"/>
      <c r="E95" s="47" t="str">
        <f>VLOOKUP($G:$G,型材表!$B$5:$I$448,2,0)</f>
        <v>压线</v>
      </c>
      <c r="F95" s="213" t="s">
        <v>1147</v>
      </c>
      <c r="G95" s="207" t="str">
        <f t="shared" ref="G95:G96" si="22">G94</f>
        <v>ST128MY001</v>
      </c>
      <c r="H95" s="207" t="s">
        <v>1149</v>
      </c>
      <c r="I95" s="214">
        <f>IF(F67=128,L74-U95,IF(F67=120,L74-W95))</f>
        <v>1218.8499999999999</v>
      </c>
      <c r="J95" s="207">
        <v>2</v>
      </c>
      <c r="K95" s="47">
        <f>VLOOKUP($G:$G,型材表!$B$5:$I$448,4,0)</f>
        <v>0.216</v>
      </c>
      <c r="L95" s="46">
        <f t="shared" si="20"/>
        <v>0.52654319999999999</v>
      </c>
      <c r="M95" s="72">
        <f>VLOOKUP($G:$G,型材表!$B$5:$I$448,7,0)</f>
        <v>0</v>
      </c>
      <c r="N95" s="46">
        <f t="shared" si="21"/>
        <v>0</v>
      </c>
      <c r="O95" s="100">
        <f>VLOOKUP($G:$G,型材表!$B$5:$I$448,5,0)</f>
        <v>0.125</v>
      </c>
      <c r="P95" s="100" t="str">
        <f>VLOOKUP($G:$G,型材表!$B$5:$I$448,6,0)</f>
        <v>非断桥隔热铝型材</v>
      </c>
      <c r="Q95" s="210"/>
      <c r="R95" s="50"/>
      <c r="S95" s="459"/>
      <c r="T95" s="374" t="s">
        <v>1158</v>
      </c>
      <c r="U95" s="259">
        <f>107+48.3/2</f>
        <v>131.15</v>
      </c>
      <c r="W95" s="264">
        <f>106+51.4/2</f>
        <v>131.69999999999999</v>
      </c>
      <c r="X95" s="265"/>
    </row>
    <row r="96" spans="1:24" ht="15" customHeight="1" x14ac:dyDescent="0.15">
      <c r="A96" s="395">
        <v>15</v>
      </c>
      <c r="B96" s="534"/>
      <c r="C96" s="535"/>
      <c r="D96" s="536"/>
      <c r="E96" s="47" t="str">
        <f>VLOOKUP($G:$G,型材表!$B$5:$I$448,2,0)</f>
        <v>压线</v>
      </c>
      <c r="F96" s="213" t="s">
        <v>1147</v>
      </c>
      <c r="G96" s="207" t="str">
        <f t="shared" si="22"/>
        <v>ST128MY001</v>
      </c>
      <c r="H96" s="207" t="s">
        <v>1149</v>
      </c>
      <c r="I96" s="214">
        <f>IF(F67=128,L74-U96,IF(F67=120,L74-W96))</f>
        <v>1218.8499999999999</v>
      </c>
      <c r="J96" s="207">
        <v>2</v>
      </c>
      <c r="K96" s="47">
        <f>VLOOKUP($G:$G,型材表!$B$5:$I$448,4,0)</f>
        <v>0.216</v>
      </c>
      <c r="L96" s="46">
        <f t="shared" si="20"/>
        <v>0.52654319999999999</v>
      </c>
      <c r="M96" s="72">
        <f>VLOOKUP($G:$G,型材表!$B$5:$I$448,7,0)</f>
        <v>0</v>
      </c>
      <c r="N96" s="46">
        <f t="shared" si="21"/>
        <v>0</v>
      </c>
      <c r="O96" s="100">
        <f>VLOOKUP($G:$G,型材表!$B$5:$I$448,5,0)</f>
        <v>0.125</v>
      </c>
      <c r="P96" s="100" t="str">
        <f>VLOOKUP($G:$G,型材表!$B$5:$I$448,6,0)</f>
        <v>非断桥隔热铝型材</v>
      </c>
      <c r="Q96" s="210"/>
      <c r="R96" s="50"/>
      <c r="S96" s="459"/>
      <c r="T96" s="374" t="s">
        <v>1158</v>
      </c>
      <c r="U96" s="259">
        <f>107+48.3/2</f>
        <v>131.15</v>
      </c>
      <c r="W96" s="264">
        <f>106+51.4/2</f>
        <v>131.69999999999999</v>
      </c>
      <c r="X96" s="265"/>
    </row>
    <row r="97" spans="1:24" ht="15" customHeight="1" x14ac:dyDescent="0.15">
      <c r="A97" s="395">
        <v>16</v>
      </c>
      <c r="B97" s="534"/>
      <c r="C97" s="535"/>
      <c r="D97" s="536"/>
      <c r="E97" s="47" t="str">
        <f>VLOOKUP($G:$G,型材表!$B$5:$I$448,2,0)</f>
        <v>下滑轨道</v>
      </c>
      <c r="F97" s="213"/>
      <c r="G97" s="207" t="str">
        <f>IF(F67=128,"ST128MF004",0)</f>
        <v>ST128MF004</v>
      </c>
      <c r="H97" s="207" t="s">
        <v>1145</v>
      </c>
      <c r="I97" s="214">
        <f>I88</f>
        <v>1218.8499999999999</v>
      </c>
      <c r="J97" s="207">
        <v>1</v>
      </c>
      <c r="K97" s="47">
        <f>VLOOKUP($G:$G,型材表!$B$5:$I$448,4,0)</f>
        <v>0.68200000000000005</v>
      </c>
      <c r="L97" s="46">
        <f t="shared" si="18"/>
        <v>0.83125570000000004</v>
      </c>
      <c r="M97" s="72">
        <f>VLOOKUP($G:$G,型材表!$B$5:$I$448,7,0)</f>
        <v>0</v>
      </c>
      <c r="N97" s="46">
        <f t="shared" si="19"/>
        <v>0</v>
      </c>
      <c r="O97" s="100">
        <f>VLOOKUP($G:$G,型材表!$B$5:$I$448,5,0)</f>
        <v>0.125</v>
      </c>
      <c r="P97" s="100" t="str">
        <f>VLOOKUP($G:$G,型材表!$B$5:$I$448,6,0)</f>
        <v>非断桥隔热铝型材</v>
      </c>
      <c r="Q97" s="210"/>
      <c r="R97" s="50"/>
      <c r="S97" s="459"/>
      <c r="W97" s="264"/>
      <c r="X97" s="265"/>
    </row>
    <row r="98" spans="1:24" s="229" customFormat="1" ht="15" customHeight="1" x14ac:dyDescent="0.15">
      <c r="A98" s="395">
        <v>17</v>
      </c>
      <c r="B98" s="534"/>
      <c r="C98" s="535"/>
      <c r="D98" s="536"/>
      <c r="E98" s="47" t="str">
        <f>VLOOKUP($G:$G,型材表!$B$5:$I$448,2,0)</f>
        <v>盖板</v>
      </c>
      <c r="F98" s="230"/>
      <c r="G98" s="222" t="str">
        <f>IF(F67=128,"ST128MF002",0)</f>
        <v>ST128MF002</v>
      </c>
      <c r="H98" s="207" t="s">
        <v>1144</v>
      </c>
      <c r="I98" s="214">
        <f>I87</f>
        <v>2215.88</v>
      </c>
      <c r="J98" s="207">
        <f>J87</f>
        <v>2</v>
      </c>
      <c r="K98" s="47">
        <f>VLOOKUP($G:$G,型材表!$B$5:$I$448,4,0)</f>
        <v>5.7000000000000002E-2</v>
      </c>
      <c r="L98" s="46">
        <f t="shared" si="18"/>
        <v>0.25261032000000005</v>
      </c>
      <c r="M98" s="72">
        <f>VLOOKUP($G:$G,型材表!$B$5:$I$448,7,0)</f>
        <v>0</v>
      </c>
      <c r="N98" s="46">
        <f t="shared" si="19"/>
        <v>0</v>
      </c>
      <c r="O98" s="100">
        <f>VLOOKUP($G:$G,型材表!$B$5:$I$448,5,0)</f>
        <v>0.125</v>
      </c>
      <c r="P98" s="100" t="str">
        <f>VLOOKUP($G:$G,型材表!$B$5:$I$448,6,0)</f>
        <v>非断桥隔热铝型材</v>
      </c>
      <c r="Q98" s="227"/>
      <c r="R98" s="228"/>
      <c r="S98" s="467"/>
      <c r="T98" s="375"/>
      <c r="U98" s="266"/>
      <c r="V98" s="266"/>
      <c r="W98" s="267"/>
      <c r="X98" s="268"/>
    </row>
    <row r="99" spans="1:24" ht="15" customHeight="1" x14ac:dyDescent="0.15">
      <c r="A99" s="395">
        <v>18</v>
      </c>
      <c r="B99" s="534"/>
      <c r="C99" s="535"/>
      <c r="D99" s="536"/>
      <c r="E99" s="47"/>
      <c r="F99" s="51"/>
      <c r="G99" s="45"/>
      <c r="H99" s="207"/>
      <c r="I99" s="52"/>
      <c r="J99" s="45"/>
      <c r="K99" s="47"/>
      <c r="L99" s="46"/>
      <c r="M99" s="72"/>
      <c r="N99" s="46"/>
      <c r="O99" s="100"/>
      <c r="P99" s="100"/>
      <c r="Q99" s="49"/>
      <c r="R99" s="50"/>
      <c r="S99" s="459"/>
      <c r="W99" s="264"/>
      <c r="X99" s="265"/>
    </row>
    <row r="100" spans="1:24" ht="15" customHeight="1" x14ac:dyDescent="0.15">
      <c r="A100" s="395">
        <v>19</v>
      </c>
      <c r="B100" s="534"/>
      <c r="C100" s="535"/>
      <c r="D100" s="536"/>
      <c r="E100" s="47"/>
      <c r="F100" s="213"/>
      <c r="G100" s="207"/>
      <c r="H100" s="207"/>
      <c r="I100" s="214"/>
      <c r="J100" s="207"/>
      <c r="K100" s="47"/>
      <c r="L100" s="46"/>
      <c r="M100" s="72"/>
      <c r="N100" s="46"/>
      <c r="O100" s="100"/>
      <c r="P100" s="100"/>
      <c r="Q100" s="210"/>
      <c r="R100" s="50"/>
      <c r="S100" s="459"/>
      <c r="W100" s="264"/>
      <c r="X100" s="265"/>
    </row>
    <row r="101" spans="1:24" s="229" customFormat="1" ht="15" customHeight="1" x14ac:dyDescent="0.15">
      <c r="A101" s="395">
        <v>20</v>
      </c>
      <c r="B101" s="537"/>
      <c r="C101" s="538"/>
      <c r="D101" s="539"/>
      <c r="E101" s="221"/>
      <c r="F101" s="232"/>
      <c r="G101" s="233"/>
      <c r="H101" s="222"/>
      <c r="I101" s="234"/>
      <c r="J101" s="233"/>
      <c r="K101" s="221"/>
      <c r="L101" s="224"/>
      <c r="M101" s="225"/>
      <c r="N101" s="224"/>
      <c r="O101" s="226"/>
      <c r="P101" s="226"/>
      <c r="Q101" s="235"/>
      <c r="R101" s="228"/>
      <c r="S101" s="467"/>
      <c r="T101" s="375"/>
      <c r="U101" s="266"/>
      <c r="V101" s="266"/>
      <c r="W101" s="267"/>
      <c r="X101" s="268"/>
    </row>
    <row r="102" spans="1:24" s="229" customFormat="1" ht="15" customHeight="1" x14ac:dyDescent="0.15">
      <c r="A102" s="567" t="s">
        <v>919</v>
      </c>
      <c r="B102" s="568"/>
      <c r="C102" s="568"/>
      <c r="D102" s="568"/>
      <c r="E102" s="568"/>
      <c r="F102" s="568"/>
      <c r="G102" s="568"/>
      <c r="H102" s="568"/>
      <c r="I102" s="568"/>
      <c r="J102" s="568"/>
      <c r="K102" s="569"/>
      <c r="L102" s="224">
        <f>SUMIF($P$82:$P$101,A102,$L$82:$L$101)</f>
        <v>56.16496008</v>
      </c>
      <c r="M102" s="353"/>
      <c r="N102" s="224"/>
      <c r="O102" s="354"/>
      <c r="P102" s="355"/>
      <c r="Q102" s="296"/>
      <c r="R102" s="228"/>
      <c r="S102" s="467"/>
      <c r="T102" s="375"/>
      <c r="U102" s="266"/>
      <c r="V102" s="266"/>
      <c r="W102" s="267"/>
      <c r="X102" s="268"/>
    </row>
    <row r="103" spans="1:24" s="229" customFormat="1" ht="15" customHeight="1" x14ac:dyDescent="0.15">
      <c r="A103" s="567" t="s">
        <v>920</v>
      </c>
      <c r="B103" s="568"/>
      <c r="C103" s="568"/>
      <c r="D103" s="568"/>
      <c r="E103" s="568"/>
      <c r="F103" s="568"/>
      <c r="G103" s="568"/>
      <c r="H103" s="568"/>
      <c r="I103" s="568"/>
      <c r="J103" s="568"/>
      <c r="K103" s="569"/>
      <c r="L103" s="224">
        <f>SUMIF($P$82:$P$101,A103,$L$82:$L$101)</f>
        <v>4.1796670599999999</v>
      </c>
      <c r="M103" s="353"/>
      <c r="N103" s="224"/>
      <c r="O103" s="354"/>
      <c r="P103" s="355"/>
      <c r="Q103" s="296"/>
      <c r="R103" s="228"/>
      <c r="S103" s="467"/>
      <c r="T103" s="375"/>
      <c r="U103" s="266"/>
      <c r="V103" s="266"/>
      <c r="W103" s="267"/>
      <c r="X103" s="268"/>
    </row>
    <row r="104" spans="1:24" s="229" customFormat="1" ht="15" customHeight="1" x14ac:dyDescent="0.15">
      <c r="A104" s="567" t="s">
        <v>921</v>
      </c>
      <c r="B104" s="568"/>
      <c r="C104" s="568"/>
      <c r="D104" s="568"/>
      <c r="E104" s="568"/>
      <c r="F104" s="568"/>
      <c r="G104" s="568"/>
      <c r="H104" s="568"/>
      <c r="I104" s="568"/>
      <c r="J104" s="568"/>
      <c r="K104" s="569"/>
      <c r="L104" s="224">
        <f>SUMIF($P$82:$P$101,A104,$L$82:$L$101)</f>
        <v>0</v>
      </c>
      <c r="M104" s="353"/>
      <c r="N104" s="224"/>
      <c r="O104" s="354"/>
      <c r="P104" s="355"/>
      <c r="Q104" s="296"/>
      <c r="R104" s="228"/>
      <c r="S104" s="467"/>
      <c r="T104" s="375"/>
      <c r="U104" s="266"/>
      <c r="V104" s="266"/>
      <c r="W104" s="267"/>
      <c r="X104" s="268"/>
    </row>
    <row r="105" spans="1:24" x14ac:dyDescent="0.15">
      <c r="A105" s="61"/>
      <c r="B105" s="552"/>
      <c r="C105" s="557"/>
      <c r="D105" s="553"/>
      <c r="E105" s="552" t="s">
        <v>48</v>
      </c>
      <c r="F105" s="557"/>
      <c r="G105" s="557"/>
      <c r="H105" s="557"/>
      <c r="I105" s="557"/>
      <c r="J105" s="557"/>
      <c r="K105" s="553"/>
      <c r="L105" s="62">
        <f>SUM(L102:L104)</f>
        <v>60.34462714</v>
      </c>
      <c r="M105" s="63"/>
      <c r="N105" s="62">
        <f>SUM(N82:N101)</f>
        <v>0</v>
      </c>
      <c r="O105" s="63"/>
      <c r="P105" s="337"/>
      <c r="Q105" s="64"/>
      <c r="R105" s="64"/>
      <c r="S105" s="460"/>
      <c r="W105" s="264"/>
      <c r="X105" s="265"/>
    </row>
    <row r="106" spans="1:24" ht="24" x14ac:dyDescent="0.15">
      <c r="A106" s="65"/>
      <c r="B106" s="560" t="s">
        <v>49</v>
      </c>
      <c r="C106" s="561"/>
      <c r="D106" s="562"/>
      <c r="E106" s="565" t="s">
        <v>26</v>
      </c>
      <c r="F106" s="566"/>
      <c r="G106" s="66" t="s">
        <v>1150</v>
      </c>
      <c r="H106" s="351" t="s">
        <v>1151</v>
      </c>
      <c r="I106" s="66" t="s">
        <v>50</v>
      </c>
      <c r="J106" s="66" t="s">
        <v>51</v>
      </c>
      <c r="K106" s="67" t="s">
        <v>30</v>
      </c>
      <c r="L106" s="66" t="s">
        <v>52</v>
      </c>
      <c r="M106" s="68" t="s">
        <v>53</v>
      </c>
      <c r="N106" s="68" t="s">
        <v>34</v>
      </c>
      <c r="O106" s="69" t="s">
        <v>35</v>
      </c>
      <c r="P106" s="42"/>
      <c r="Q106" s="67"/>
      <c r="R106" s="67"/>
      <c r="S106" s="461"/>
      <c r="U106" s="270" t="s">
        <v>352</v>
      </c>
      <c r="V106" s="270" t="s">
        <v>353</v>
      </c>
      <c r="W106" s="271" t="s">
        <v>352</v>
      </c>
      <c r="X106" s="272" t="s">
        <v>353</v>
      </c>
    </row>
    <row r="107" spans="1:24" x14ac:dyDescent="0.15">
      <c r="A107" s="200">
        <v>1</v>
      </c>
      <c r="B107" s="545" t="s">
        <v>823</v>
      </c>
      <c r="C107" s="546"/>
      <c r="D107" s="547"/>
      <c r="E107" s="545" t="s">
        <v>55</v>
      </c>
      <c r="F107" s="547"/>
      <c r="G107" s="45" t="s">
        <v>1152</v>
      </c>
      <c r="H107" s="207" t="s">
        <v>1153</v>
      </c>
      <c r="I107" s="46">
        <f>IF(F67=128,L74-U107,IF(F67=120,L74-W107))</f>
        <v>1198.8499999999999</v>
      </c>
      <c r="J107" s="70">
        <f>IF(F67=128,L71-V107,IF(F67=120,L71-X107))</f>
        <v>2051.89</v>
      </c>
      <c r="K107" s="70">
        <v>2</v>
      </c>
      <c r="L107" s="46">
        <f>I107*J107*K107/1000000</f>
        <v>4.9198166529999989</v>
      </c>
      <c r="M107" s="46"/>
      <c r="N107" s="46">
        <f>M107*L107</f>
        <v>0</v>
      </c>
      <c r="O107" s="71"/>
      <c r="P107" s="71"/>
      <c r="Q107" s="72"/>
      <c r="R107" s="72"/>
      <c r="S107" s="462" t="s">
        <v>1610</v>
      </c>
      <c r="T107" s="374" t="s">
        <v>1611</v>
      </c>
      <c r="U107" s="259">
        <f>117+68.3/2</f>
        <v>151.15</v>
      </c>
      <c r="V107" s="259">
        <f>127+121.11</f>
        <v>248.11</v>
      </c>
      <c r="W107" s="264">
        <f>116+71.4/2</f>
        <v>151.69999999999999</v>
      </c>
      <c r="X107" s="265">
        <f>129.5*2</f>
        <v>259</v>
      </c>
    </row>
    <row r="108" spans="1:24" x14ac:dyDescent="0.15">
      <c r="A108" s="200"/>
      <c r="B108" s="545"/>
      <c r="C108" s="546"/>
      <c r="D108" s="547"/>
      <c r="E108" s="545"/>
      <c r="F108" s="547"/>
      <c r="G108" s="45"/>
      <c r="H108" s="207"/>
      <c r="I108" s="45"/>
      <c r="J108" s="45"/>
      <c r="K108" s="70"/>
      <c r="L108" s="46"/>
      <c r="M108" s="46"/>
      <c r="N108" s="46"/>
      <c r="O108" s="71"/>
      <c r="P108" s="71"/>
      <c r="Q108" s="72"/>
      <c r="R108" s="72"/>
      <c r="S108" s="462"/>
      <c r="W108" s="264"/>
      <c r="X108" s="265"/>
    </row>
    <row r="109" spans="1:24" x14ac:dyDescent="0.15">
      <c r="A109" s="200"/>
      <c r="B109" s="545"/>
      <c r="C109" s="546"/>
      <c r="D109" s="547"/>
      <c r="E109" s="545"/>
      <c r="F109" s="547"/>
      <c r="G109" s="45"/>
      <c r="H109" s="207"/>
      <c r="I109" s="46"/>
      <c r="J109" s="200"/>
      <c r="K109" s="70"/>
      <c r="L109" s="46"/>
      <c r="M109" s="46"/>
      <c r="N109" s="46"/>
      <c r="O109" s="48"/>
      <c r="P109" s="48"/>
      <c r="Q109" s="73"/>
      <c r="R109" s="73"/>
      <c r="S109" s="463"/>
      <c r="W109" s="264"/>
      <c r="X109" s="265"/>
    </row>
    <row r="110" spans="1:24" x14ac:dyDescent="0.15">
      <c r="A110" s="74"/>
      <c r="B110" s="552"/>
      <c r="C110" s="557"/>
      <c r="D110" s="553"/>
      <c r="E110" s="554" t="s">
        <v>56</v>
      </c>
      <c r="F110" s="554"/>
      <c r="G110" s="554"/>
      <c r="H110" s="579"/>
      <c r="I110" s="570"/>
      <c r="J110" s="570"/>
      <c r="K110" s="554"/>
      <c r="L110" s="62">
        <f>SUM(L107:L109)</f>
        <v>4.9198166529999989</v>
      </c>
      <c r="M110" s="197"/>
      <c r="N110" s="62">
        <f>SUM(N107:N109)</f>
        <v>0</v>
      </c>
      <c r="O110" s="63" t="s">
        <v>57</v>
      </c>
      <c r="P110" s="337"/>
      <c r="Q110" s="64"/>
      <c r="R110" s="64"/>
      <c r="S110" s="460"/>
    </row>
    <row r="111" spans="1:24" ht="24" x14ac:dyDescent="0.15">
      <c r="A111" s="65"/>
      <c r="B111" s="560" t="s">
        <v>58</v>
      </c>
      <c r="C111" s="561"/>
      <c r="D111" s="562"/>
      <c r="E111" s="565" t="s">
        <v>26</v>
      </c>
      <c r="F111" s="566"/>
      <c r="G111" s="66" t="s">
        <v>59</v>
      </c>
      <c r="H111" s="351"/>
      <c r="I111" s="66" t="s">
        <v>60</v>
      </c>
      <c r="J111" s="66" t="s">
        <v>6</v>
      </c>
      <c r="K111" s="67" t="s">
        <v>61</v>
      </c>
      <c r="L111" s="66" t="s">
        <v>30</v>
      </c>
      <c r="M111" s="68" t="s">
        <v>62</v>
      </c>
      <c r="N111" s="68" t="s">
        <v>34</v>
      </c>
      <c r="O111" s="69" t="s">
        <v>57</v>
      </c>
      <c r="P111" s="42"/>
      <c r="Q111" s="67"/>
      <c r="R111" s="67"/>
      <c r="S111" s="461"/>
    </row>
    <row r="112" spans="1:24" ht="25.5" customHeight="1" x14ac:dyDescent="0.15">
      <c r="A112" s="200">
        <v>1</v>
      </c>
      <c r="B112" s="545"/>
      <c r="C112" s="546"/>
      <c r="D112" s="547"/>
      <c r="E112" s="545" t="s">
        <v>831</v>
      </c>
      <c r="F112" s="547"/>
      <c r="G112" s="45"/>
      <c r="H112" s="207"/>
      <c r="I112" s="45"/>
      <c r="J112" s="46" t="str">
        <f>VLOOKUP($E:$E,材料单价表!$B$3:$G$42,4,0)</f>
        <v>套</v>
      </c>
      <c r="K112" s="72"/>
      <c r="L112" s="46">
        <v>2</v>
      </c>
      <c r="M112" s="46">
        <f>VLOOKUP($E:$E,材料单价表!$B$3:$G$42,5,0)</f>
        <v>0</v>
      </c>
      <c r="N112" s="46">
        <f t="shared" ref="N112" si="23">M112*L112</f>
        <v>0</v>
      </c>
      <c r="O112" s="48"/>
      <c r="P112" s="48"/>
      <c r="Q112" s="73"/>
      <c r="R112" s="73"/>
      <c r="S112" s="463"/>
    </row>
    <row r="113" spans="1:22" x14ac:dyDescent="0.15">
      <c r="A113" s="74"/>
      <c r="B113" s="552"/>
      <c r="C113" s="557"/>
      <c r="D113" s="553"/>
      <c r="E113" s="554" t="s">
        <v>64</v>
      </c>
      <c r="F113" s="554"/>
      <c r="G113" s="554"/>
      <c r="H113" s="579"/>
      <c r="I113" s="570"/>
      <c r="J113" s="570"/>
      <c r="K113" s="554"/>
      <c r="L113" s="62">
        <f>L112</f>
        <v>2</v>
      </c>
      <c r="M113" s="197"/>
      <c r="N113" s="62">
        <f>SUM(N112:N112)</f>
        <v>0</v>
      </c>
      <c r="O113" s="63" t="s">
        <v>57</v>
      </c>
      <c r="P113" s="337"/>
      <c r="Q113" s="64"/>
      <c r="R113" s="64"/>
      <c r="S113" s="460"/>
    </row>
    <row r="114" spans="1:22" ht="24" x14ac:dyDescent="0.15">
      <c r="A114" s="65"/>
      <c r="B114" s="560" t="s">
        <v>65</v>
      </c>
      <c r="C114" s="561"/>
      <c r="D114" s="562"/>
      <c r="E114" s="565" t="s">
        <v>26</v>
      </c>
      <c r="F114" s="566"/>
      <c r="G114" s="66" t="s">
        <v>59</v>
      </c>
      <c r="H114" s="351"/>
      <c r="I114" s="66" t="s">
        <v>60</v>
      </c>
      <c r="J114" s="66" t="s">
        <v>6</v>
      </c>
      <c r="K114" s="67" t="s">
        <v>61</v>
      </c>
      <c r="L114" s="66" t="s">
        <v>30</v>
      </c>
      <c r="M114" s="68" t="s">
        <v>62</v>
      </c>
      <c r="N114" s="68" t="s">
        <v>34</v>
      </c>
      <c r="O114" s="69" t="s">
        <v>57</v>
      </c>
      <c r="P114" s="42"/>
      <c r="Q114" s="67"/>
      <c r="R114" s="67"/>
      <c r="S114" s="461"/>
    </row>
    <row r="115" spans="1:22" ht="13.5" customHeight="1" x14ac:dyDescent="0.15">
      <c r="A115" s="76">
        <v>1</v>
      </c>
      <c r="B115" s="545"/>
      <c r="C115" s="546"/>
      <c r="D115" s="547"/>
      <c r="E115" s="558" t="s">
        <v>66</v>
      </c>
      <c r="F115" s="559"/>
      <c r="G115" s="78"/>
      <c r="H115" s="352"/>
      <c r="I115" s="77"/>
      <c r="J115" s="46" t="str">
        <f>VLOOKUP($E:$E,材料单价表!$B$3:$G$42,4,0)</f>
        <v>m</v>
      </c>
      <c r="K115" s="46"/>
      <c r="L115" s="80">
        <f>L80</f>
        <v>10.4</v>
      </c>
      <c r="M115" s="46">
        <f>VLOOKUP($E:$E,材料单价表!$B$3:$G$42,5,0)</f>
        <v>0</v>
      </c>
      <c r="N115" s="46">
        <f>M115*L115</f>
        <v>0</v>
      </c>
      <c r="O115" s="48"/>
      <c r="P115" s="59"/>
      <c r="Q115" s="81"/>
      <c r="R115" s="79"/>
      <c r="S115" s="464"/>
    </row>
    <row r="116" spans="1:22" ht="15.75" customHeight="1" x14ac:dyDescent="0.15">
      <c r="A116" s="76">
        <v>2</v>
      </c>
      <c r="B116" s="545"/>
      <c r="C116" s="546"/>
      <c r="D116" s="547"/>
      <c r="E116" s="558" t="s">
        <v>68</v>
      </c>
      <c r="F116" s="559"/>
      <c r="G116" s="78" t="s">
        <v>67</v>
      </c>
      <c r="H116" s="352"/>
      <c r="I116" s="77"/>
      <c r="J116" s="46" t="str">
        <f>VLOOKUP($E:$E,材料单价表!$B$3:$G$42,4,0)</f>
        <v>m</v>
      </c>
      <c r="K116" s="46"/>
      <c r="L116" s="80">
        <f>(I86*J86+I87*J87+I88*J88+I89*J89+I90*J90)/1000*2</f>
        <v>27.477840000000004</v>
      </c>
      <c r="M116" s="46">
        <f>VLOOKUP($E:$E,材料单价表!$B$3:$G$42,5,0)</f>
        <v>0</v>
      </c>
      <c r="N116" s="46">
        <f t="shared" ref="N116:N121" si="24">M116*L116</f>
        <v>0</v>
      </c>
      <c r="O116" s="48"/>
      <c r="P116" s="59"/>
      <c r="Q116" s="81"/>
      <c r="R116" s="79"/>
      <c r="S116" s="464"/>
      <c r="U116" s="104"/>
      <c r="V116" s="104"/>
    </row>
    <row r="117" spans="1:22" ht="13.5" customHeight="1" x14ac:dyDescent="0.15">
      <c r="A117" s="76">
        <v>3</v>
      </c>
      <c r="B117" s="545"/>
      <c r="C117" s="546"/>
      <c r="D117" s="547"/>
      <c r="E117" s="558" t="s">
        <v>68</v>
      </c>
      <c r="F117" s="559"/>
      <c r="G117" s="78" t="s">
        <v>69</v>
      </c>
      <c r="H117" s="352"/>
      <c r="I117" s="77"/>
      <c r="J117" s="46" t="str">
        <f>VLOOKUP($E:$E,材料单价表!$B$3:$G$42,4,0)</f>
        <v>m</v>
      </c>
      <c r="K117" s="46"/>
      <c r="L117" s="80">
        <f>L80</f>
        <v>10.4</v>
      </c>
      <c r="M117" s="46">
        <f>VLOOKUP($E:$E,材料单价表!$B$3:$G$42,5,0)</f>
        <v>0</v>
      </c>
      <c r="N117" s="46">
        <f t="shared" si="24"/>
        <v>0</v>
      </c>
      <c r="O117" s="48"/>
      <c r="P117" s="59"/>
      <c r="Q117" s="81"/>
      <c r="R117" s="79"/>
      <c r="S117" s="464"/>
      <c r="U117" s="104"/>
      <c r="V117" s="104"/>
    </row>
    <row r="118" spans="1:22" ht="13.5" customHeight="1" x14ac:dyDescent="0.15">
      <c r="A118" s="76">
        <v>4</v>
      </c>
      <c r="B118" s="545"/>
      <c r="C118" s="546"/>
      <c r="D118" s="547"/>
      <c r="E118" s="558" t="s">
        <v>68</v>
      </c>
      <c r="F118" s="559"/>
      <c r="G118" s="78" t="s">
        <v>70</v>
      </c>
      <c r="H118" s="352"/>
      <c r="I118" s="77"/>
      <c r="J118" s="46" t="str">
        <f>VLOOKUP($E:$E,材料单价表!$B$3:$G$42,4,0)</f>
        <v>m</v>
      </c>
      <c r="K118" s="46"/>
      <c r="L118" s="80">
        <f>L80</f>
        <v>10.4</v>
      </c>
      <c r="M118" s="46">
        <f>VLOOKUP($E:$E,材料单价表!$B$3:$G$42,5,0)</f>
        <v>0</v>
      </c>
      <c r="N118" s="46">
        <f t="shared" si="24"/>
        <v>0</v>
      </c>
      <c r="O118" s="48"/>
      <c r="P118" s="59"/>
      <c r="Q118" s="81"/>
      <c r="R118" s="79"/>
      <c r="S118" s="464"/>
      <c r="U118" s="104"/>
      <c r="V118" s="104"/>
    </row>
    <row r="119" spans="1:22" ht="13.5" customHeight="1" x14ac:dyDescent="0.15">
      <c r="A119" s="76">
        <v>5</v>
      </c>
      <c r="B119" s="545"/>
      <c r="C119" s="546"/>
      <c r="D119" s="547"/>
      <c r="E119" s="558" t="s">
        <v>71</v>
      </c>
      <c r="F119" s="559"/>
      <c r="G119" s="78"/>
      <c r="H119" s="352"/>
      <c r="I119" s="77"/>
      <c r="J119" s="46" t="str">
        <f>VLOOKUP($E:$E,材料单价表!$B$3:$G$42,4,0)</f>
        <v>个</v>
      </c>
      <c r="K119" s="79"/>
      <c r="L119" s="80">
        <f>J99+J100</f>
        <v>0</v>
      </c>
      <c r="M119" s="46">
        <f>VLOOKUP($E:$E,材料单价表!$B$3:$G$42,5,0)</f>
        <v>0</v>
      </c>
      <c r="N119" s="46">
        <f t="shared" si="24"/>
        <v>0</v>
      </c>
      <c r="O119" s="48"/>
      <c r="P119" s="59"/>
      <c r="Q119" s="81"/>
      <c r="R119" s="79"/>
      <c r="S119" s="464"/>
    </row>
    <row r="120" spans="1:22" ht="13.5" customHeight="1" x14ac:dyDescent="0.15">
      <c r="A120" s="76">
        <v>6</v>
      </c>
      <c r="B120" s="545"/>
      <c r="C120" s="546"/>
      <c r="D120" s="547"/>
      <c r="E120" s="558" t="s">
        <v>833</v>
      </c>
      <c r="F120" s="559"/>
      <c r="G120" s="78"/>
      <c r="H120" s="352"/>
      <c r="I120" s="77"/>
      <c r="J120" s="46" t="str">
        <f>VLOOKUP($E:$E,材料单价表!$B$3:$G$42,4,0)</f>
        <v>m</v>
      </c>
      <c r="K120" s="79"/>
      <c r="L120" s="80">
        <f>(I86*J86+I88*J88+I89*J89+I90*J90)/1000*2</f>
        <v>18.614319999999999</v>
      </c>
      <c r="M120" s="46">
        <f>VLOOKUP($E:$E,材料单价表!$B$3:$G$42,5,0)</f>
        <v>0</v>
      </c>
      <c r="N120" s="46">
        <f t="shared" si="24"/>
        <v>0</v>
      </c>
      <c r="O120" s="48"/>
      <c r="P120" s="59"/>
      <c r="Q120" s="81"/>
      <c r="R120" s="46"/>
      <c r="S120" s="465"/>
    </row>
    <row r="121" spans="1:22" x14ac:dyDescent="0.15">
      <c r="A121" s="76">
        <v>7</v>
      </c>
      <c r="B121" s="545"/>
      <c r="C121" s="546"/>
      <c r="D121" s="547"/>
      <c r="E121" s="558" t="s">
        <v>72</v>
      </c>
      <c r="F121" s="559"/>
      <c r="G121" s="45"/>
      <c r="H121" s="207"/>
      <c r="I121" s="45"/>
      <c r="J121" s="46" t="str">
        <f>VLOOKUP($E:$E,材料单价表!$B$3:$G$42,4,0)</f>
        <v>m2</v>
      </c>
      <c r="K121" s="72"/>
      <c r="L121" s="46">
        <f>L127</f>
        <v>6.72</v>
      </c>
      <c r="M121" s="46">
        <f>VLOOKUP($E:$E,材料单价表!$B$3:$G$42,5,0)</f>
        <v>0</v>
      </c>
      <c r="N121" s="46">
        <f t="shared" si="24"/>
        <v>0</v>
      </c>
      <c r="O121" s="48"/>
      <c r="P121" s="48"/>
      <c r="Q121" s="73"/>
      <c r="R121" s="73"/>
      <c r="S121" s="463"/>
    </row>
    <row r="122" spans="1:22" x14ac:dyDescent="0.15">
      <c r="A122" s="76">
        <v>8</v>
      </c>
      <c r="B122" s="545"/>
      <c r="C122" s="546"/>
      <c r="D122" s="547"/>
      <c r="E122" s="198"/>
      <c r="F122" s="199"/>
      <c r="G122" s="207"/>
      <c r="H122" s="207"/>
      <c r="I122" s="207"/>
      <c r="J122" s="208"/>
      <c r="K122" s="209"/>
      <c r="L122" s="208"/>
      <c r="M122" s="208"/>
      <c r="N122" s="208"/>
      <c r="O122" s="211"/>
      <c r="P122" s="48"/>
      <c r="Q122" s="212"/>
      <c r="R122" s="212"/>
      <c r="S122" s="463"/>
    </row>
    <row r="123" spans="1:22" x14ac:dyDescent="0.15">
      <c r="A123" s="76">
        <v>9</v>
      </c>
      <c r="B123" s="545"/>
      <c r="C123" s="546"/>
      <c r="D123" s="547"/>
      <c r="E123" s="558"/>
      <c r="F123" s="559"/>
      <c r="G123" s="45"/>
      <c r="H123" s="207"/>
      <c r="I123" s="45"/>
      <c r="J123" s="45"/>
      <c r="K123" s="72"/>
      <c r="L123" s="46"/>
      <c r="M123" s="46"/>
      <c r="N123" s="82"/>
      <c r="O123" s="48"/>
      <c r="P123" s="48"/>
      <c r="Q123" s="73"/>
      <c r="R123" s="73"/>
      <c r="S123" s="463"/>
    </row>
    <row r="124" spans="1:22" x14ac:dyDescent="0.15">
      <c r="A124" s="74"/>
      <c r="B124" s="552"/>
      <c r="C124" s="557"/>
      <c r="D124" s="553"/>
      <c r="E124" s="552" t="s">
        <v>73</v>
      </c>
      <c r="F124" s="557"/>
      <c r="G124" s="557"/>
      <c r="H124" s="557"/>
      <c r="I124" s="557"/>
      <c r="J124" s="557"/>
      <c r="K124" s="557"/>
      <c r="L124" s="61"/>
      <c r="M124" s="61"/>
      <c r="N124" s="62">
        <f>SUM(N115:N123)</f>
        <v>0</v>
      </c>
      <c r="O124" s="63" t="s">
        <v>57</v>
      </c>
      <c r="P124" s="337"/>
      <c r="Q124" s="64"/>
      <c r="R124" s="64"/>
      <c r="S124" s="460"/>
    </row>
    <row r="125" spans="1:22" x14ac:dyDescent="0.15">
      <c r="A125" s="74"/>
      <c r="B125" s="552"/>
      <c r="C125" s="557"/>
      <c r="D125" s="553"/>
      <c r="E125" s="552" t="s">
        <v>74</v>
      </c>
      <c r="F125" s="557"/>
      <c r="G125" s="557"/>
      <c r="H125" s="557"/>
      <c r="I125" s="557"/>
      <c r="J125" s="557"/>
      <c r="K125" s="557"/>
      <c r="L125" s="557"/>
      <c r="M125" s="553"/>
      <c r="N125" s="62">
        <f>N124+N113+N110+N105</f>
        <v>0</v>
      </c>
      <c r="O125" s="63" t="s">
        <v>57</v>
      </c>
      <c r="P125" s="337"/>
      <c r="Q125" s="64"/>
      <c r="R125" s="64"/>
      <c r="S125" s="460"/>
    </row>
    <row r="126" spans="1:22" ht="24" x14ac:dyDescent="0.15">
      <c r="A126" s="65"/>
      <c r="B126" s="560" t="s">
        <v>75</v>
      </c>
      <c r="C126" s="561"/>
      <c r="D126" s="562"/>
      <c r="E126" s="565" t="s">
        <v>26</v>
      </c>
      <c r="F126" s="566"/>
      <c r="G126" s="66"/>
      <c r="H126" s="351"/>
      <c r="I126" s="66"/>
      <c r="J126" s="66" t="s">
        <v>6</v>
      </c>
      <c r="K126" s="83" t="s">
        <v>61</v>
      </c>
      <c r="L126" s="66" t="s">
        <v>76</v>
      </c>
      <c r="M126" s="68" t="s">
        <v>62</v>
      </c>
      <c r="N126" s="68" t="s">
        <v>34</v>
      </c>
      <c r="O126" s="84" t="s">
        <v>57</v>
      </c>
      <c r="P126" s="84"/>
      <c r="Q126" s="67"/>
      <c r="R126" s="67"/>
      <c r="S126" s="461"/>
    </row>
    <row r="127" spans="1:22" x14ac:dyDescent="0.15">
      <c r="A127" s="200">
        <v>1</v>
      </c>
      <c r="B127" s="545"/>
      <c r="C127" s="546"/>
      <c r="D127" s="547"/>
      <c r="E127" s="545" t="s">
        <v>77</v>
      </c>
      <c r="F127" s="547"/>
      <c r="G127" s="45"/>
      <c r="H127" s="207"/>
      <c r="I127" s="46"/>
      <c r="J127" s="45" t="s">
        <v>78</v>
      </c>
      <c r="K127" s="72"/>
      <c r="L127" s="85">
        <f>N67</f>
        <v>6.72</v>
      </c>
      <c r="M127" s="46">
        <f>VLOOKUP($E:$E,材料单价表!$B$3:$G$42,5,0)</f>
        <v>0</v>
      </c>
      <c r="N127" s="46">
        <f>M127*L127</f>
        <v>0</v>
      </c>
      <c r="O127" s="48"/>
      <c r="P127" s="48"/>
      <c r="Q127" s="72"/>
      <c r="R127" s="72"/>
      <c r="S127" s="462"/>
    </row>
    <row r="128" spans="1:22" x14ac:dyDescent="0.15">
      <c r="A128" s="200">
        <v>2</v>
      </c>
      <c r="B128" s="545"/>
      <c r="C128" s="546"/>
      <c r="D128" s="547"/>
      <c r="E128" s="545" t="s">
        <v>79</v>
      </c>
      <c r="F128" s="547"/>
      <c r="G128" s="45"/>
      <c r="H128" s="207"/>
      <c r="I128" s="46"/>
      <c r="J128" s="45" t="s">
        <v>78</v>
      </c>
      <c r="K128" s="72"/>
      <c r="L128" s="85">
        <f>L127</f>
        <v>6.72</v>
      </c>
      <c r="M128" s="46">
        <f>VLOOKUP($E:$E,材料单价表!$B$3:$G$42,5,0)</f>
        <v>0</v>
      </c>
      <c r="N128" s="46">
        <f>M128*L128</f>
        <v>0</v>
      </c>
      <c r="O128" s="48"/>
      <c r="P128" s="48"/>
      <c r="Q128" s="72"/>
      <c r="R128" s="72"/>
      <c r="S128" s="462"/>
    </row>
    <row r="129" spans="1:19" ht="24.75" customHeight="1" x14ac:dyDescent="0.15">
      <c r="A129" s="74"/>
      <c r="B129" s="552"/>
      <c r="C129" s="557"/>
      <c r="D129" s="553"/>
      <c r="E129" s="552" t="s">
        <v>80</v>
      </c>
      <c r="F129" s="553"/>
      <c r="G129" s="194"/>
      <c r="H129" s="348"/>
      <c r="I129" s="554" t="s">
        <v>81</v>
      </c>
      <c r="J129" s="554"/>
      <c r="K129" s="554"/>
      <c r="L129" s="554"/>
      <c r="M129" s="87"/>
      <c r="N129" s="62">
        <f>N125+N127+N128</f>
        <v>0</v>
      </c>
      <c r="O129" s="63" t="s">
        <v>57</v>
      </c>
      <c r="P129" s="337"/>
      <c r="Q129" s="64"/>
      <c r="R129" s="64"/>
      <c r="S129" s="460"/>
    </row>
    <row r="130" spans="1:19" ht="24" customHeight="1" x14ac:dyDescent="0.15">
      <c r="A130" s="74"/>
      <c r="B130" s="552"/>
      <c r="C130" s="557"/>
      <c r="D130" s="553"/>
      <c r="E130" s="555" t="s">
        <v>82</v>
      </c>
      <c r="F130" s="556"/>
      <c r="G130" s="193"/>
      <c r="H130" s="349"/>
      <c r="I130" s="552" t="s">
        <v>81</v>
      </c>
      <c r="J130" s="557"/>
      <c r="K130" s="557"/>
      <c r="L130" s="557"/>
      <c r="M130" s="62"/>
      <c r="N130" s="62">
        <f>N129/N67</f>
        <v>0</v>
      </c>
      <c r="O130" s="89" t="s">
        <v>57</v>
      </c>
      <c r="P130" s="89"/>
      <c r="Q130" s="90"/>
      <c r="R130" s="90"/>
      <c r="S130" s="466"/>
    </row>
    <row r="131" spans="1:19" ht="18.75" customHeight="1" x14ac:dyDescent="0.15">
      <c r="A131" s="549" t="s">
        <v>0</v>
      </c>
      <c r="B131" s="549"/>
      <c r="C131" s="549"/>
      <c r="D131" s="549"/>
      <c r="E131" s="549"/>
      <c r="F131" s="549"/>
      <c r="G131" s="549"/>
      <c r="H131" s="549"/>
      <c r="I131" s="549"/>
      <c r="J131" s="549"/>
      <c r="K131" s="550"/>
      <c r="L131" s="549"/>
      <c r="M131" s="549"/>
      <c r="N131" s="549"/>
      <c r="O131" s="549"/>
      <c r="P131" s="549"/>
      <c r="Q131" s="551"/>
      <c r="R131" s="551"/>
      <c r="S131" s="415"/>
    </row>
    <row r="132" spans="1:19" ht="15" customHeight="1" x14ac:dyDescent="0.15">
      <c r="A132" s="2" t="s">
        <v>1</v>
      </c>
      <c r="B132" s="3" t="str">
        <f>$B$2</f>
        <v>TLM</v>
      </c>
      <c r="C132" s="3">
        <v>7</v>
      </c>
      <c r="D132" s="3"/>
      <c r="E132" s="4" t="s">
        <v>2</v>
      </c>
      <c r="F132" s="5">
        <v>128</v>
      </c>
      <c r="G132" s="106" t="s">
        <v>86</v>
      </c>
      <c r="H132" s="106"/>
      <c r="I132" s="4" t="s">
        <v>3</v>
      </c>
      <c r="J132" s="6">
        <f>K135</f>
        <v>4900</v>
      </c>
      <c r="K132" s="7" t="s">
        <v>83</v>
      </c>
      <c r="L132" s="6">
        <f>K134</f>
        <v>2400</v>
      </c>
      <c r="M132" s="8" t="s">
        <v>4</v>
      </c>
      <c r="N132" s="9">
        <f>L144</f>
        <v>11.76</v>
      </c>
      <c r="O132" s="10"/>
      <c r="P132" s="10"/>
      <c r="Q132" s="10" t="s">
        <v>5</v>
      </c>
      <c r="R132" s="11"/>
      <c r="S132" s="457"/>
    </row>
    <row r="133" spans="1:19" ht="15" customHeight="1" x14ac:dyDescent="0.2">
      <c r="A133" s="12"/>
      <c r="B133" s="13"/>
      <c r="C133" s="13"/>
      <c r="D133" s="13"/>
      <c r="E133" s="14"/>
      <c r="F133" s="14"/>
      <c r="G133" s="15"/>
      <c r="H133" s="15"/>
      <c r="I133" s="16"/>
      <c r="J133" s="16" t="s">
        <v>6</v>
      </c>
      <c r="K133" s="17" t="s">
        <v>7</v>
      </c>
      <c r="L133" s="16" t="s">
        <v>8</v>
      </c>
      <c r="M133" s="18"/>
      <c r="N133" s="548" t="s">
        <v>1087</v>
      </c>
      <c r="O133" s="548"/>
      <c r="P133" s="16" t="s">
        <v>1018</v>
      </c>
      <c r="Q133" s="19"/>
      <c r="R133" s="20"/>
      <c r="S133" s="27"/>
    </row>
    <row r="134" spans="1:19" ht="15" customHeight="1" x14ac:dyDescent="0.2">
      <c r="A134" s="398" t="s">
        <v>918</v>
      </c>
      <c r="B134" s="406" t="s">
        <v>1141</v>
      </c>
      <c r="C134"/>
      <c r="D134"/>
      <c r="E134" s="23"/>
      <c r="F134" s="23"/>
      <c r="G134" s="107"/>
      <c r="H134" s="107"/>
      <c r="I134" s="24" t="s">
        <v>9</v>
      </c>
      <c r="J134" s="16" t="s">
        <v>10</v>
      </c>
      <c r="K134" s="25">
        <v>2400</v>
      </c>
      <c r="L134" s="113">
        <f>K134-L143*2</f>
        <v>2300</v>
      </c>
      <c r="M134" s="18"/>
      <c r="N134" s="356" t="s">
        <v>1088</v>
      </c>
      <c r="O134" s="357"/>
      <c r="P134" s="16" t="s">
        <v>1019</v>
      </c>
      <c r="Q134" s="27"/>
      <c r="R134" s="28"/>
      <c r="S134" s="27"/>
    </row>
    <row r="135" spans="1:19" ht="15" customHeight="1" x14ac:dyDescent="0.2">
      <c r="A135" s="21"/>
      <c r="B135" s="22"/>
      <c r="C135" s="22"/>
      <c r="D135" s="22"/>
      <c r="E135" s="23"/>
      <c r="F135" s="23"/>
      <c r="G135" s="18"/>
      <c r="H135" s="18"/>
      <c r="I135" s="24" t="s">
        <v>11</v>
      </c>
      <c r="J135" s="16" t="s">
        <v>10</v>
      </c>
      <c r="K135" s="25">
        <v>4900</v>
      </c>
      <c r="L135" s="113">
        <f>K135-L143*2</f>
        <v>4800</v>
      </c>
      <c r="M135" s="18"/>
      <c r="N135" s="356" t="s">
        <v>1089</v>
      </c>
      <c r="O135" s="357"/>
      <c r="P135" s="16" t="s">
        <v>1022</v>
      </c>
      <c r="Q135" s="27"/>
      <c r="R135" s="28"/>
      <c r="S135" s="27"/>
    </row>
    <row r="136" spans="1:19" ht="15" customHeight="1" x14ac:dyDescent="0.2">
      <c r="A136" s="21"/>
      <c r="B136" s="22"/>
      <c r="C136" s="22"/>
      <c r="D136" s="22"/>
      <c r="E136" s="23"/>
      <c r="F136" s="23"/>
      <c r="G136" s="18"/>
      <c r="H136" s="18"/>
      <c r="I136" s="24" t="s">
        <v>12</v>
      </c>
      <c r="J136" s="16" t="s">
        <v>10</v>
      </c>
      <c r="K136" s="26"/>
      <c r="L136" s="113">
        <f>L134</f>
        <v>2300</v>
      </c>
      <c r="M136" s="18"/>
      <c r="N136" s="356" t="s">
        <v>924</v>
      </c>
      <c r="O136" s="357"/>
      <c r="P136" s="16" t="s">
        <v>1020</v>
      </c>
      <c r="Q136" s="27"/>
      <c r="R136" s="28"/>
      <c r="S136" s="27"/>
    </row>
    <row r="137" spans="1:19" ht="15" customHeight="1" x14ac:dyDescent="0.2">
      <c r="A137" s="21"/>
      <c r="B137" s="22"/>
      <c r="C137" s="22"/>
      <c r="D137" s="22"/>
      <c r="E137" s="23"/>
      <c r="F137" s="23"/>
      <c r="G137" s="18"/>
      <c r="H137" s="18"/>
      <c r="I137" s="24" t="s">
        <v>13</v>
      </c>
      <c r="J137" s="16" t="s">
        <v>10</v>
      </c>
      <c r="K137" s="26"/>
      <c r="L137" s="113"/>
      <c r="M137" s="18"/>
      <c r="N137" s="356" t="s">
        <v>925</v>
      </c>
      <c r="O137" s="357"/>
      <c r="P137" s="16" t="s">
        <v>1021</v>
      </c>
      <c r="Q137" s="27"/>
      <c r="R137" s="28"/>
      <c r="S137" s="27"/>
    </row>
    <row r="138" spans="1:19" ht="15" customHeight="1" x14ac:dyDescent="0.2">
      <c r="A138" s="21"/>
      <c r="B138" s="22"/>
      <c r="C138" s="22"/>
      <c r="D138" s="22"/>
      <c r="E138" s="23"/>
      <c r="F138" s="23"/>
      <c r="G138" s="18"/>
      <c r="H138" s="18"/>
      <c r="I138" s="24" t="s">
        <v>14</v>
      </c>
      <c r="J138" s="16" t="s">
        <v>10</v>
      </c>
      <c r="K138" s="26"/>
      <c r="L138" s="113"/>
      <c r="M138" s="18"/>
      <c r="N138" s="356"/>
      <c r="O138" s="357"/>
      <c r="P138" s="16"/>
      <c r="Q138" s="27"/>
      <c r="R138" s="28"/>
      <c r="S138" s="27"/>
    </row>
    <row r="139" spans="1:19" ht="15" customHeight="1" x14ac:dyDescent="0.2">
      <c r="A139" s="21"/>
      <c r="B139" s="22"/>
      <c r="C139" s="22"/>
      <c r="D139" s="22"/>
      <c r="E139" s="23"/>
      <c r="F139" s="23"/>
      <c r="G139" s="18"/>
      <c r="H139" s="18"/>
      <c r="I139" s="24" t="s">
        <v>15</v>
      </c>
      <c r="J139" s="16" t="s">
        <v>10</v>
      </c>
      <c r="K139" s="26"/>
      <c r="L139" s="113">
        <f>L135/4</f>
        <v>1200</v>
      </c>
      <c r="M139" s="18"/>
      <c r="N139" s="356" t="s">
        <v>928</v>
      </c>
      <c r="O139" s="357"/>
      <c r="P139" s="16" t="s">
        <v>1005</v>
      </c>
      <c r="Q139" s="27"/>
      <c r="R139" s="28"/>
      <c r="S139" s="27"/>
    </row>
    <row r="140" spans="1:19" ht="15" customHeight="1" x14ac:dyDescent="0.2">
      <c r="A140" s="21"/>
      <c r="B140" s="22"/>
      <c r="C140" s="22"/>
      <c r="D140" s="22"/>
      <c r="E140" s="23"/>
      <c r="F140" s="23"/>
      <c r="G140" s="18"/>
      <c r="H140" s="18"/>
      <c r="I140" s="24" t="s">
        <v>16</v>
      </c>
      <c r="J140" s="16" t="s">
        <v>10</v>
      </c>
      <c r="K140" s="26"/>
      <c r="L140" s="113"/>
      <c r="M140" s="18"/>
      <c r="N140" s="356" t="s">
        <v>929</v>
      </c>
      <c r="O140" s="357"/>
      <c r="P140" s="16" t="s">
        <v>1024</v>
      </c>
      <c r="Q140" s="27"/>
      <c r="R140" s="28"/>
      <c r="S140" s="27"/>
    </row>
    <row r="141" spans="1:19" ht="15" customHeight="1" x14ac:dyDescent="0.2">
      <c r="A141" s="21"/>
      <c r="B141" s="22"/>
      <c r="C141" s="22"/>
      <c r="D141" s="22"/>
      <c r="E141" s="23"/>
      <c r="F141" s="23"/>
      <c r="G141" s="18"/>
      <c r="H141" s="18"/>
      <c r="I141" s="24" t="s">
        <v>17</v>
      </c>
      <c r="J141" s="16" t="s">
        <v>10</v>
      </c>
      <c r="K141" s="26"/>
      <c r="L141" s="113"/>
      <c r="M141" s="18"/>
      <c r="N141" s="356" t="s">
        <v>930</v>
      </c>
      <c r="O141" s="357"/>
      <c r="P141" s="16" t="s">
        <v>931</v>
      </c>
      <c r="Q141" s="27"/>
      <c r="R141" s="28"/>
      <c r="S141" s="27"/>
    </row>
    <row r="142" spans="1:19" ht="15" customHeight="1" x14ac:dyDescent="0.2">
      <c r="A142" s="21"/>
      <c r="B142" s="22"/>
      <c r="C142" s="22"/>
      <c r="D142" s="22"/>
      <c r="E142" s="23"/>
      <c r="F142" s="23"/>
      <c r="G142" s="18"/>
      <c r="H142" s="18"/>
      <c r="I142" s="24" t="s">
        <v>18</v>
      </c>
      <c r="J142" s="16" t="s">
        <v>10</v>
      </c>
      <c r="K142" s="26"/>
      <c r="L142" s="113"/>
      <c r="M142" s="18"/>
      <c r="N142" s="356" t="s">
        <v>932</v>
      </c>
      <c r="O142" s="357"/>
      <c r="P142" s="16" t="s">
        <v>933</v>
      </c>
      <c r="Q142" s="27"/>
      <c r="R142" s="28"/>
      <c r="S142" s="27"/>
    </row>
    <row r="143" spans="1:19" ht="15" customHeight="1" x14ac:dyDescent="0.2">
      <c r="A143" s="21"/>
      <c r="B143" s="22"/>
      <c r="C143" s="22"/>
      <c r="D143" s="22"/>
      <c r="E143" s="23"/>
      <c r="F143" s="23"/>
      <c r="G143" s="18"/>
      <c r="H143" s="18"/>
      <c r="I143" s="24" t="s">
        <v>19</v>
      </c>
      <c r="J143" s="16" t="s">
        <v>10</v>
      </c>
      <c r="K143" s="26"/>
      <c r="L143" s="25">
        <v>50</v>
      </c>
      <c r="M143" s="18"/>
      <c r="N143" s="356" t="s">
        <v>1101</v>
      </c>
      <c r="O143" s="357"/>
      <c r="P143" s="16" t="s">
        <v>935</v>
      </c>
      <c r="Q143" s="27"/>
      <c r="R143" s="28"/>
      <c r="S143" s="27"/>
    </row>
    <row r="144" spans="1:19" ht="15" customHeight="1" x14ac:dyDescent="0.2">
      <c r="A144" s="21"/>
      <c r="B144" s="22"/>
      <c r="C144" s="22"/>
      <c r="D144" s="22"/>
      <c r="E144" s="23"/>
      <c r="F144" s="23"/>
      <c r="G144" s="18"/>
      <c r="H144" s="18"/>
      <c r="I144" s="29" t="s">
        <v>20</v>
      </c>
      <c r="J144" s="16" t="s">
        <v>21</v>
      </c>
      <c r="K144" s="30"/>
      <c r="L144" s="31">
        <f>K134*K135/1000000</f>
        <v>11.76</v>
      </c>
      <c r="M144" s="18"/>
      <c r="N144" s="356" t="s">
        <v>936</v>
      </c>
      <c r="O144" s="357"/>
      <c r="P144" s="16" t="s">
        <v>937</v>
      </c>
      <c r="Q144" s="27"/>
      <c r="R144" s="28"/>
      <c r="S144" s="27"/>
    </row>
    <row r="145" spans="1:24" ht="15" customHeight="1" x14ac:dyDescent="0.2">
      <c r="A145" s="32"/>
      <c r="B145" s="33"/>
      <c r="C145" s="33"/>
      <c r="D145" s="33"/>
      <c r="E145" s="34"/>
      <c r="F145" s="34"/>
      <c r="G145" s="35"/>
      <c r="H145" s="35"/>
      <c r="I145" s="29" t="s">
        <v>22</v>
      </c>
      <c r="J145" s="16" t="s">
        <v>23</v>
      </c>
      <c r="K145" s="30"/>
      <c r="L145" s="36">
        <f>(K135+K134)*2/1000</f>
        <v>14.6</v>
      </c>
      <c r="M145" s="35"/>
      <c r="N145" s="356" t="s">
        <v>938</v>
      </c>
      <c r="O145" s="357"/>
      <c r="P145" s="16" t="s">
        <v>939</v>
      </c>
      <c r="Q145" s="37"/>
      <c r="R145" s="38"/>
      <c r="S145" s="27"/>
    </row>
    <row r="146" spans="1:24" ht="48.75" customHeight="1" x14ac:dyDescent="0.15">
      <c r="A146" s="39" t="s">
        <v>24</v>
      </c>
      <c r="B146" s="560" t="s">
        <v>25</v>
      </c>
      <c r="C146" s="561"/>
      <c r="D146" s="562"/>
      <c r="E146" s="40" t="s">
        <v>26</v>
      </c>
      <c r="F146" s="40" t="s">
        <v>27</v>
      </c>
      <c r="G146" s="40" t="s">
        <v>28</v>
      </c>
      <c r="H146" s="40" t="s">
        <v>1140</v>
      </c>
      <c r="I146" s="40" t="s">
        <v>29</v>
      </c>
      <c r="J146" s="40" t="s">
        <v>30</v>
      </c>
      <c r="K146" s="41" t="s">
        <v>31</v>
      </c>
      <c r="L146" s="40" t="s">
        <v>32</v>
      </c>
      <c r="M146" s="40" t="s">
        <v>33</v>
      </c>
      <c r="N146" s="40" t="s">
        <v>34</v>
      </c>
      <c r="O146" s="42" t="s">
        <v>35</v>
      </c>
      <c r="P146" s="359" t="s">
        <v>962</v>
      </c>
      <c r="Q146" s="43" t="s">
        <v>36</v>
      </c>
      <c r="R146" s="43" t="s">
        <v>37</v>
      </c>
      <c r="S146" s="458"/>
      <c r="U146" s="261" t="s">
        <v>825</v>
      </c>
      <c r="V146" s="261"/>
      <c r="W146" s="262" t="s">
        <v>826</v>
      </c>
      <c r="X146" s="263"/>
    </row>
    <row r="147" spans="1:24" ht="15" customHeight="1" x14ac:dyDescent="0.15">
      <c r="A147" s="200">
        <v>1</v>
      </c>
      <c r="B147" s="531" t="s">
        <v>38</v>
      </c>
      <c r="C147" s="532"/>
      <c r="D147" s="533"/>
      <c r="E147" s="47" t="str">
        <f>VLOOKUP($G:$G,型材表!$B$5:$I$448,2,0)</f>
        <v>边封</v>
      </c>
      <c r="F147" s="45" t="s">
        <v>39</v>
      </c>
      <c r="G147" s="45" t="str">
        <f>IF(F132=128,"ST128MK003",IF(F132=120,"ST120MK003"))</f>
        <v>ST128MK003</v>
      </c>
      <c r="H147" s="207" t="s">
        <v>1142</v>
      </c>
      <c r="I147" s="46">
        <f>L134</f>
        <v>2300</v>
      </c>
      <c r="J147" s="45">
        <v>2</v>
      </c>
      <c r="K147" s="47">
        <f>VLOOKUP($G:$G,型材表!$B$5:$I$448,4,0)</f>
        <v>2.379</v>
      </c>
      <c r="L147" s="46">
        <f>I147*J147*K147/1000</f>
        <v>10.9434</v>
      </c>
      <c r="M147" s="72">
        <f>VLOOKUP($G:$G,型材表!$B$5:$I$448,7,0)</f>
        <v>0</v>
      </c>
      <c r="N147" s="46">
        <f>M147*L147</f>
        <v>0</v>
      </c>
      <c r="O147" s="100">
        <f>VLOOKUP($G:$G,型材表!$B$5:$I$448,5,0)</f>
        <v>0.125</v>
      </c>
      <c r="P147" s="100" t="str">
        <f>VLOOKUP($G:$G,型材表!$B$5:$I$448,6,0)</f>
        <v>断桥隔热铝型材</v>
      </c>
      <c r="Q147" s="49"/>
      <c r="R147" s="50"/>
      <c r="S147" s="459"/>
      <c r="W147" s="264"/>
      <c r="X147" s="265"/>
    </row>
    <row r="148" spans="1:24" ht="15" customHeight="1" x14ac:dyDescent="0.15">
      <c r="A148" s="200">
        <v>2</v>
      </c>
      <c r="B148" s="534"/>
      <c r="C148" s="535"/>
      <c r="D148" s="536"/>
      <c r="E148" s="47" t="str">
        <f>VLOOKUP($G:$G,型材表!$B$5:$I$448,2,0)</f>
        <v>上滑</v>
      </c>
      <c r="F148" s="45" t="s">
        <v>807</v>
      </c>
      <c r="G148" s="45" t="str">
        <f>IF(F132=128,"ST128MK001",IF(F132=120,"ST120MK001"))</f>
        <v>ST128MK001</v>
      </c>
      <c r="H148" s="207" t="s">
        <v>1143</v>
      </c>
      <c r="I148" s="46">
        <f>IF(F132=128,L135-U148,IF(F132=120,L135-W148))</f>
        <v>4740</v>
      </c>
      <c r="J148" s="45">
        <v>1</v>
      </c>
      <c r="K148" s="47">
        <f>VLOOKUP($G:$G,型材表!$B$5:$I$448,4,0)</f>
        <v>3.5590000000000002</v>
      </c>
      <c r="L148" s="46">
        <f t="shared" ref="L148:L149" si="25">I148*J148*K148/1000</f>
        <v>16.86966</v>
      </c>
      <c r="M148" s="72">
        <f>VLOOKUP($G:$G,型材表!$B$5:$I$448,7,0)</f>
        <v>0</v>
      </c>
      <c r="N148" s="46">
        <f t="shared" ref="N148:N149" si="26">M148*L148</f>
        <v>0</v>
      </c>
      <c r="O148" s="100">
        <f>VLOOKUP($G:$G,型材表!$B$5:$I$448,5,0)</f>
        <v>0.125</v>
      </c>
      <c r="P148" s="100" t="str">
        <f>VLOOKUP($G:$G,型材表!$B$5:$I$448,6,0)</f>
        <v>断桥隔热铝型材</v>
      </c>
      <c r="Q148" s="49"/>
      <c r="R148" s="50"/>
      <c r="S148" s="459"/>
      <c r="T148" s="374" t="s">
        <v>1154</v>
      </c>
      <c r="U148" s="259">
        <f>30*2</f>
        <v>60</v>
      </c>
      <c r="W148" s="264">
        <f>30*2</f>
        <v>60</v>
      </c>
      <c r="X148" s="265"/>
    </row>
    <row r="149" spans="1:24" ht="15" customHeight="1" x14ac:dyDescent="0.15">
      <c r="A149" s="350">
        <v>3</v>
      </c>
      <c r="B149" s="534"/>
      <c r="C149" s="535"/>
      <c r="D149" s="536"/>
      <c r="E149" s="47" t="str">
        <f>VLOOKUP($G:$G,型材表!$B$5:$I$448,2,0)</f>
        <v>下滑</v>
      </c>
      <c r="F149" s="207" t="s">
        <v>591</v>
      </c>
      <c r="G149" s="207" t="str">
        <f>IF(F132=128,"ST128MK004",IF(F132=120,"ST120MK002"))</f>
        <v>ST128MK004</v>
      </c>
      <c r="H149" s="207" t="s">
        <v>1143</v>
      </c>
      <c r="I149" s="208">
        <f>I148</f>
        <v>4740</v>
      </c>
      <c r="J149" s="207">
        <v>1</v>
      </c>
      <c r="K149" s="47">
        <f>VLOOKUP($G:$G,型材表!$B$5:$I$448,4,0)</f>
        <v>2.7770000000000001</v>
      </c>
      <c r="L149" s="46">
        <f t="shared" si="25"/>
        <v>13.162980000000001</v>
      </c>
      <c r="M149" s="72">
        <f>VLOOKUP($G:$G,型材表!$B$5:$I$448,7,0)</f>
        <v>0</v>
      </c>
      <c r="N149" s="46">
        <f t="shared" si="26"/>
        <v>0</v>
      </c>
      <c r="O149" s="100">
        <f>VLOOKUP($G:$G,型材表!$B$5:$I$448,5,0)</f>
        <v>0.125</v>
      </c>
      <c r="P149" s="100" t="str">
        <f>VLOOKUP($G:$G,型材表!$B$5:$I$448,6,0)</f>
        <v>断桥隔热铝型材</v>
      </c>
      <c r="Q149" s="210"/>
      <c r="R149" s="50"/>
      <c r="S149" s="459"/>
      <c r="W149" s="264"/>
      <c r="X149" s="265"/>
    </row>
    <row r="150" spans="1:24" s="229" customFormat="1" ht="15" customHeight="1" x14ac:dyDescent="0.15">
      <c r="A150" s="350">
        <v>4</v>
      </c>
      <c r="B150" s="537"/>
      <c r="C150" s="538"/>
      <c r="D150" s="539"/>
      <c r="E150" s="221"/>
      <c r="F150" s="222"/>
      <c r="G150" s="222"/>
      <c r="H150" s="222"/>
      <c r="I150" s="223"/>
      <c r="J150" s="222"/>
      <c r="K150" s="221"/>
      <c r="L150" s="224"/>
      <c r="M150" s="225"/>
      <c r="N150" s="224"/>
      <c r="O150" s="226"/>
      <c r="P150" s="100"/>
      <c r="Q150" s="227"/>
      <c r="R150" s="228"/>
      <c r="S150" s="467"/>
      <c r="T150" s="375"/>
      <c r="U150" s="266"/>
      <c r="V150" s="266"/>
      <c r="W150" s="267"/>
      <c r="X150" s="268"/>
    </row>
    <row r="151" spans="1:24" ht="15" customHeight="1" x14ac:dyDescent="0.15">
      <c r="A151" s="350">
        <v>5</v>
      </c>
      <c r="B151" s="531" t="s">
        <v>41</v>
      </c>
      <c r="C151" s="532"/>
      <c r="D151" s="533"/>
      <c r="E151" s="47" t="str">
        <f>VLOOKUP($G:$G,型材表!$B$5:$I$448,2,0)</f>
        <v>扇料</v>
      </c>
      <c r="F151" s="45" t="s">
        <v>812</v>
      </c>
      <c r="G151" s="45" t="str">
        <f>IF(F132=128,"ST128MS001",IF(F132=120,"ST120MS001"))</f>
        <v>ST128MS001</v>
      </c>
      <c r="H151" s="207" t="s">
        <v>1144</v>
      </c>
      <c r="I151" s="46">
        <f>IF(F132=128,L136-U151,IF(F132=120,L136-W151))</f>
        <v>2215.88</v>
      </c>
      <c r="J151" s="45">
        <v>4</v>
      </c>
      <c r="K151" s="47">
        <f>VLOOKUP($G:$G,型材表!$B$5:$I$448,4,0)</f>
        <v>2.0739999999999998</v>
      </c>
      <c r="L151" s="46">
        <f t="shared" ref="L151:L155" si="27">I151*J151*K151/1000</f>
        <v>18.382940480000002</v>
      </c>
      <c r="M151" s="72">
        <f>VLOOKUP($G:$G,型材表!$B$5:$I$448,7,0)</f>
        <v>0</v>
      </c>
      <c r="N151" s="46">
        <f t="shared" ref="N151:N155" si="28">M151*L151</f>
        <v>0</v>
      </c>
      <c r="O151" s="100">
        <f>VLOOKUP($G:$G,型材表!$B$5:$I$448,5,0)</f>
        <v>0.125</v>
      </c>
      <c r="P151" s="100" t="str">
        <f>VLOOKUP($G:$G,型材表!$B$5:$I$448,6,0)</f>
        <v>断桥隔热铝型材</v>
      </c>
      <c r="Q151" s="49"/>
      <c r="R151" s="50"/>
      <c r="S151" s="459"/>
      <c r="T151" s="374" t="s">
        <v>1155</v>
      </c>
      <c r="U151" s="259">
        <f>45+39.12</f>
        <v>84.12</v>
      </c>
      <c r="W151" s="264">
        <f>47.5*2</f>
        <v>95</v>
      </c>
      <c r="X151" s="265"/>
    </row>
    <row r="152" spans="1:24" ht="15" customHeight="1" x14ac:dyDescent="0.15">
      <c r="A152" s="350">
        <v>6</v>
      </c>
      <c r="B152" s="534"/>
      <c r="C152" s="535"/>
      <c r="D152" s="536"/>
      <c r="E152" s="47" t="str">
        <f>VLOOKUP($G:$G,型材表!$B$5:$I$448,2,0)</f>
        <v>扇料</v>
      </c>
      <c r="F152" s="45" t="s">
        <v>813</v>
      </c>
      <c r="G152" s="207" t="str">
        <f>IF(F132=128,"ST128MS001",IF(F132=120,"ST120MS001"))</f>
        <v>ST128MS001</v>
      </c>
      <c r="H152" s="207" t="s">
        <v>1144</v>
      </c>
      <c r="I152" s="208">
        <f>IF(F132=128,L136-U152,IF(F132=120,L136-W152))</f>
        <v>2215.88</v>
      </c>
      <c r="J152" s="207">
        <v>4</v>
      </c>
      <c r="K152" s="47">
        <f>VLOOKUP($G:$G,型材表!$B$5:$I$448,4,0)</f>
        <v>2.0739999999999998</v>
      </c>
      <c r="L152" s="46">
        <f t="shared" si="27"/>
        <v>18.382940480000002</v>
      </c>
      <c r="M152" s="72">
        <f>VLOOKUP($G:$G,型材表!$B$5:$I$448,7,0)</f>
        <v>0</v>
      </c>
      <c r="N152" s="46">
        <f t="shared" si="28"/>
        <v>0</v>
      </c>
      <c r="O152" s="100">
        <f>VLOOKUP($G:$G,型材表!$B$5:$I$448,5,0)</f>
        <v>0.125</v>
      </c>
      <c r="P152" s="100" t="str">
        <f>VLOOKUP($G:$G,型材表!$B$5:$I$448,6,0)</f>
        <v>断桥隔热铝型材</v>
      </c>
      <c r="Q152" s="210"/>
      <c r="R152" s="50"/>
      <c r="S152" s="459"/>
      <c r="T152" s="374" t="s">
        <v>1155</v>
      </c>
      <c r="U152" s="259">
        <f>45+39.12</f>
        <v>84.12</v>
      </c>
      <c r="W152" s="264">
        <f>47.5*2</f>
        <v>95</v>
      </c>
      <c r="X152" s="265"/>
    </row>
    <row r="153" spans="1:24" ht="15" customHeight="1" x14ac:dyDescent="0.15">
      <c r="A153" s="350">
        <v>7</v>
      </c>
      <c r="B153" s="534"/>
      <c r="C153" s="535"/>
      <c r="D153" s="536"/>
      <c r="E153" s="47" t="str">
        <f>VLOOKUP($G:$G,型材表!$B$5:$I$448,2,0)</f>
        <v>扇料</v>
      </c>
      <c r="F153" s="45" t="s">
        <v>808</v>
      </c>
      <c r="G153" s="45" t="str">
        <f>IF(F132=128,"ST128MS001",IF(F132=120,"ST120MS001"))</f>
        <v>ST128MS001</v>
      </c>
      <c r="H153" s="207" t="s">
        <v>1159</v>
      </c>
      <c r="I153" s="46">
        <f>IF(F132=128,L139-U153,IF(F132=120,L139-W153))</f>
        <v>1085.0999999999999</v>
      </c>
      <c r="J153" s="45">
        <v>4</v>
      </c>
      <c r="K153" s="47">
        <f>VLOOKUP($G:$G,型材表!$B$5:$I$448,4,0)</f>
        <v>2.0739999999999998</v>
      </c>
      <c r="L153" s="46">
        <f t="shared" si="27"/>
        <v>9.0019895999999981</v>
      </c>
      <c r="M153" s="72">
        <f>VLOOKUP($G:$G,型材表!$B$5:$I$448,7,0)</f>
        <v>0</v>
      </c>
      <c r="N153" s="46">
        <f t="shared" si="28"/>
        <v>0</v>
      </c>
      <c r="O153" s="100">
        <f>VLOOKUP($G:$G,型材表!$B$5:$I$448,5,0)</f>
        <v>0.125</v>
      </c>
      <c r="P153" s="100" t="str">
        <f>VLOOKUP($G:$G,型材表!$B$5:$I$448,6,0)</f>
        <v>断桥隔热铝型材</v>
      </c>
      <c r="Q153" s="49"/>
      <c r="R153" s="50"/>
      <c r="S153" s="459"/>
      <c r="T153" s="374" t="s">
        <v>1162</v>
      </c>
      <c r="U153" s="259">
        <f>(35*2+5-95.7*2+72*2*4)/4</f>
        <v>114.9</v>
      </c>
      <c r="W153" s="264">
        <f>(34*2+6.5-92.6*2+72*2*4)/4</f>
        <v>116.325</v>
      </c>
      <c r="X153" s="265"/>
    </row>
    <row r="154" spans="1:24" ht="15" customHeight="1" x14ac:dyDescent="0.15">
      <c r="A154" s="350">
        <v>8</v>
      </c>
      <c r="B154" s="534"/>
      <c r="C154" s="535"/>
      <c r="D154" s="536"/>
      <c r="E154" s="47" t="str">
        <f>VLOOKUP($G:$G,型材表!$B$5:$I$448,2,0)</f>
        <v>扇料</v>
      </c>
      <c r="F154" s="45" t="s">
        <v>819</v>
      </c>
      <c r="G154" s="45" t="str">
        <f>IF(F132=128,"ST128MS001",IF(F132=120,"ST120MS001"))</f>
        <v>ST128MS001</v>
      </c>
      <c r="H154" s="207" t="s">
        <v>1159</v>
      </c>
      <c r="I154" s="46">
        <f>I153</f>
        <v>1085.0999999999999</v>
      </c>
      <c r="J154" s="45">
        <v>2</v>
      </c>
      <c r="K154" s="47">
        <f>VLOOKUP($G:$G,型材表!$B$5:$I$448,4,0)</f>
        <v>2.0739999999999998</v>
      </c>
      <c r="L154" s="46">
        <f t="shared" si="27"/>
        <v>4.5009947999999991</v>
      </c>
      <c r="M154" s="72">
        <f>VLOOKUP($G:$G,型材表!$B$5:$I$448,7,0)</f>
        <v>0</v>
      </c>
      <c r="N154" s="46">
        <f t="shared" si="28"/>
        <v>0</v>
      </c>
      <c r="O154" s="100">
        <f>VLOOKUP($G:$G,型材表!$B$5:$I$448,5,0)</f>
        <v>0.125</v>
      </c>
      <c r="P154" s="100" t="str">
        <f>VLOOKUP($G:$G,型材表!$B$5:$I$448,6,0)</f>
        <v>断桥隔热铝型材</v>
      </c>
      <c r="Q154" s="49"/>
      <c r="R154" s="50"/>
      <c r="S154" s="459"/>
      <c r="W154" s="264"/>
      <c r="X154" s="265"/>
    </row>
    <row r="155" spans="1:24" ht="15" customHeight="1" x14ac:dyDescent="0.15">
      <c r="A155" s="350">
        <v>9</v>
      </c>
      <c r="B155" s="534"/>
      <c r="C155" s="535"/>
      <c r="D155" s="536"/>
      <c r="E155" s="47" t="str">
        <f>VLOOKUP($G:$G,型材表!$B$5:$I$448,2,0)</f>
        <v>扇料</v>
      </c>
      <c r="F155" s="45" t="s">
        <v>820</v>
      </c>
      <c r="G155" s="207" t="str">
        <f>IF(F132=128,"ST128MS001",IF(F132=120,"ST120MS001"))</f>
        <v>ST128MS001</v>
      </c>
      <c r="H155" s="207" t="s">
        <v>1159</v>
      </c>
      <c r="I155" s="208">
        <f>I154</f>
        <v>1085.0999999999999</v>
      </c>
      <c r="J155" s="207">
        <v>2</v>
      </c>
      <c r="K155" s="47">
        <f>VLOOKUP($G:$G,型材表!$B$5:$I$448,4,0)</f>
        <v>2.0739999999999998</v>
      </c>
      <c r="L155" s="46">
        <f t="shared" si="27"/>
        <v>4.5009947999999991</v>
      </c>
      <c r="M155" s="72">
        <f>VLOOKUP($G:$G,型材表!$B$5:$I$448,7,0)</f>
        <v>0</v>
      </c>
      <c r="N155" s="46">
        <f t="shared" si="28"/>
        <v>0</v>
      </c>
      <c r="O155" s="100">
        <f>VLOOKUP($G:$G,型材表!$B$5:$I$448,5,0)</f>
        <v>0.125</v>
      </c>
      <c r="P155" s="100" t="str">
        <f>VLOOKUP($G:$G,型材表!$B$5:$I$448,6,0)</f>
        <v>断桥隔热铝型材</v>
      </c>
      <c r="Q155" s="210"/>
      <c r="R155" s="50"/>
      <c r="S155" s="459"/>
      <c r="W155" s="264"/>
      <c r="X155" s="265"/>
    </row>
    <row r="156" spans="1:24" ht="15" customHeight="1" x14ac:dyDescent="0.15">
      <c r="A156" s="350">
        <v>10</v>
      </c>
      <c r="B156" s="537"/>
      <c r="C156" s="538"/>
      <c r="D156" s="539"/>
      <c r="E156" s="47" t="str">
        <f>VLOOKUP($G:$G,型材表!$B$5:$I$448,2,0)</f>
        <v>收口</v>
      </c>
      <c r="F156" s="45"/>
      <c r="G156" s="45" t="str">
        <f>IF(F132=128,"ST128MF003",IF(F132=120,"ST120MF002"))</f>
        <v>ST128MF003</v>
      </c>
      <c r="H156" s="207" t="s">
        <v>1160</v>
      </c>
      <c r="I156" s="46">
        <f>IF(F132=128,L136-U156,IF(F132=120,L136-W156))</f>
        <v>2240</v>
      </c>
      <c r="J156" s="45">
        <v>1</v>
      </c>
      <c r="K156" s="47">
        <f>VLOOKUP($G:$G,型材表!$B$5:$I$448,4,0)</f>
        <v>0.61</v>
      </c>
      <c r="L156" s="46">
        <f t="shared" ref="L156" si="29">I156*J156*K156/1000</f>
        <v>1.3663999999999998</v>
      </c>
      <c r="M156" s="72">
        <f>VLOOKUP($G:$G,型材表!$B$5:$I$448,7,0)</f>
        <v>0</v>
      </c>
      <c r="N156" s="46">
        <f t="shared" ref="N156" si="30">M156*L156</f>
        <v>0</v>
      </c>
      <c r="O156" s="100">
        <f>VLOOKUP($G:$G,型材表!$B$5:$I$448,5,0)</f>
        <v>0.125</v>
      </c>
      <c r="P156" s="100" t="str">
        <f>VLOOKUP($G:$G,型材表!$B$5:$I$448,6,0)</f>
        <v>非断桥隔热铝型材</v>
      </c>
      <c r="Q156" s="49"/>
      <c r="R156" s="50"/>
      <c r="S156" s="459"/>
      <c r="T156" s="374" t="s">
        <v>1163</v>
      </c>
      <c r="U156" s="259">
        <f>30*2</f>
        <v>60</v>
      </c>
      <c r="W156" s="264">
        <f>30*2</f>
        <v>60</v>
      </c>
      <c r="X156" s="265"/>
    </row>
    <row r="157" spans="1:24" ht="15" customHeight="1" x14ac:dyDescent="0.15">
      <c r="A157" s="350">
        <v>11</v>
      </c>
      <c r="B157" s="531" t="s">
        <v>44</v>
      </c>
      <c r="C157" s="532"/>
      <c r="D157" s="533"/>
      <c r="E157" s="47" t="str">
        <f>VLOOKUP($G:$G,型材表!$B$5:$I$448,2,0)</f>
        <v>盖板</v>
      </c>
      <c r="F157" s="51"/>
      <c r="G157" s="45" t="str">
        <f>IF(F132=128,"ST128MF002",IF(F132=120,"ST120MF001"))</f>
        <v>ST128MF002</v>
      </c>
      <c r="H157" s="207" t="s">
        <v>1144</v>
      </c>
      <c r="I157" s="52">
        <f>I152</f>
        <v>2215.88</v>
      </c>
      <c r="J157" s="45">
        <f>J152</f>
        <v>4</v>
      </c>
      <c r="K157" s="47">
        <f>VLOOKUP($G:$G,型材表!$B$5:$I$448,4,0)</f>
        <v>5.7000000000000002E-2</v>
      </c>
      <c r="L157" s="46">
        <f t="shared" ref="L157:L161" si="31">I157*J157*K157/1000</f>
        <v>0.50522064000000011</v>
      </c>
      <c r="M157" s="72">
        <f>VLOOKUP($G:$G,型材表!$B$5:$I$448,7,0)</f>
        <v>0</v>
      </c>
      <c r="N157" s="46">
        <f t="shared" ref="N157:N161" si="32">M157*L157</f>
        <v>0</v>
      </c>
      <c r="O157" s="100">
        <f>VLOOKUP($G:$G,型材表!$B$5:$I$448,5,0)</f>
        <v>0.125</v>
      </c>
      <c r="P157" s="100" t="str">
        <f>VLOOKUP($G:$G,型材表!$B$5:$I$448,6,0)</f>
        <v>非断桥隔热铝型材</v>
      </c>
      <c r="Q157" s="49"/>
      <c r="R157" s="50"/>
      <c r="S157" s="459"/>
      <c r="W157" s="264"/>
      <c r="X157" s="265"/>
    </row>
    <row r="158" spans="1:24" ht="15" customHeight="1" x14ac:dyDescent="0.15">
      <c r="A158" s="350">
        <v>12</v>
      </c>
      <c r="B158" s="534"/>
      <c r="C158" s="535"/>
      <c r="D158" s="536"/>
      <c r="E158" s="47" t="str">
        <f>VLOOKUP($G:$G,型材表!$B$5:$I$448,2,0)</f>
        <v>压线</v>
      </c>
      <c r="F158" s="213" t="s">
        <v>1146</v>
      </c>
      <c r="G158" s="207" t="str">
        <f>IF(F132=128,"ST128MY001",IF(F132=120,"ST120MY001"))</f>
        <v>ST128MY001</v>
      </c>
      <c r="H158" s="207" t="s">
        <v>1148</v>
      </c>
      <c r="I158" s="214">
        <f>IF(F132=128,L136-U158,IF(F132=120,L136-W158))</f>
        <v>2071.88</v>
      </c>
      <c r="J158" s="207">
        <v>8</v>
      </c>
      <c r="K158" s="47">
        <f>VLOOKUP($G:$G,型材表!$B$5:$I$448,4,0)</f>
        <v>0.216</v>
      </c>
      <c r="L158" s="46">
        <f t="shared" si="31"/>
        <v>3.5802086400000004</v>
      </c>
      <c r="M158" s="72">
        <f>VLOOKUP($G:$G,型材表!$B$5:$I$448,7,0)</f>
        <v>0</v>
      </c>
      <c r="N158" s="46">
        <f t="shared" si="32"/>
        <v>0</v>
      </c>
      <c r="O158" s="100">
        <f>VLOOKUP($G:$G,型材表!$B$5:$I$448,5,0)</f>
        <v>0.125</v>
      </c>
      <c r="P158" s="100" t="str">
        <f>VLOOKUP($G:$G,型材表!$B$5:$I$448,6,0)</f>
        <v>非断桥隔热铝型材</v>
      </c>
      <c r="Q158" s="210"/>
      <c r="R158" s="50"/>
      <c r="S158" s="459"/>
      <c r="T158" s="374" t="s">
        <v>1157</v>
      </c>
      <c r="U158" s="259">
        <f>117+111.12</f>
        <v>228.12</v>
      </c>
      <c r="W158" s="264">
        <f>119.5*2</f>
        <v>239</v>
      </c>
      <c r="X158" s="265"/>
    </row>
    <row r="159" spans="1:24" ht="15" customHeight="1" x14ac:dyDescent="0.15">
      <c r="A159" s="350">
        <v>13</v>
      </c>
      <c r="B159" s="534"/>
      <c r="C159" s="535"/>
      <c r="D159" s="536"/>
      <c r="E159" s="47" t="str">
        <f>VLOOKUP($G:$G,型材表!$B$5:$I$448,2,0)</f>
        <v>压线</v>
      </c>
      <c r="F159" s="213" t="s">
        <v>1147</v>
      </c>
      <c r="G159" s="207" t="str">
        <f>G158</f>
        <v>ST128MY001</v>
      </c>
      <c r="H159" s="207" t="s">
        <v>1161</v>
      </c>
      <c r="I159" s="214">
        <f>IF(F132=128,L139-U159,IF(F132=120,L139-W159))</f>
        <v>1085.0999999999999</v>
      </c>
      <c r="J159" s="207">
        <v>8</v>
      </c>
      <c r="K159" s="47">
        <f>VLOOKUP($G:$G,型材表!$B$5:$I$448,4,0)</f>
        <v>0.216</v>
      </c>
      <c r="L159" s="46">
        <f t="shared" ref="L159" si="33">I159*J159*K159/1000</f>
        <v>1.8750528</v>
      </c>
      <c r="M159" s="72">
        <f>VLOOKUP($G:$G,型材表!$B$5:$I$448,7,0)</f>
        <v>0</v>
      </c>
      <c r="N159" s="46">
        <f t="shared" ref="N159" si="34">M159*L159</f>
        <v>0</v>
      </c>
      <c r="O159" s="100">
        <f>VLOOKUP($G:$G,型材表!$B$5:$I$448,5,0)</f>
        <v>0.125</v>
      </c>
      <c r="P159" s="100" t="str">
        <f>VLOOKUP($G:$G,型材表!$B$5:$I$448,6,0)</f>
        <v>非断桥隔热铝型材</v>
      </c>
      <c r="Q159" s="210"/>
      <c r="R159" s="50"/>
      <c r="S159" s="459"/>
      <c r="T159" s="374" t="s">
        <v>1164</v>
      </c>
      <c r="U159" s="259">
        <f>(107*2+149+48.3*2)/4</f>
        <v>114.9</v>
      </c>
      <c r="W159" s="264">
        <f>(106*2+150.5+51.4*2)/4</f>
        <v>116.325</v>
      </c>
      <c r="X159" s="265"/>
    </row>
    <row r="160" spans="1:24" ht="15" customHeight="1" x14ac:dyDescent="0.15">
      <c r="A160" s="350">
        <v>14</v>
      </c>
      <c r="B160" s="534"/>
      <c r="C160" s="535"/>
      <c r="D160" s="536"/>
      <c r="E160" s="47" t="str">
        <f>VLOOKUP($G:$G,型材表!$B$5:$I$448,2,0)</f>
        <v>下滑轨道</v>
      </c>
      <c r="F160" s="213"/>
      <c r="G160" s="207" t="str">
        <f>IF(F132=128,"ST128MF004",0)</f>
        <v>ST128MF004</v>
      </c>
      <c r="H160" s="207" t="s">
        <v>1159</v>
      </c>
      <c r="I160" s="214">
        <f>I153</f>
        <v>1085.0999999999999</v>
      </c>
      <c r="J160" s="207">
        <f>J155</f>
        <v>2</v>
      </c>
      <c r="K160" s="47">
        <f>VLOOKUP($G:$G,型材表!$B$5:$I$448,4,0)</f>
        <v>0.68200000000000005</v>
      </c>
      <c r="L160" s="46">
        <f t="shared" si="31"/>
        <v>1.4800764</v>
      </c>
      <c r="M160" s="72">
        <f>VLOOKUP($G:$G,型材表!$B$5:$I$448,7,0)</f>
        <v>0</v>
      </c>
      <c r="N160" s="46">
        <f t="shared" si="32"/>
        <v>0</v>
      </c>
      <c r="O160" s="100">
        <f>VLOOKUP($G:$G,型材表!$B$5:$I$448,5,0)</f>
        <v>0.125</v>
      </c>
      <c r="P160" s="100" t="str">
        <f>VLOOKUP($G:$G,型材表!$B$5:$I$448,6,0)</f>
        <v>非断桥隔热铝型材</v>
      </c>
      <c r="Q160" s="210"/>
      <c r="R160" s="50"/>
      <c r="S160" s="459"/>
      <c r="W160" s="264"/>
      <c r="X160" s="265"/>
    </row>
    <row r="161" spans="1:24" s="229" customFormat="1" ht="15" customHeight="1" x14ac:dyDescent="0.15">
      <c r="A161" s="350">
        <v>15</v>
      </c>
      <c r="B161" s="534"/>
      <c r="C161" s="535"/>
      <c r="D161" s="536"/>
      <c r="E161" s="47" t="str">
        <f>VLOOKUP($G:$G,型材表!$B$5:$I$448,2,0)</f>
        <v>盖板</v>
      </c>
      <c r="F161" s="230"/>
      <c r="G161" s="222" t="str">
        <f>IF(F132=128,"ST128MF002",0)</f>
        <v>ST128MF002</v>
      </c>
      <c r="H161" s="207" t="s">
        <v>1144</v>
      </c>
      <c r="I161" s="214">
        <f>I152</f>
        <v>2215.88</v>
      </c>
      <c r="J161" s="207">
        <f>J152</f>
        <v>4</v>
      </c>
      <c r="K161" s="47">
        <f>VLOOKUP($G:$G,型材表!$B$5:$I$448,4,0)</f>
        <v>5.7000000000000002E-2</v>
      </c>
      <c r="L161" s="46">
        <f t="shared" si="31"/>
        <v>0.50522064000000011</v>
      </c>
      <c r="M161" s="72">
        <f>VLOOKUP($G:$G,型材表!$B$5:$I$448,7,0)</f>
        <v>0</v>
      </c>
      <c r="N161" s="46">
        <f t="shared" si="32"/>
        <v>0</v>
      </c>
      <c r="O161" s="100">
        <f>VLOOKUP($G:$G,型材表!$B$5:$I$448,5,0)</f>
        <v>0.125</v>
      </c>
      <c r="P161" s="100" t="str">
        <f>VLOOKUP($G:$G,型材表!$B$5:$I$448,6,0)</f>
        <v>非断桥隔热铝型材</v>
      </c>
      <c r="Q161" s="227"/>
      <c r="R161" s="228"/>
      <c r="S161" s="467"/>
      <c r="T161" s="375"/>
      <c r="U161" s="266"/>
      <c r="V161" s="266"/>
      <c r="W161" s="267"/>
      <c r="X161" s="268"/>
    </row>
    <row r="162" spans="1:24" ht="15" customHeight="1" x14ac:dyDescent="0.15">
      <c r="A162" s="350">
        <v>16</v>
      </c>
      <c r="B162" s="534"/>
      <c r="C162" s="535"/>
      <c r="D162" s="536"/>
      <c r="E162" s="47"/>
      <c r="F162" s="51"/>
      <c r="G162" s="45"/>
      <c r="H162" s="207"/>
      <c r="I162" s="52"/>
      <c r="J162" s="45"/>
      <c r="K162" s="47"/>
      <c r="L162" s="46"/>
      <c r="M162" s="72"/>
      <c r="N162" s="46"/>
      <c r="O162" s="100"/>
      <c r="P162" s="100"/>
      <c r="Q162" s="49"/>
      <c r="R162" s="50"/>
      <c r="S162" s="459"/>
      <c r="W162" s="264"/>
      <c r="X162" s="265"/>
    </row>
    <row r="163" spans="1:24" ht="15" customHeight="1" x14ac:dyDescent="0.15">
      <c r="A163" s="350">
        <v>17</v>
      </c>
      <c r="B163" s="534"/>
      <c r="C163" s="535"/>
      <c r="D163" s="536"/>
      <c r="E163" s="47"/>
      <c r="F163" s="213"/>
      <c r="G163" s="207"/>
      <c r="H163" s="207"/>
      <c r="I163" s="214"/>
      <c r="J163" s="207"/>
      <c r="K163" s="47"/>
      <c r="L163" s="46"/>
      <c r="M163" s="72"/>
      <c r="N163" s="46"/>
      <c r="O163" s="100"/>
      <c r="P163" s="100"/>
      <c r="Q163" s="210"/>
      <c r="R163" s="50"/>
      <c r="S163" s="459"/>
      <c r="W163" s="264"/>
      <c r="X163" s="265"/>
    </row>
    <row r="164" spans="1:24" s="229" customFormat="1" ht="15" customHeight="1" x14ac:dyDescent="0.15">
      <c r="A164" s="350">
        <v>18</v>
      </c>
      <c r="B164" s="534"/>
      <c r="C164" s="535"/>
      <c r="D164" s="536"/>
      <c r="E164" s="221"/>
      <c r="F164" s="232"/>
      <c r="G164" s="233"/>
      <c r="H164" s="222"/>
      <c r="I164" s="234"/>
      <c r="J164" s="233"/>
      <c r="K164" s="221"/>
      <c r="L164" s="224"/>
      <c r="M164" s="225"/>
      <c r="N164" s="224"/>
      <c r="O164" s="226"/>
      <c r="P164" s="226"/>
      <c r="Q164" s="235"/>
      <c r="R164" s="228"/>
      <c r="S164" s="467"/>
      <c r="T164" s="375"/>
      <c r="U164" s="266"/>
      <c r="V164" s="266"/>
      <c r="W164" s="267"/>
      <c r="X164" s="268"/>
    </row>
    <row r="165" spans="1:24" s="229" customFormat="1" ht="15" customHeight="1" x14ac:dyDescent="0.15">
      <c r="A165" s="395">
        <v>19</v>
      </c>
      <c r="B165" s="534"/>
      <c r="C165" s="535"/>
      <c r="D165" s="536"/>
      <c r="E165" s="440"/>
      <c r="F165" s="440"/>
      <c r="G165" s="440"/>
      <c r="H165" s="440"/>
      <c r="I165" s="440"/>
      <c r="J165" s="440"/>
      <c r="K165" s="440"/>
      <c r="L165" s="223"/>
      <c r="M165" s="438"/>
      <c r="N165" s="223"/>
      <c r="O165" s="439"/>
      <c r="P165" s="355"/>
      <c r="Q165" s="296"/>
      <c r="R165" s="228"/>
      <c r="S165" s="467"/>
      <c r="T165" s="375"/>
      <c r="U165" s="266"/>
      <c r="V165" s="266"/>
      <c r="W165" s="267"/>
      <c r="X165" s="268"/>
    </row>
    <row r="166" spans="1:24" s="229" customFormat="1" ht="15" customHeight="1" x14ac:dyDescent="0.15">
      <c r="A166" s="395">
        <v>20</v>
      </c>
      <c r="B166" s="537"/>
      <c r="C166" s="538"/>
      <c r="D166" s="539"/>
      <c r="E166" s="440"/>
      <c r="F166" s="440"/>
      <c r="G166" s="440"/>
      <c r="H166" s="440"/>
      <c r="I166" s="440"/>
      <c r="J166" s="440"/>
      <c r="K166" s="440"/>
      <c r="L166" s="223"/>
      <c r="M166" s="438"/>
      <c r="N166" s="223"/>
      <c r="O166" s="439"/>
      <c r="P166" s="355"/>
      <c r="Q166" s="296"/>
      <c r="R166" s="228"/>
      <c r="S166" s="467"/>
      <c r="T166" s="375"/>
      <c r="U166" s="266"/>
      <c r="V166" s="266"/>
      <c r="W166" s="267"/>
      <c r="X166" s="268"/>
    </row>
    <row r="167" spans="1:24" s="229" customFormat="1" ht="15" customHeight="1" x14ac:dyDescent="0.15">
      <c r="A167" s="567" t="s">
        <v>919</v>
      </c>
      <c r="B167" s="568"/>
      <c r="C167" s="568"/>
      <c r="D167" s="568"/>
      <c r="E167" s="568"/>
      <c r="F167" s="568"/>
      <c r="G167" s="568"/>
      <c r="H167" s="568"/>
      <c r="I167" s="568"/>
      <c r="J167" s="568"/>
      <c r="K167" s="569"/>
      <c r="L167" s="224">
        <f>SUMIF($P$147:$P$164,A167,$L$147:$L$164)</f>
        <v>95.745900160000005</v>
      </c>
      <c r="M167" s="353"/>
      <c r="N167" s="224"/>
      <c r="O167" s="354"/>
      <c r="P167" s="355"/>
      <c r="Q167" s="296"/>
      <c r="R167" s="228"/>
      <c r="S167" s="467"/>
      <c r="T167" s="375"/>
      <c r="U167" s="266"/>
      <c r="V167" s="266"/>
      <c r="W167" s="267"/>
      <c r="X167" s="268"/>
    </row>
    <row r="168" spans="1:24" s="229" customFormat="1" ht="15" customHeight="1" x14ac:dyDescent="0.15">
      <c r="A168" s="567" t="s">
        <v>920</v>
      </c>
      <c r="B168" s="568"/>
      <c r="C168" s="568"/>
      <c r="D168" s="568"/>
      <c r="E168" s="568"/>
      <c r="F168" s="568"/>
      <c r="G168" s="568"/>
      <c r="H168" s="568"/>
      <c r="I168" s="568"/>
      <c r="J168" s="568"/>
      <c r="K168" s="569"/>
      <c r="L168" s="224">
        <f>SUMIF($P$147:$P$164,A168,$L$147:$L$164)</f>
        <v>9.3121791199999997</v>
      </c>
      <c r="M168" s="353"/>
      <c r="N168" s="224"/>
      <c r="O168" s="354"/>
      <c r="P168" s="355"/>
      <c r="Q168" s="296"/>
      <c r="R168" s="228"/>
      <c r="S168" s="467"/>
      <c r="T168" s="375"/>
      <c r="U168" s="266"/>
      <c r="V168" s="266"/>
      <c r="W168" s="267"/>
      <c r="X168" s="268"/>
    </row>
    <row r="169" spans="1:24" s="229" customFormat="1" ht="15" customHeight="1" x14ac:dyDescent="0.15">
      <c r="A169" s="567" t="s">
        <v>921</v>
      </c>
      <c r="B169" s="568"/>
      <c r="C169" s="568"/>
      <c r="D169" s="568"/>
      <c r="E169" s="568"/>
      <c r="F169" s="568"/>
      <c r="G169" s="568"/>
      <c r="H169" s="568"/>
      <c r="I169" s="568"/>
      <c r="J169" s="568"/>
      <c r="K169" s="569"/>
      <c r="L169" s="224">
        <f>SUMIF($P$147:$P$164,A169,$L$147:$L$164)</f>
        <v>0</v>
      </c>
      <c r="M169" s="353"/>
      <c r="N169" s="224"/>
      <c r="O169" s="354"/>
      <c r="P169" s="355"/>
      <c r="Q169" s="296"/>
      <c r="R169" s="228"/>
      <c r="S169" s="467"/>
      <c r="T169" s="375"/>
      <c r="U169" s="266"/>
      <c r="V169" s="266"/>
      <c r="W169" s="267"/>
      <c r="X169" s="268"/>
    </row>
    <row r="170" spans="1:24" x14ac:dyDescent="0.15">
      <c r="A170" s="61"/>
      <c r="B170" s="552"/>
      <c r="C170" s="557"/>
      <c r="D170" s="553"/>
      <c r="E170" s="552" t="s">
        <v>48</v>
      </c>
      <c r="F170" s="557"/>
      <c r="G170" s="557"/>
      <c r="H170" s="557"/>
      <c r="I170" s="557"/>
      <c r="J170" s="557"/>
      <c r="K170" s="553"/>
      <c r="L170" s="62">
        <f>SUM(L167:L169)</f>
        <v>105.05807928</v>
      </c>
      <c r="M170" s="63"/>
      <c r="N170" s="62">
        <f>SUM(N147:N164)</f>
        <v>0</v>
      </c>
      <c r="O170" s="63"/>
      <c r="P170" s="337"/>
      <c r="Q170" s="64"/>
      <c r="R170" s="64"/>
      <c r="S170" s="460"/>
      <c r="W170" s="264"/>
      <c r="X170" s="265"/>
    </row>
    <row r="171" spans="1:24" ht="24" x14ac:dyDescent="0.15">
      <c r="A171" s="65"/>
      <c r="B171" s="560" t="s">
        <v>49</v>
      </c>
      <c r="C171" s="561"/>
      <c r="D171" s="562"/>
      <c r="E171" s="565" t="s">
        <v>26</v>
      </c>
      <c r="F171" s="566"/>
      <c r="G171" s="66" t="s">
        <v>1150</v>
      </c>
      <c r="H171" s="351" t="s">
        <v>1151</v>
      </c>
      <c r="I171" s="66" t="s">
        <v>50</v>
      </c>
      <c r="J171" s="66" t="s">
        <v>51</v>
      </c>
      <c r="K171" s="67" t="s">
        <v>30</v>
      </c>
      <c r="L171" s="66" t="s">
        <v>52</v>
      </c>
      <c r="M171" s="68" t="s">
        <v>53</v>
      </c>
      <c r="N171" s="68" t="s">
        <v>34</v>
      </c>
      <c r="O171" s="69" t="s">
        <v>35</v>
      </c>
      <c r="P171" s="42"/>
      <c r="Q171" s="67"/>
      <c r="R171" s="67"/>
      <c r="S171" s="461"/>
      <c r="U171" s="270" t="s">
        <v>352</v>
      </c>
      <c r="V171" s="270" t="s">
        <v>353</v>
      </c>
      <c r="W171" s="271" t="s">
        <v>352</v>
      </c>
      <c r="X171" s="272" t="s">
        <v>353</v>
      </c>
    </row>
    <row r="172" spans="1:24" x14ac:dyDescent="0.15">
      <c r="A172" s="200">
        <v>1</v>
      </c>
      <c r="B172" s="545" t="s">
        <v>823</v>
      </c>
      <c r="C172" s="546"/>
      <c r="D172" s="547"/>
      <c r="E172" s="545" t="s">
        <v>55</v>
      </c>
      <c r="F172" s="547"/>
      <c r="G172" s="45" t="s">
        <v>1165</v>
      </c>
      <c r="H172" s="207" t="s">
        <v>1153</v>
      </c>
      <c r="I172" s="46">
        <f>IF(F132=128,L139-U172,IF(F132=120,L139-W172))</f>
        <v>1070.0999999999999</v>
      </c>
      <c r="J172" s="70">
        <f>IF(F132=128,L136-V172,IF(F132=120,L136-X172))</f>
        <v>2051.89</v>
      </c>
      <c r="K172" s="70">
        <v>4</v>
      </c>
      <c r="L172" s="46">
        <f>I172*J172*K172/1000000</f>
        <v>8.7829099559999992</v>
      </c>
      <c r="M172" s="46"/>
      <c r="N172" s="46">
        <f>M172*L172</f>
        <v>0</v>
      </c>
      <c r="O172" s="71"/>
      <c r="P172" s="71"/>
      <c r="Q172" s="72"/>
      <c r="R172" s="72"/>
      <c r="S172" s="462" t="s">
        <v>1612</v>
      </c>
      <c r="T172" s="374" t="s">
        <v>1611</v>
      </c>
      <c r="U172" s="259">
        <f>(117*2+149+68.3*2)/4</f>
        <v>129.9</v>
      </c>
      <c r="V172" s="259">
        <f>127+121.11</f>
        <v>248.11</v>
      </c>
      <c r="W172" s="264">
        <f>(116*2+170.5+71.4*2)/4</f>
        <v>136.32499999999999</v>
      </c>
      <c r="X172" s="265">
        <f>129.5*2</f>
        <v>259</v>
      </c>
    </row>
    <row r="173" spans="1:24" x14ac:dyDescent="0.15">
      <c r="A173" s="200"/>
      <c r="B173" s="545"/>
      <c r="C173" s="546"/>
      <c r="D173" s="547"/>
      <c r="E173" s="545"/>
      <c r="F173" s="547"/>
      <c r="G173" s="45"/>
      <c r="H173" s="207"/>
      <c r="I173" s="45"/>
      <c r="J173" s="45"/>
      <c r="K173" s="70"/>
      <c r="L173" s="46"/>
      <c r="M173" s="46"/>
      <c r="N173" s="46"/>
      <c r="O173" s="71"/>
      <c r="P173" s="71"/>
      <c r="Q173" s="72"/>
      <c r="R173" s="72"/>
      <c r="S173" s="462"/>
      <c r="W173" s="264"/>
      <c r="X173" s="265"/>
    </row>
    <row r="174" spans="1:24" x14ac:dyDescent="0.15">
      <c r="A174" s="200"/>
      <c r="B174" s="545"/>
      <c r="C174" s="546"/>
      <c r="D174" s="547"/>
      <c r="E174" s="545"/>
      <c r="F174" s="547"/>
      <c r="G174" s="45"/>
      <c r="H174" s="207"/>
      <c r="I174" s="46"/>
      <c r="J174" s="200"/>
      <c r="K174" s="70"/>
      <c r="L174" s="46"/>
      <c r="M174" s="46"/>
      <c r="N174" s="46"/>
      <c r="O174" s="48"/>
      <c r="P174" s="48"/>
      <c r="Q174" s="73"/>
      <c r="R174" s="73"/>
      <c r="S174" s="463"/>
      <c r="W174" s="264"/>
      <c r="X174" s="265"/>
    </row>
    <row r="175" spans="1:24" x14ac:dyDescent="0.15">
      <c r="A175" s="74"/>
      <c r="B175" s="552"/>
      <c r="C175" s="557"/>
      <c r="D175" s="553"/>
      <c r="E175" s="554" t="s">
        <v>56</v>
      </c>
      <c r="F175" s="554"/>
      <c r="G175" s="554"/>
      <c r="H175" s="579"/>
      <c r="I175" s="570"/>
      <c r="J175" s="570"/>
      <c r="K175" s="554"/>
      <c r="L175" s="62">
        <f>SUM(L172:L174)</f>
        <v>8.7829099559999992</v>
      </c>
      <c r="M175" s="197"/>
      <c r="N175" s="62">
        <f>SUM(N172:N174)</f>
        <v>0</v>
      </c>
      <c r="O175" s="63" t="s">
        <v>57</v>
      </c>
      <c r="P175" s="337"/>
      <c r="Q175" s="64"/>
      <c r="R175" s="64"/>
      <c r="S175" s="460"/>
    </row>
    <row r="176" spans="1:24" ht="24" x14ac:dyDescent="0.15">
      <c r="A176" s="65"/>
      <c r="B176" s="560" t="s">
        <v>58</v>
      </c>
      <c r="C176" s="561"/>
      <c r="D176" s="562"/>
      <c r="E176" s="565" t="s">
        <v>26</v>
      </c>
      <c r="F176" s="566"/>
      <c r="G176" s="66" t="s">
        <v>59</v>
      </c>
      <c r="H176" s="351"/>
      <c r="I176" s="66" t="s">
        <v>60</v>
      </c>
      <c r="J176" s="66" t="s">
        <v>6</v>
      </c>
      <c r="K176" s="67" t="s">
        <v>61</v>
      </c>
      <c r="L176" s="66" t="s">
        <v>30</v>
      </c>
      <c r="M176" s="68" t="s">
        <v>62</v>
      </c>
      <c r="N176" s="68" t="s">
        <v>34</v>
      </c>
      <c r="O176" s="69" t="s">
        <v>57</v>
      </c>
      <c r="P176" s="42"/>
      <c r="Q176" s="67"/>
      <c r="R176" s="67"/>
      <c r="S176" s="461"/>
    </row>
    <row r="177" spans="1:22" ht="25.5" customHeight="1" x14ac:dyDescent="0.15">
      <c r="A177" s="200">
        <v>1</v>
      </c>
      <c r="B177" s="545"/>
      <c r="C177" s="546"/>
      <c r="D177" s="547"/>
      <c r="E177" s="545" t="s">
        <v>831</v>
      </c>
      <c r="F177" s="547"/>
      <c r="G177" s="45"/>
      <c r="H177" s="207"/>
      <c r="I177" s="45"/>
      <c r="J177" s="46" t="str">
        <f>VLOOKUP($E:$E,材料单价表!$B$3:$G$42,4,0)</f>
        <v>套</v>
      </c>
      <c r="K177" s="72"/>
      <c r="L177" s="46">
        <v>4</v>
      </c>
      <c r="M177" s="46">
        <f>VLOOKUP($E:$E,材料单价表!$B$3:$G$42,5,0)</f>
        <v>0</v>
      </c>
      <c r="N177" s="46">
        <f t="shared" ref="N177" si="35">M177*L177</f>
        <v>0</v>
      </c>
      <c r="O177" s="48"/>
      <c r="P177" s="48"/>
      <c r="Q177" s="73"/>
      <c r="R177" s="73"/>
      <c r="S177" s="463"/>
    </row>
    <row r="178" spans="1:22" x14ac:dyDescent="0.15">
      <c r="A178" s="74"/>
      <c r="B178" s="552"/>
      <c r="C178" s="557"/>
      <c r="D178" s="553"/>
      <c r="E178" s="554" t="s">
        <v>64</v>
      </c>
      <c r="F178" s="554"/>
      <c r="G178" s="554"/>
      <c r="H178" s="579"/>
      <c r="I178" s="570"/>
      <c r="J178" s="570"/>
      <c r="K178" s="554"/>
      <c r="L178" s="62">
        <f>L177</f>
        <v>4</v>
      </c>
      <c r="M178" s="197"/>
      <c r="N178" s="62">
        <f>SUM(N177:N177)</f>
        <v>0</v>
      </c>
      <c r="O178" s="63" t="s">
        <v>57</v>
      </c>
      <c r="P178" s="337"/>
      <c r="Q178" s="64"/>
      <c r="R178" s="64"/>
      <c r="S178" s="460"/>
    </row>
    <row r="179" spans="1:22" ht="24" x14ac:dyDescent="0.15">
      <c r="A179" s="65"/>
      <c r="B179" s="560" t="s">
        <v>65</v>
      </c>
      <c r="C179" s="561"/>
      <c r="D179" s="562"/>
      <c r="E179" s="565" t="s">
        <v>26</v>
      </c>
      <c r="F179" s="566"/>
      <c r="G179" s="66" t="s">
        <v>59</v>
      </c>
      <c r="H179" s="351"/>
      <c r="I179" s="66" t="s">
        <v>60</v>
      </c>
      <c r="J179" s="66" t="s">
        <v>6</v>
      </c>
      <c r="K179" s="67" t="s">
        <v>61</v>
      </c>
      <c r="L179" s="66" t="s">
        <v>30</v>
      </c>
      <c r="M179" s="68" t="s">
        <v>62</v>
      </c>
      <c r="N179" s="68" t="s">
        <v>34</v>
      </c>
      <c r="O179" s="69" t="s">
        <v>57</v>
      </c>
      <c r="P179" s="42"/>
      <c r="Q179" s="67"/>
      <c r="R179" s="67"/>
      <c r="S179" s="461"/>
    </row>
    <row r="180" spans="1:22" ht="13.5" customHeight="1" x14ac:dyDescent="0.15">
      <c r="A180" s="76">
        <v>1</v>
      </c>
      <c r="B180" s="545"/>
      <c r="C180" s="546"/>
      <c r="D180" s="547"/>
      <c r="E180" s="558" t="s">
        <v>66</v>
      </c>
      <c r="F180" s="559"/>
      <c r="G180" s="78"/>
      <c r="H180" s="352"/>
      <c r="I180" s="77"/>
      <c r="J180" s="46" t="str">
        <f>VLOOKUP($E:$E,材料单价表!$B$3:$G$42,4,0)</f>
        <v>m</v>
      </c>
      <c r="K180" s="46"/>
      <c r="L180" s="80">
        <f>L145</f>
        <v>14.6</v>
      </c>
      <c r="M180" s="46">
        <f>VLOOKUP($E:$E,材料单价表!$B$3:$G$42,5,0)</f>
        <v>0</v>
      </c>
      <c r="N180" s="46">
        <f>M180*L180</f>
        <v>0</v>
      </c>
      <c r="O180" s="48"/>
      <c r="P180" s="59"/>
      <c r="Q180" s="81"/>
      <c r="R180" s="79"/>
      <c r="S180" s="464"/>
    </row>
    <row r="181" spans="1:22" ht="15.75" customHeight="1" x14ac:dyDescent="0.15">
      <c r="A181" s="76">
        <v>2</v>
      </c>
      <c r="B181" s="545"/>
      <c r="C181" s="546"/>
      <c r="D181" s="547"/>
      <c r="E181" s="558" t="s">
        <v>68</v>
      </c>
      <c r="F181" s="559"/>
      <c r="G181" s="78" t="s">
        <v>67</v>
      </c>
      <c r="H181" s="352"/>
      <c r="I181" s="77"/>
      <c r="J181" s="46" t="str">
        <f>VLOOKUP($E:$E,材料单价表!$B$3:$G$42,4,0)</f>
        <v>m</v>
      </c>
      <c r="K181" s="46"/>
      <c r="L181" s="80">
        <f>(I151*J151+I152*J152+I153*J153+I154*J154+I155*J155)/1000*2</f>
        <v>52.815680000000008</v>
      </c>
      <c r="M181" s="46">
        <f>VLOOKUP($E:$E,材料单价表!$B$3:$G$42,5,0)</f>
        <v>0</v>
      </c>
      <c r="N181" s="46">
        <f t="shared" ref="N181:N186" si="36">M181*L181</f>
        <v>0</v>
      </c>
      <c r="O181" s="48"/>
      <c r="P181" s="59"/>
      <c r="Q181" s="81"/>
      <c r="R181" s="79"/>
      <c r="S181" s="464"/>
      <c r="U181" s="104"/>
      <c r="V181" s="104"/>
    </row>
    <row r="182" spans="1:22" ht="13.5" customHeight="1" x14ac:dyDescent="0.15">
      <c r="A182" s="76">
        <v>3</v>
      </c>
      <c r="B182" s="545"/>
      <c r="C182" s="546"/>
      <c r="D182" s="547"/>
      <c r="E182" s="558" t="s">
        <v>68</v>
      </c>
      <c r="F182" s="559"/>
      <c r="G182" s="78" t="s">
        <v>69</v>
      </c>
      <c r="H182" s="352"/>
      <c r="I182" s="77"/>
      <c r="J182" s="46" t="str">
        <f>VLOOKUP($E:$E,材料单价表!$B$3:$G$42,4,0)</f>
        <v>m</v>
      </c>
      <c r="K182" s="46"/>
      <c r="L182" s="80">
        <f>L145</f>
        <v>14.6</v>
      </c>
      <c r="M182" s="46">
        <f>VLOOKUP($E:$E,材料单价表!$B$3:$G$42,5,0)</f>
        <v>0</v>
      </c>
      <c r="N182" s="46">
        <f t="shared" si="36"/>
        <v>0</v>
      </c>
      <c r="O182" s="48"/>
      <c r="P182" s="59"/>
      <c r="Q182" s="81"/>
      <c r="R182" s="79"/>
      <c r="S182" s="464"/>
      <c r="U182" s="104"/>
      <c r="V182" s="104"/>
    </row>
    <row r="183" spans="1:22" ht="13.5" customHeight="1" x14ac:dyDescent="0.15">
      <c r="A183" s="76">
        <v>4</v>
      </c>
      <c r="B183" s="545"/>
      <c r="C183" s="546"/>
      <c r="D183" s="547"/>
      <c r="E183" s="558" t="s">
        <v>68</v>
      </c>
      <c r="F183" s="559"/>
      <c r="G183" s="78" t="s">
        <v>70</v>
      </c>
      <c r="H183" s="352"/>
      <c r="I183" s="77"/>
      <c r="J183" s="46" t="str">
        <f>VLOOKUP($E:$E,材料单价表!$B$3:$G$42,4,0)</f>
        <v>m</v>
      </c>
      <c r="K183" s="46"/>
      <c r="L183" s="80">
        <f>L145</f>
        <v>14.6</v>
      </c>
      <c r="M183" s="46">
        <f>VLOOKUP($E:$E,材料单价表!$B$3:$G$42,5,0)</f>
        <v>0</v>
      </c>
      <c r="N183" s="46">
        <f t="shared" si="36"/>
        <v>0</v>
      </c>
      <c r="O183" s="48"/>
      <c r="P183" s="59"/>
      <c r="Q183" s="81"/>
      <c r="R183" s="79"/>
      <c r="S183" s="464"/>
      <c r="U183" s="104"/>
      <c r="V183" s="104"/>
    </row>
    <row r="184" spans="1:22" ht="13.5" customHeight="1" x14ac:dyDescent="0.15">
      <c r="A184" s="76">
        <v>5</v>
      </c>
      <c r="B184" s="545"/>
      <c r="C184" s="546"/>
      <c r="D184" s="547"/>
      <c r="E184" s="558" t="s">
        <v>71</v>
      </c>
      <c r="F184" s="559"/>
      <c r="G184" s="78"/>
      <c r="H184" s="352"/>
      <c r="I184" s="77"/>
      <c r="J184" s="46" t="str">
        <f>VLOOKUP($E:$E,材料单价表!$B$3:$G$42,4,0)</f>
        <v>个</v>
      </c>
      <c r="K184" s="79"/>
      <c r="L184" s="80">
        <f>J162+J163</f>
        <v>0</v>
      </c>
      <c r="M184" s="46">
        <f>VLOOKUP($E:$E,材料单价表!$B$3:$G$42,5,0)</f>
        <v>0</v>
      </c>
      <c r="N184" s="46">
        <f t="shared" si="36"/>
        <v>0</v>
      </c>
      <c r="O184" s="48"/>
      <c r="P184" s="59"/>
      <c r="Q184" s="81"/>
      <c r="R184" s="79"/>
      <c r="S184" s="464"/>
    </row>
    <row r="185" spans="1:22" ht="13.5" customHeight="1" x14ac:dyDescent="0.15">
      <c r="A185" s="76">
        <v>6</v>
      </c>
      <c r="B185" s="545"/>
      <c r="C185" s="546"/>
      <c r="D185" s="547"/>
      <c r="E185" s="558" t="s">
        <v>833</v>
      </c>
      <c r="F185" s="559"/>
      <c r="G185" s="78"/>
      <c r="H185" s="352"/>
      <c r="I185" s="77"/>
      <c r="J185" s="46" t="str">
        <f>VLOOKUP($E:$E,材料单价表!$B$3:$G$42,4,0)</f>
        <v>m</v>
      </c>
      <c r="K185" s="79"/>
      <c r="L185" s="80">
        <f>(I151*J151+I152*J152+I153*J153+I154*J154+I155*J155)/1000*2</f>
        <v>52.815680000000008</v>
      </c>
      <c r="M185" s="46">
        <f>VLOOKUP($E:$E,材料单价表!$B$3:$G$42,5,0)</f>
        <v>0</v>
      </c>
      <c r="N185" s="46">
        <f t="shared" si="36"/>
        <v>0</v>
      </c>
      <c r="O185" s="48"/>
      <c r="P185" s="59"/>
      <c r="Q185" s="81"/>
      <c r="R185" s="46"/>
      <c r="S185" s="465"/>
    </row>
    <row r="186" spans="1:22" x14ac:dyDescent="0.15">
      <c r="A186" s="76">
        <v>7</v>
      </c>
      <c r="B186" s="545"/>
      <c r="C186" s="546"/>
      <c r="D186" s="547"/>
      <c r="E186" s="558" t="s">
        <v>72</v>
      </c>
      <c r="F186" s="559"/>
      <c r="G186" s="45"/>
      <c r="H186" s="207"/>
      <c r="I186" s="45"/>
      <c r="J186" s="46" t="str">
        <f>VLOOKUP($E:$E,材料单价表!$B$3:$G$42,4,0)</f>
        <v>m2</v>
      </c>
      <c r="K186" s="72"/>
      <c r="L186" s="46">
        <f>L192</f>
        <v>11.76</v>
      </c>
      <c r="M186" s="46">
        <f>VLOOKUP($E:$E,材料单价表!$B$3:$G$42,5,0)</f>
        <v>0</v>
      </c>
      <c r="N186" s="46">
        <f t="shared" si="36"/>
        <v>0</v>
      </c>
      <c r="O186" s="48"/>
      <c r="P186" s="48"/>
      <c r="Q186" s="73"/>
      <c r="R186" s="73"/>
      <c r="S186" s="463"/>
    </row>
    <row r="187" spans="1:22" x14ac:dyDescent="0.15">
      <c r="A187" s="76">
        <v>8</v>
      </c>
      <c r="B187" s="545"/>
      <c r="C187" s="546"/>
      <c r="D187" s="547"/>
      <c r="E187" s="198"/>
      <c r="F187" s="199"/>
      <c r="G187" s="207"/>
      <c r="H187" s="207"/>
      <c r="I187" s="207"/>
      <c r="J187" s="208"/>
      <c r="K187" s="209"/>
      <c r="L187" s="208"/>
      <c r="M187" s="208"/>
      <c r="N187" s="208"/>
      <c r="O187" s="211"/>
      <c r="P187" s="48"/>
      <c r="Q187" s="212"/>
      <c r="R187" s="212"/>
      <c r="S187" s="463"/>
    </row>
    <row r="188" spans="1:22" x14ac:dyDescent="0.15">
      <c r="A188" s="76">
        <v>9</v>
      </c>
      <c r="B188" s="545"/>
      <c r="C188" s="546"/>
      <c r="D188" s="547"/>
      <c r="E188" s="558"/>
      <c r="F188" s="559"/>
      <c r="G188" s="45"/>
      <c r="H188" s="207"/>
      <c r="I188" s="45"/>
      <c r="J188" s="45"/>
      <c r="K188" s="72"/>
      <c r="L188" s="46"/>
      <c r="M188" s="46"/>
      <c r="N188" s="82"/>
      <c r="O188" s="48"/>
      <c r="P188" s="48"/>
      <c r="Q188" s="73"/>
      <c r="R188" s="73"/>
      <c r="S188" s="463"/>
    </row>
    <row r="189" spans="1:22" x14ac:dyDescent="0.15">
      <c r="A189" s="74"/>
      <c r="B189" s="552"/>
      <c r="C189" s="557"/>
      <c r="D189" s="553"/>
      <c r="E189" s="552" t="s">
        <v>73</v>
      </c>
      <c r="F189" s="557"/>
      <c r="G189" s="557"/>
      <c r="H189" s="557"/>
      <c r="I189" s="557"/>
      <c r="J189" s="557"/>
      <c r="K189" s="557"/>
      <c r="L189" s="61"/>
      <c r="M189" s="61"/>
      <c r="N189" s="62">
        <f>SUM(N180:N188)</f>
        <v>0</v>
      </c>
      <c r="O189" s="63" t="s">
        <v>57</v>
      </c>
      <c r="P189" s="337"/>
      <c r="Q189" s="64"/>
      <c r="R189" s="64"/>
      <c r="S189" s="460"/>
    </row>
    <row r="190" spans="1:22" x14ac:dyDescent="0.15">
      <c r="A190" s="74"/>
      <c r="B190" s="552"/>
      <c r="C190" s="557"/>
      <c r="D190" s="553"/>
      <c r="E190" s="552" t="s">
        <v>74</v>
      </c>
      <c r="F190" s="557"/>
      <c r="G190" s="557"/>
      <c r="H190" s="557"/>
      <c r="I190" s="557"/>
      <c r="J190" s="557"/>
      <c r="K190" s="557"/>
      <c r="L190" s="557"/>
      <c r="M190" s="553"/>
      <c r="N190" s="62">
        <f>N189+N178+N175+N170</f>
        <v>0</v>
      </c>
      <c r="O190" s="63" t="s">
        <v>57</v>
      </c>
      <c r="P190" s="337"/>
      <c r="Q190" s="64"/>
      <c r="R190" s="64"/>
      <c r="S190" s="460"/>
    </row>
    <row r="191" spans="1:22" ht="24" x14ac:dyDescent="0.15">
      <c r="A191" s="65"/>
      <c r="B191" s="560" t="s">
        <v>75</v>
      </c>
      <c r="C191" s="561"/>
      <c r="D191" s="562"/>
      <c r="E191" s="565" t="s">
        <v>26</v>
      </c>
      <c r="F191" s="566"/>
      <c r="G191" s="66"/>
      <c r="H191" s="351"/>
      <c r="I191" s="66"/>
      <c r="J191" s="66" t="s">
        <v>6</v>
      </c>
      <c r="K191" s="83" t="s">
        <v>61</v>
      </c>
      <c r="L191" s="66" t="s">
        <v>76</v>
      </c>
      <c r="M191" s="68" t="s">
        <v>62</v>
      </c>
      <c r="N191" s="68" t="s">
        <v>34</v>
      </c>
      <c r="O191" s="84" t="s">
        <v>57</v>
      </c>
      <c r="P191" s="84"/>
      <c r="Q191" s="67"/>
      <c r="R191" s="67"/>
      <c r="S191" s="461"/>
    </row>
    <row r="192" spans="1:22" x14ac:dyDescent="0.15">
      <c r="A192" s="200">
        <v>1</v>
      </c>
      <c r="B192" s="545"/>
      <c r="C192" s="546"/>
      <c r="D192" s="547"/>
      <c r="E192" s="545" t="s">
        <v>77</v>
      </c>
      <c r="F192" s="547"/>
      <c r="G192" s="45"/>
      <c r="H192" s="207"/>
      <c r="I192" s="46"/>
      <c r="J192" s="45" t="s">
        <v>78</v>
      </c>
      <c r="K192" s="72"/>
      <c r="L192" s="85">
        <f>N132</f>
        <v>11.76</v>
      </c>
      <c r="M192" s="46">
        <f>VLOOKUP($E:$E,材料单价表!$B$3:$G$42,5,0)</f>
        <v>0</v>
      </c>
      <c r="N192" s="46">
        <f>M192*L192</f>
        <v>0</v>
      </c>
      <c r="O192" s="48"/>
      <c r="P192" s="48"/>
      <c r="Q192" s="72"/>
      <c r="R192" s="72"/>
      <c r="S192" s="462"/>
    </row>
    <row r="193" spans="1:19" x14ac:dyDescent="0.15">
      <c r="A193" s="200">
        <v>2</v>
      </c>
      <c r="B193" s="545"/>
      <c r="C193" s="546"/>
      <c r="D193" s="547"/>
      <c r="E193" s="545" t="s">
        <v>79</v>
      </c>
      <c r="F193" s="547"/>
      <c r="G193" s="45"/>
      <c r="H193" s="207"/>
      <c r="I193" s="46"/>
      <c r="J193" s="45" t="s">
        <v>78</v>
      </c>
      <c r="K193" s="72"/>
      <c r="L193" s="85">
        <f>L192</f>
        <v>11.76</v>
      </c>
      <c r="M193" s="46">
        <f>VLOOKUP($E:$E,材料单价表!$B$3:$G$42,5,0)</f>
        <v>0</v>
      </c>
      <c r="N193" s="46">
        <f>M193*L193</f>
        <v>0</v>
      </c>
      <c r="O193" s="48"/>
      <c r="P193" s="48"/>
      <c r="Q193" s="72"/>
      <c r="R193" s="72"/>
      <c r="S193" s="462"/>
    </row>
    <row r="194" spans="1:19" ht="24.75" customHeight="1" x14ac:dyDescent="0.15">
      <c r="A194" s="74"/>
      <c r="B194" s="552"/>
      <c r="C194" s="557"/>
      <c r="D194" s="553"/>
      <c r="E194" s="552" t="s">
        <v>80</v>
      </c>
      <c r="F194" s="553"/>
      <c r="G194" s="194"/>
      <c r="H194" s="348"/>
      <c r="I194" s="554" t="s">
        <v>81</v>
      </c>
      <c r="J194" s="554"/>
      <c r="K194" s="554"/>
      <c r="L194" s="554"/>
      <c r="M194" s="87"/>
      <c r="N194" s="62">
        <f>N190+N192+N193</f>
        <v>0</v>
      </c>
      <c r="O194" s="63" t="s">
        <v>57</v>
      </c>
      <c r="P194" s="337"/>
      <c r="Q194" s="64"/>
      <c r="R194" s="64"/>
      <c r="S194" s="460"/>
    </row>
    <row r="195" spans="1:19" ht="24" customHeight="1" x14ac:dyDescent="0.15">
      <c r="A195" s="74"/>
      <c r="B195" s="552"/>
      <c r="C195" s="557"/>
      <c r="D195" s="553"/>
      <c r="E195" s="555" t="s">
        <v>82</v>
      </c>
      <c r="F195" s="556"/>
      <c r="G195" s="193"/>
      <c r="H195" s="349"/>
      <c r="I195" s="552" t="s">
        <v>81</v>
      </c>
      <c r="J195" s="557"/>
      <c r="K195" s="557"/>
      <c r="L195" s="557"/>
      <c r="M195" s="62"/>
      <c r="N195" s="62">
        <f>N194/N132</f>
        <v>0</v>
      </c>
      <c r="O195" s="89" t="s">
        <v>57</v>
      </c>
      <c r="P195" s="89"/>
      <c r="Q195" s="90"/>
      <c r="R195" s="90"/>
      <c r="S195" s="466"/>
    </row>
  </sheetData>
  <autoFilter ref="S1:T195"/>
  <mergeCells count="186">
    <mergeCell ref="B183:D183"/>
    <mergeCell ref="B184:D184"/>
    <mergeCell ref="B120:D120"/>
    <mergeCell ref="B151:D156"/>
    <mergeCell ref="B82:D85"/>
    <mergeCell ref="B86:D91"/>
    <mergeCell ref="B92:D101"/>
    <mergeCell ref="A102:K102"/>
    <mergeCell ref="A103:K103"/>
    <mergeCell ref="A104:K104"/>
    <mergeCell ref="A167:K167"/>
    <mergeCell ref="A168:K168"/>
    <mergeCell ref="B121:D121"/>
    <mergeCell ref="B122:D122"/>
    <mergeCell ref="B123:D123"/>
    <mergeCell ref="B127:D127"/>
    <mergeCell ref="B115:D115"/>
    <mergeCell ref="B116:D116"/>
    <mergeCell ref="B117:D117"/>
    <mergeCell ref="B118:D118"/>
    <mergeCell ref="B119:D119"/>
    <mergeCell ref="B109:D109"/>
    <mergeCell ref="B112:D112"/>
    <mergeCell ref="E119:F119"/>
    <mergeCell ref="B58:D58"/>
    <mergeCell ref="B62:D62"/>
    <mergeCell ref="B63:D63"/>
    <mergeCell ref="B107:D107"/>
    <mergeCell ref="B108:D108"/>
    <mergeCell ref="B189:D189"/>
    <mergeCell ref="B190:D190"/>
    <mergeCell ref="B194:D194"/>
    <mergeCell ref="B195:D195"/>
    <mergeCell ref="B129:D129"/>
    <mergeCell ref="B130:D130"/>
    <mergeCell ref="B170:D170"/>
    <mergeCell ref="B175:D175"/>
    <mergeCell ref="B178:D178"/>
    <mergeCell ref="B128:D128"/>
    <mergeCell ref="B172:D172"/>
    <mergeCell ref="B173:D173"/>
    <mergeCell ref="B174:D174"/>
    <mergeCell ref="B177:D177"/>
    <mergeCell ref="B61:D61"/>
    <mergeCell ref="B81:D81"/>
    <mergeCell ref="B106:D106"/>
    <mergeCell ref="B111:D111"/>
    <mergeCell ref="B114:D114"/>
    <mergeCell ref="B57:D57"/>
    <mergeCell ref="B191:D191"/>
    <mergeCell ref="B17:D20"/>
    <mergeCell ref="B21:D26"/>
    <mergeCell ref="B27:D36"/>
    <mergeCell ref="B40:D40"/>
    <mergeCell ref="B45:D45"/>
    <mergeCell ref="B48:D48"/>
    <mergeCell ref="B59:D59"/>
    <mergeCell ref="B60:D60"/>
    <mergeCell ref="B64:D64"/>
    <mergeCell ref="B65:D65"/>
    <mergeCell ref="B105:D105"/>
    <mergeCell ref="B110:D110"/>
    <mergeCell ref="B113:D113"/>
    <mergeCell ref="B124:D124"/>
    <mergeCell ref="B125:D125"/>
    <mergeCell ref="B126:D126"/>
    <mergeCell ref="B146:D146"/>
    <mergeCell ref="B171:D171"/>
    <mergeCell ref="B176:D176"/>
    <mergeCell ref="B179:D179"/>
    <mergeCell ref="B42:D42"/>
    <mergeCell ref="B43:D43"/>
    <mergeCell ref="E51:F51"/>
    <mergeCell ref="E52:F52"/>
    <mergeCell ref="E54:F54"/>
    <mergeCell ref="E55:F55"/>
    <mergeCell ref="E56:F56"/>
    <mergeCell ref="E41:F41"/>
    <mergeCell ref="A1:R1"/>
    <mergeCell ref="E40:K40"/>
    <mergeCell ref="B16:D16"/>
    <mergeCell ref="B41:D41"/>
    <mergeCell ref="B46:D46"/>
    <mergeCell ref="B49:D49"/>
    <mergeCell ref="A37:K37"/>
    <mergeCell ref="A38:K38"/>
    <mergeCell ref="A39:K39"/>
    <mergeCell ref="B55:D55"/>
    <mergeCell ref="B56:D56"/>
    <mergeCell ref="B44:D44"/>
    <mergeCell ref="B47:D47"/>
    <mergeCell ref="B50:D50"/>
    <mergeCell ref="B51:D51"/>
    <mergeCell ref="B52:D52"/>
    <mergeCell ref="B53:D53"/>
    <mergeCell ref="B54:D54"/>
    <mergeCell ref="E42:F42"/>
    <mergeCell ref="E43:F43"/>
    <mergeCell ref="E44:F44"/>
    <mergeCell ref="E45:K45"/>
    <mergeCell ref="E46:F46"/>
    <mergeCell ref="E47:F47"/>
    <mergeCell ref="E48:K48"/>
    <mergeCell ref="E49:F49"/>
    <mergeCell ref="E50:F50"/>
    <mergeCell ref="E113:K113"/>
    <mergeCell ref="E114:F114"/>
    <mergeCell ref="E115:F115"/>
    <mergeCell ref="E116:F116"/>
    <mergeCell ref="E117:F117"/>
    <mergeCell ref="E65:F65"/>
    <mergeCell ref="I65:L65"/>
    <mergeCell ref="E60:M60"/>
    <mergeCell ref="E53:F53"/>
    <mergeCell ref="E129:F129"/>
    <mergeCell ref="A131:R131"/>
    <mergeCell ref="E170:K170"/>
    <mergeCell ref="I129:L129"/>
    <mergeCell ref="E130:F130"/>
    <mergeCell ref="E120:F120"/>
    <mergeCell ref="E121:F121"/>
    <mergeCell ref="E58:F58"/>
    <mergeCell ref="E59:K59"/>
    <mergeCell ref="E106:F106"/>
    <mergeCell ref="E61:F61"/>
    <mergeCell ref="E62:F62"/>
    <mergeCell ref="E63:F63"/>
    <mergeCell ref="E64:F64"/>
    <mergeCell ref="A66:R66"/>
    <mergeCell ref="E105:K105"/>
    <mergeCell ref="I64:L64"/>
    <mergeCell ref="E118:F118"/>
    <mergeCell ref="E107:F107"/>
    <mergeCell ref="E108:F108"/>
    <mergeCell ref="E109:F109"/>
    <mergeCell ref="E110:K110"/>
    <mergeCell ref="E111:F111"/>
    <mergeCell ref="E112:F112"/>
    <mergeCell ref="B186:D186"/>
    <mergeCell ref="B187:D187"/>
    <mergeCell ref="B188:D188"/>
    <mergeCell ref="B192:D192"/>
    <mergeCell ref="B180:D180"/>
    <mergeCell ref="E123:F123"/>
    <mergeCell ref="E124:K124"/>
    <mergeCell ref="E125:M125"/>
    <mergeCell ref="E183:F183"/>
    <mergeCell ref="E172:F172"/>
    <mergeCell ref="E173:F173"/>
    <mergeCell ref="E174:F174"/>
    <mergeCell ref="E175:K175"/>
    <mergeCell ref="E176:F176"/>
    <mergeCell ref="E177:F177"/>
    <mergeCell ref="E178:K178"/>
    <mergeCell ref="E179:F179"/>
    <mergeCell ref="E180:F180"/>
    <mergeCell ref="E181:F181"/>
    <mergeCell ref="E182:F182"/>
    <mergeCell ref="E171:F171"/>
    <mergeCell ref="E126:F126"/>
    <mergeCell ref="E127:F127"/>
    <mergeCell ref="E128:F128"/>
    <mergeCell ref="B181:D181"/>
    <mergeCell ref="B182:D182"/>
    <mergeCell ref="N3:O3"/>
    <mergeCell ref="N68:O68"/>
    <mergeCell ref="N133:O133"/>
    <mergeCell ref="I130:L130"/>
    <mergeCell ref="B147:D150"/>
    <mergeCell ref="B157:D166"/>
    <mergeCell ref="E195:F195"/>
    <mergeCell ref="I195:L195"/>
    <mergeCell ref="E184:F184"/>
    <mergeCell ref="E185:F185"/>
    <mergeCell ref="E186:F186"/>
    <mergeCell ref="E188:F188"/>
    <mergeCell ref="E189:K189"/>
    <mergeCell ref="E190:M190"/>
    <mergeCell ref="E191:F191"/>
    <mergeCell ref="E192:F192"/>
    <mergeCell ref="E193:F193"/>
    <mergeCell ref="E194:F194"/>
    <mergeCell ref="I194:L194"/>
    <mergeCell ref="B193:D193"/>
    <mergeCell ref="A169:K169"/>
    <mergeCell ref="B185:D185"/>
  </mergeCells>
  <phoneticPr fontId="9" type="noConversion"/>
  <pageMargins left="0.7" right="0.7" top="0.75" bottom="0.75" header="0.3" footer="0.3"/>
  <pageSetup paperSize="9" scale="69" orientation="portrait" r:id="rId1"/>
  <rowBreaks count="2" manualBreakCount="2">
    <brk id="65" max="13" man="1"/>
    <brk id="130" max="1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25"/>
  <sheetViews>
    <sheetView view="pageBreakPreview" topLeftCell="A1099" zoomScale="98" zoomScaleNormal="100" zoomScaleSheetLayoutView="98" workbookViewId="0">
      <selection activeCell="H1103" sqref="H1103"/>
    </sheetView>
  </sheetViews>
  <sheetFormatPr defaultColWidth="8.125" defaultRowHeight="13.5" x14ac:dyDescent="0.15"/>
  <cols>
    <col min="1" max="1" width="6.375" style="1" customWidth="1"/>
    <col min="2" max="2" width="3.375" style="1" customWidth="1"/>
    <col min="3" max="3" width="3.625" style="1" customWidth="1"/>
    <col min="4" max="4" width="2" style="1" customWidth="1"/>
    <col min="5" max="5" width="1.875" style="1" customWidth="1"/>
    <col min="6" max="6" width="14.25" style="1" customWidth="1"/>
    <col min="7" max="7" width="7" style="1" customWidth="1"/>
    <col min="8" max="8" width="11" style="1" customWidth="1"/>
    <col min="9" max="9" width="11.25" style="1" customWidth="1"/>
    <col min="10" max="10" width="13.125" style="1" customWidth="1"/>
    <col min="11" max="11" width="6.375" style="1" customWidth="1"/>
    <col min="12" max="12" width="8.125" style="1" customWidth="1"/>
    <col min="13" max="13" width="7.875" style="1" customWidth="1"/>
    <col min="14" max="15" width="9.25" style="1" customWidth="1"/>
    <col min="16" max="16" width="8" style="1" customWidth="1"/>
    <col min="17" max="17" width="14.5" style="1" customWidth="1"/>
    <col min="18" max="18" width="10" style="1" customWidth="1"/>
    <col min="19" max="19" width="8.125" style="1" customWidth="1"/>
    <col min="20" max="20" width="4.125" style="1" customWidth="1"/>
    <col min="21" max="21" width="3" style="374" customWidth="1"/>
    <col min="22" max="22" width="7" style="259" customWidth="1"/>
    <col min="23" max="23" width="5.625" style="259" customWidth="1"/>
    <col min="24" max="24" width="6.875" style="259" customWidth="1"/>
    <col min="25" max="25" width="5.375" style="259" customWidth="1"/>
    <col min="26" max="26" width="6.875" style="260" customWidth="1"/>
    <col min="27" max="28" width="7.125" style="260" customWidth="1"/>
    <col min="29" max="29" width="7" style="260" customWidth="1"/>
    <col min="30" max="30" width="7.125" style="260" customWidth="1"/>
    <col min="31" max="31" width="6.375" style="260" customWidth="1"/>
    <col min="32" max="32" width="7.875" style="260" customWidth="1"/>
    <col min="33" max="33" width="6.75" style="260" customWidth="1"/>
    <col min="34" max="34" width="7.25" style="260" customWidth="1"/>
    <col min="35" max="35" width="6.875" style="260" customWidth="1"/>
    <col min="36" max="36" width="7.875" style="260" customWidth="1"/>
    <col min="37" max="37" width="5.75" style="260" customWidth="1"/>
    <col min="38" max="16384" width="8.125" style="1"/>
  </cols>
  <sheetData>
    <row r="1" spans="1:37" ht="18.75" customHeight="1" x14ac:dyDescent="0.15">
      <c r="A1" s="549" t="s">
        <v>0</v>
      </c>
      <c r="B1" s="549"/>
      <c r="C1" s="549"/>
      <c r="D1" s="549"/>
      <c r="E1" s="549"/>
      <c r="F1" s="549"/>
      <c r="G1" s="549"/>
      <c r="H1" s="549"/>
      <c r="I1" s="549"/>
      <c r="J1" s="549"/>
      <c r="K1" s="549"/>
      <c r="L1" s="550"/>
      <c r="M1" s="549"/>
      <c r="N1" s="549"/>
      <c r="O1" s="549"/>
      <c r="P1" s="549"/>
      <c r="Q1" s="549"/>
      <c r="R1" s="551"/>
      <c r="S1" s="551"/>
      <c r="T1" s="415"/>
    </row>
    <row r="2" spans="1:37" ht="15" customHeight="1" x14ac:dyDescent="0.15">
      <c r="A2" s="2" t="s">
        <v>1</v>
      </c>
      <c r="B2" s="3" t="s">
        <v>1451</v>
      </c>
      <c r="C2" s="3">
        <v>1</v>
      </c>
      <c r="D2" s="340"/>
      <c r="E2" s="3"/>
      <c r="F2" s="4" t="s">
        <v>2</v>
      </c>
      <c r="G2" s="5">
        <v>60</v>
      </c>
      <c r="H2" s="106" t="s">
        <v>86</v>
      </c>
      <c r="I2" s="106"/>
      <c r="J2" s="4" t="s">
        <v>3</v>
      </c>
      <c r="K2" s="6">
        <f>L5</f>
        <v>600</v>
      </c>
      <c r="L2" s="7" t="s">
        <v>83</v>
      </c>
      <c r="M2" s="6">
        <f>L4</f>
        <v>1300</v>
      </c>
      <c r="N2" s="8" t="s">
        <v>4</v>
      </c>
      <c r="O2" s="9">
        <f>M14</f>
        <v>0.78</v>
      </c>
      <c r="P2" s="10"/>
      <c r="Q2" s="10"/>
      <c r="R2" s="10" t="s">
        <v>5</v>
      </c>
      <c r="S2" s="11"/>
      <c r="T2" s="457"/>
    </row>
    <row r="3" spans="1:37" ht="15" customHeight="1" x14ac:dyDescent="0.2">
      <c r="A3" s="12"/>
      <c r="B3" s="13"/>
      <c r="C3" s="13"/>
      <c r="D3" s="13"/>
      <c r="E3" s="13"/>
      <c r="F3" s="14"/>
      <c r="G3" s="14"/>
      <c r="H3" s="15"/>
      <c r="I3" s="15"/>
      <c r="J3" s="16"/>
      <c r="K3" s="16" t="s">
        <v>6</v>
      </c>
      <c r="L3" s="17" t="s">
        <v>7</v>
      </c>
      <c r="M3" s="16" t="s">
        <v>8</v>
      </c>
      <c r="N3" s="18"/>
      <c r="O3" s="548" t="s">
        <v>940</v>
      </c>
      <c r="P3" s="548"/>
      <c r="Q3" s="16" t="s">
        <v>1018</v>
      </c>
      <c r="R3" s="529" t="s">
        <v>1187</v>
      </c>
      <c r="S3" s="530" t="s">
        <v>1592</v>
      </c>
      <c r="T3" s="468"/>
    </row>
    <row r="4" spans="1:37" ht="15" customHeight="1" x14ac:dyDescent="0.2">
      <c r="A4" s="398" t="s">
        <v>918</v>
      </c>
      <c r="B4" s="406" t="s">
        <v>972</v>
      </c>
      <c r="C4" s="362"/>
      <c r="D4" s="362"/>
      <c r="E4" s="362"/>
      <c r="F4" s="23"/>
      <c r="G4" s="23"/>
      <c r="H4" s="107"/>
      <c r="I4" s="107"/>
      <c r="J4" s="24" t="s">
        <v>9</v>
      </c>
      <c r="K4" s="16" t="s">
        <v>10</v>
      </c>
      <c r="L4" s="25">
        <v>1300</v>
      </c>
      <c r="M4" s="113">
        <f>L4-M13*2</f>
        <v>1200</v>
      </c>
      <c r="N4" s="18"/>
      <c r="O4" s="356" t="s">
        <v>941</v>
      </c>
      <c r="P4" s="357"/>
      <c r="Q4" s="16" t="s">
        <v>1019</v>
      </c>
      <c r="R4" s="529"/>
      <c r="S4" s="530"/>
      <c r="T4" s="468"/>
    </row>
    <row r="5" spans="1:37" ht="15" customHeight="1" x14ac:dyDescent="0.2">
      <c r="A5" s="21"/>
      <c r="B5" s="22"/>
      <c r="C5" s="22"/>
      <c r="D5" s="22"/>
      <c r="E5" s="22"/>
      <c r="F5" s="23"/>
      <c r="G5" s="23"/>
      <c r="H5" s="18"/>
      <c r="I5" s="18"/>
      <c r="J5" s="24" t="s">
        <v>11</v>
      </c>
      <c r="K5" s="16" t="s">
        <v>10</v>
      </c>
      <c r="L5" s="25">
        <v>600</v>
      </c>
      <c r="M5" s="113">
        <f>L5-M13*2</f>
        <v>500</v>
      </c>
      <c r="N5" s="18"/>
      <c r="O5" s="356" t="s">
        <v>924</v>
      </c>
      <c r="P5" s="357"/>
      <c r="Q5" s="16" t="s">
        <v>1020</v>
      </c>
      <c r="R5" s="529" t="s">
        <v>1188</v>
      </c>
      <c r="S5" s="530" t="s">
        <v>1086</v>
      </c>
      <c r="T5" s="468"/>
    </row>
    <row r="6" spans="1:37" ht="15" customHeight="1" x14ac:dyDescent="0.2">
      <c r="A6" s="21"/>
      <c r="B6" s="22"/>
      <c r="C6" s="22"/>
      <c r="D6" s="22"/>
      <c r="E6" s="22"/>
      <c r="F6" s="23"/>
      <c r="G6" s="23"/>
      <c r="H6" s="18"/>
      <c r="I6" s="18"/>
      <c r="J6" s="24" t="s">
        <v>12</v>
      </c>
      <c r="K6" s="16" t="s">
        <v>10</v>
      </c>
      <c r="L6" s="26"/>
      <c r="M6" s="113">
        <f>M4</f>
        <v>1200</v>
      </c>
      <c r="N6" s="18"/>
      <c r="O6" s="356" t="s">
        <v>925</v>
      </c>
      <c r="P6" s="357"/>
      <c r="Q6" s="16" t="s">
        <v>1021</v>
      </c>
      <c r="R6" s="529"/>
      <c r="S6" s="530"/>
      <c r="T6" s="468"/>
    </row>
    <row r="7" spans="1:37" ht="15" customHeight="1" x14ac:dyDescent="0.2">
      <c r="A7" s="21"/>
      <c r="B7" s="22"/>
      <c r="C7" s="22"/>
      <c r="D7" s="22"/>
      <c r="E7" s="22"/>
      <c r="F7" s="23"/>
      <c r="G7" s="23"/>
      <c r="H7" s="18"/>
      <c r="I7" s="18"/>
      <c r="J7" s="24" t="s">
        <v>13</v>
      </c>
      <c r="K7" s="16" t="s">
        <v>10</v>
      </c>
      <c r="L7" s="26"/>
      <c r="M7" s="113"/>
      <c r="N7" s="18"/>
      <c r="O7" s="356" t="s">
        <v>926</v>
      </c>
      <c r="P7" s="357"/>
      <c r="Q7" s="16" t="s">
        <v>1022</v>
      </c>
      <c r="R7" s="27"/>
      <c r="S7" s="28"/>
      <c r="T7" s="27"/>
    </row>
    <row r="8" spans="1:37" ht="15" customHeight="1" x14ac:dyDescent="0.2">
      <c r="A8" s="21"/>
      <c r="B8" s="22"/>
      <c r="C8" s="22"/>
      <c r="D8" s="22"/>
      <c r="E8" s="22"/>
      <c r="F8" s="23"/>
      <c r="G8" s="23"/>
      <c r="H8" s="18"/>
      <c r="I8" s="18"/>
      <c r="J8" s="24" t="s">
        <v>14</v>
      </c>
      <c r="K8" s="16" t="s">
        <v>10</v>
      </c>
      <c r="L8" s="26"/>
      <c r="M8" s="113"/>
      <c r="N8" s="18"/>
      <c r="O8" s="356" t="s">
        <v>927</v>
      </c>
      <c r="P8" s="357"/>
      <c r="Q8" s="16" t="s">
        <v>1023</v>
      </c>
      <c r="R8" s="27"/>
      <c r="S8" s="28"/>
      <c r="T8" s="27"/>
    </row>
    <row r="9" spans="1:37" ht="15" customHeight="1" x14ac:dyDescent="0.2">
      <c r="A9" s="21"/>
      <c r="B9" s="22"/>
      <c r="C9" s="22"/>
      <c r="D9" s="22"/>
      <c r="E9" s="22"/>
      <c r="F9" s="23"/>
      <c r="G9" s="23"/>
      <c r="H9" s="18"/>
      <c r="I9" s="18"/>
      <c r="J9" s="24" t="s">
        <v>15</v>
      </c>
      <c r="K9" s="16" t="s">
        <v>10</v>
      </c>
      <c r="L9" s="26"/>
      <c r="M9" s="113">
        <f>M5</f>
        <v>500</v>
      </c>
      <c r="N9" s="18"/>
      <c r="O9" s="356" t="s">
        <v>928</v>
      </c>
      <c r="P9" s="357"/>
      <c r="Q9" s="16" t="s">
        <v>1005</v>
      </c>
      <c r="R9" s="27"/>
      <c r="S9" s="28"/>
      <c r="T9" s="27"/>
    </row>
    <row r="10" spans="1:37" ht="15" customHeight="1" x14ac:dyDescent="0.2">
      <c r="A10" s="21"/>
      <c r="B10" s="22"/>
      <c r="C10" s="22"/>
      <c r="D10" s="22"/>
      <c r="E10" s="22"/>
      <c r="F10" s="23"/>
      <c r="G10" s="23"/>
      <c r="H10" s="18"/>
      <c r="I10" s="18"/>
      <c r="J10" s="24" t="s">
        <v>16</v>
      </c>
      <c r="K10" s="16" t="s">
        <v>10</v>
      </c>
      <c r="L10" s="26"/>
      <c r="M10" s="113"/>
      <c r="N10" s="18"/>
      <c r="O10" s="356" t="s">
        <v>929</v>
      </c>
      <c r="P10" s="357"/>
      <c r="Q10" s="16" t="s">
        <v>1024</v>
      </c>
      <c r="R10" s="27"/>
      <c r="S10" s="28"/>
      <c r="T10" s="27"/>
    </row>
    <row r="11" spans="1:37" ht="15" customHeight="1" x14ac:dyDescent="0.2">
      <c r="A11" s="21"/>
      <c r="B11" s="22"/>
      <c r="C11" s="22"/>
      <c r="D11" s="22"/>
      <c r="E11" s="22"/>
      <c r="F11" s="23"/>
      <c r="G11" s="23"/>
      <c r="H11" s="18"/>
      <c r="I11" s="18"/>
      <c r="J11" s="24" t="s">
        <v>17</v>
      </c>
      <c r="K11" s="16" t="s">
        <v>10</v>
      </c>
      <c r="L11" s="26"/>
      <c r="M11" s="113"/>
      <c r="N11" s="18"/>
      <c r="O11" s="356" t="s">
        <v>930</v>
      </c>
      <c r="P11" s="357"/>
      <c r="Q11" s="16" t="s">
        <v>931</v>
      </c>
      <c r="R11" s="27"/>
      <c r="S11" s="28"/>
      <c r="T11" s="27"/>
    </row>
    <row r="12" spans="1:37" ht="15" customHeight="1" x14ac:dyDescent="0.2">
      <c r="A12" s="21"/>
      <c r="B12" s="22"/>
      <c r="C12" s="22"/>
      <c r="D12" s="22"/>
      <c r="E12" s="22"/>
      <c r="F12" s="23"/>
      <c r="G12" s="23"/>
      <c r="H12" s="18"/>
      <c r="I12" s="18"/>
      <c r="J12" s="24" t="s">
        <v>18</v>
      </c>
      <c r="K12" s="16" t="s">
        <v>10</v>
      </c>
      <c r="L12" s="26"/>
      <c r="M12" s="113"/>
      <c r="N12" s="18"/>
      <c r="O12" s="356" t="s">
        <v>932</v>
      </c>
      <c r="P12" s="357"/>
      <c r="Q12" s="16" t="s">
        <v>933</v>
      </c>
      <c r="R12" s="27"/>
      <c r="S12" s="28"/>
      <c r="T12" s="27"/>
    </row>
    <row r="13" spans="1:37" ht="15" customHeight="1" x14ac:dyDescent="0.2">
      <c r="A13" s="21"/>
      <c r="B13" s="22"/>
      <c r="C13" s="22"/>
      <c r="D13" s="22"/>
      <c r="E13" s="22"/>
      <c r="F13" s="23"/>
      <c r="G13" s="23"/>
      <c r="H13" s="18"/>
      <c r="I13" s="18"/>
      <c r="J13" s="24" t="s">
        <v>19</v>
      </c>
      <c r="K13" s="16" t="s">
        <v>10</v>
      </c>
      <c r="L13" s="26"/>
      <c r="M13" s="25">
        <v>50</v>
      </c>
      <c r="N13" s="18"/>
      <c r="O13" s="356" t="s">
        <v>934</v>
      </c>
      <c r="P13" s="357"/>
      <c r="Q13" s="16" t="s">
        <v>935</v>
      </c>
      <c r="R13" s="27"/>
      <c r="S13" s="28"/>
      <c r="T13" s="27"/>
    </row>
    <row r="14" spans="1:37" ht="15" customHeight="1" x14ac:dyDescent="0.2">
      <c r="A14" s="21"/>
      <c r="B14" s="22"/>
      <c r="C14" s="22"/>
      <c r="D14" s="22"/>
      <c r="E14" s="22"/>
      <c r="F14" s="23"/>
      <c r="G14" s="23"/>
      <c r="H14" s="18"/>
      <c r="I14" s="18"/>
      <c r="J14" s="29" t="s">
        <v>20</v>
      </c>
      <c r="K14" s="16" t="s">
        <v>21</v>
      </c>
      <c r="L14" s="30"/>
      <c r="M14" s="31">
        <f>L4*L5/1000000</f>
        <v>0.78</v>
      </c>
      <c r="N14" s="18"/>
      <c r="O14" s="356" t="s">
        <v>936</v>
      </c>
      <c r="P14" s="357"/>
      <c r="Q14" s="16" t="s">
        <v>937</v>
      </c>
      <c r="R14" s="27"/>
      <c r="S14" s="28"/>
      <c r="T14" s="27"/>
    </row>
    <row r="15" spans="1:37" ht="15" customHeight="1" x14ac:dyDescent="0.2">
      <c r="A15" s="32"/>
      <c r="B15" s="33"/>
      <c r="C15" s="33"/>
      <c r="D15" s="33"/>
      <c r="E15" s="33"/>
      <c r="F15" s="34"/>
      <c r="G15" s="34"/>
      <c r="H15" s="35"/>
      <c r="I15" s="35"/>
      <c r="J15" s="29" t="s">
        <v>22</v>
      </c>
      <c r="K15" s="16" t="s">
        <v>23</v>
      </c>
      <c r="L15" s="30"/>
      <c r="M15" s="36">
        <f>(L5+L4)*2/1000</f>
        <v>3.8</v>
      </c>
      <c r="N15" s="35"/>
      <c r="O15" s="356" t="s">
        <v>938</v>
      </c>
      <c r="P15" s="357"/>
      <c r="Q15" s="16" t="s">
        <v>939</v>
      </c>
      <c r="R15" s="37"/>
      <c r="S15" s="38"/>
      <c r="T15" s="27"/>
    </row>
    <row r="16" spans="1:37" ht="48.75" customHeight="1" x14ac:dyDescent="0.15">
      <c r="A16" s="39" t="s">
        <v>24</v>
      </c>
      <c r="B16" s="560" t="s">
        <v>25</v>
      </c>
      <c r="C16" s="561"/>
      <c r="D16" s="561"/>
      <c r="E16" s="562"/>
      <c r="F16" s="40" t="s">
        <v>26</v>
      </c>
      <c r="G16" s="40" t="s">
        <v>27</v>
      </c>
      <c r="H16" s="40" t="s">
        <v>28</v>
      </c>
      <c r="I16" s="40" t="s">
        <v>1166</v>
      </c>
      <c r="J16" s="40" t="s">
        <v>29</v>
      </c>
      <c r="K16" s="40" t="s">
        <v>30</v>
      </c>
      <c r="L16" s="41" t="s">
        <v>31</v>
      </c>
      <c r="M16" s="40" t="s">
        <v>32</v>
      </c>
      <c r="N16" s="40" t="s">
        <v>33</v>
      </c>
      <c r="O16" s="40" t="s">
        <v>34</v>
      </c>
      <c r="P16" s="42" t="s">
        <v>35</v>
      </c>
      <c r="Q16" s="359" t="s">
        <v>974</v>
      </c>
      <c r="R16" s="43" t="s">
        <v>36</v>
      </c>
      <c r="S16" s="43" t="s">
        <v>37</v>
      </c>
      <c r="T16" s="458"/>
      <c r="V16" s="261" t="s">
        <v>834</v>
      </c>
      <c r="W16" s="261"/>
      <c r="X16" s="262" t="s">
        <v>841</v>
      </c>
      <c r="Y16" s="263"/>
      <c r="Z16" s="262" t="s">
        <v>835</v>
      </c>
      <c r="AA16" s="263"/>
      <c r="AB16" s="262" t="s">
        <v>845</v>
      </c>
      <c r="AC16" s="263"/>
      <c r="AD16" s="262" t="s">
        <v>836</v>
      </c>
      <c r="AE16" s="263"/>
      <c r="AF16" s="262" t="s">
        <v>837</v>
      </c>
      <c r="AG16" s="263"/>
      <c r="AH16" s="262" t="s">
        <v>838</v>
      </c>
      <c r="AI16" s="263"/>
      <c r="AJ16" s="262" t="s">
        <v>840</v>
      </c>
      <c r="AK16" s="263"/>
    </row>
    <row r="17" spans="1:37" ht="13.5" customHeight="1" x14ac:dyDescent="0.15">
      <c r="A17" s="200">
        <v>1</v>
      </c>
      <c r="B17" s="531" t="s">
        <v>38</v>
      </c>
      <c r="C17" s="532"/>
      <c r="D17" s="532"/>
      <c r="E17" s="533"/>
      <c r="F17" s="47" t="str">
        <f>VLOOKUP($H:$H,型材表!$B$5:$I$448,2,0)</f>
        <v>边框</v>
      </c>
      <c r="G17" s="45" t="s">
        <v>39</v>
      </c>
      <c r="H17" s="45" t="str">
        <f>IF(G2=55,"SW55K001",IF(G2=551,"SW55BK001",IF(G2=60,"SW60K001",IF(G2=601,"SW60AK001",IF(G2=65,"SW65AK001",IF(G2=70,"SW70K001",IF(G2=75,"SW75K001",IF(G2=50,"SW50K002"))))))))</f>
        <v>SW60K001</v>
      </c>
      <c r="I17" s="207" t="s">
        <v>1169</v>
      </c>
      <c r="J17" s="46">
        <f>M4</f>
        <v>1200</v>
      </c>
      <c r="K17" s="45">
        <v>2</v>
      </c>
      <c r="L17" s="47">
        <f>VLOOKUP($H:$H,型材表!$B$5:$I$448,4,0)</f>
        <v>0.99199999999999999</v>
      </c>
      <c r="M17" s="46">
        <f>J17*K17*L17/1000</f>
        <v>2.3808000000000002</v>
      </c>
      <c r="N17" s="72">
        <f>VLOOKUP($H:$H,型材表!$B$5:$I$448,7,0)</f>
        <v>0</v>
      </c>
      <c r="O17" s="46">
        <f>N17*M17</f>
        <v>0</v>
      </c>
      <c r="P17" s="100">
        <f>VLOOKUP($H:$H,型材表!$B$5:$I$448,5,0)</f>
        <v>0.125</v>
      </c>
      <c r="Q17" s="100" t="str">
        <f>VLOOKUP($H:$H,型材表!$B$5:$I$448,6,0)</f>
        <v>断桥隔热铝型材</v>
      </c>
      <c r="R17" s="49"/>
      <c r="S17" s="50"/>
      <c r="T17" s="459"/>
      <c r="X17" s="264"/>
      <c r="Y17" s="265"/>
      <c r="Z17" s="264"/>
      <c r="AA17" s="265"/>
      <c r="AB17" s="264"/>
      <c r="AC17" s="265"/>
      <c r="AD17" s="264"/>
      <c r="AE17" s="265"/>
      <c r="AF17" s="264"/>
      <c r="AG17" s="265"/>
      <c r="AH17" s="264"/>
      <c r="AI17" s="265"/>
      <c r="AJ17" s="264"/>
      <c r="AK17" s="265"/>
    </row>
    <row r="18" spans="1:37" x14ac:dyDescent="0.15">
      <c r="A18" s="200">
        <v>2</v>
      </c>
      <c r="B18" s="534"/>
      <c r="C18" s="535"/>
      <c r="D18" s="535"/>
      <c r="E18" s="536"/>
      <c r="F18" s="47" t="str">
        <f>VLOOKUP($H:$H,型材表!$B$5:$I$448,2,0)</f>
        <v>边框</v>
      </c>
      <c r="G18" s="45" t="s">
        <v>839</v>
      </c>
      <c r="H18" s="45" t="str">
        <f>H17</f>
        <v>SW60K001</v>
      </c>
      <c r="I18" s="207" t="s">
        <v>1170</v>
      </c>
      <c r="J18" s="46">
        <f>M5</f>
        <v>500</v>
      </c>
      <c r="K18" s="45">
        <v>2</v>
      </c>
      <c r="L18" s="47">
        <f>VLOOKUP($H:$H,型材表!$B$5:$I$448,4,0)</f>
        <v>0.99199999999999999</v>
      </c>
      <c r="M18" s="46">
        <f t="shared" ref="M18:M22" si="0">J18*K18*L18/1000</f>
        <v>0.99199999999999999</v>
      </c>
      <c r="N18" s="72">
        <f>VLOOKUP($H:$H,型材表!$B$5:$I$448,7,0)</f>
        <v>0</v>
      </c>
      <c r="O18" s="46">
        <f t="shared" ref="O18:O22" si="1">N18*M18</f>
        <v>0</v>
      </c>
      <c r="P18" s="100">
        <f>VLOOKUP($H:$H,型材表!$B$5:$I$448,5,0)</f>
        <v>0.125</v>
      </c>
      <c r="Q18" s="100" t="str">
        <f>VLOOKUP($H:$H,型材表!$B$5:$I$448,6,0)</f>
        <v>断桥隔热铝型材</v>
      </c>
      <c r="R18" s="49"/>
      <c r="S18" s="50"/>
      <c r="T18" s="459"/>
      <c r="X18" s="264"/>
      <c r="Y18" s="265"/>
      <c r="Z18" s="264"/>
      <c r="AA18" s="265"/>
      <c r="AB18" s="264"/>
      <c r="AC18" s="265"/>
      <c r="AD18" s="264"/>
      <c r="AE18" s="265"/>
      <c r="AF18" s="264"/>
      <c r="AG18" s="265"/>
      <c r="AH18" s="264"/>
      <c r="AI18" s="265"/>
      <c r="AJ18" s="264"/>
      <c r="AK18" s="265"/>
    </row>
    <row r="19" spans="1:37" x14ac:dyDescent="0.15">
      <c r="A19" s="413">
        <v>3</v>
      </c>
      <c r="B19" s="534"/>
      <c r="C19" s="535"/>
      <c r="D19" s="535"/>
      <c r="E19" s="536"/>
      <c r="F19" s="47"/>
      <c r="G19" s="207"/>
      <c r="H19" s="207"/>
      <c r="I19" s="207"/>
      <c r="J19" s="208"/>
      <c r="K19" s="207"/>
      <c r="L19" s="47"/>
      <c r="M19" s="46"/>
      <c r="N19" s="72"/>
      <c r="O19" s="46"/>
      <c r="P19" s="100"/>
      <c r="Q19" s="100"/>
      <c r="R19" s="210"/>
      <c r="S19" s="50"/>
      <c r="T19" s="459"/>
      <c r="X19" s="264"/>
      <c r="Y19" s="265"/>
      <c r="Z19" s="264"/>
      <c r="AA19" s="265"/>
      <c r="AB19" s="264"/>
      <c r="AC19" s="265"/>
      <c r="AD19" s="264"/>
      <c r="AE19" s="265"/>
      <c r="AF19" s="264"/>
      <c r="AG19" s="265"/>
      <c r="AH19" s="264"/>
      <c r="AI19" s="265"/>
      <c r="AJ19" s="264"/>
      <c r="AK19" s="265"/>
    </row>
    <row r="20" spans="1:37" s="229" customFormat="1" x14ac:dyDescent="0.15">
      <c r="A20" s="413">
        <v>4</v>
      </c>
      <c r="B20" s="537"/>
      <c r="C20" s="538"/>
      <c r="D20" s="538"/>
      <c r="E20" s="539"/>
      <c r="F20" s="221"/>
      <c r="G20" s="222"/>
      <c r="H20" s="222"/>
      <c r="I20" s="222"/>
      <c r="J20" s="223"/>
      <c r="K20" s="222"/>
      <c r="L20" s="221"/>
      <c r="M20" s="224"/>
      <c r="N20" s="225"/>
      <c r="O20" s="224"/>
      <c r="P20" s="226"/>
      <c r="Q20" s="100"/>
      <c r="R20" s="227"/>
      <c r="S20" s="228"/>
      <c r="T20" s="467"/>
      <c r="U20" s="375"/>
      <c r="V20" s="266"/>
      <c r="W20" s="266"/>
      <c r="X20" s="267"/>
      <c r="Y20" s="268"/>
      <c r="Z20" s="267"/>
      <c r="AA20" s="268"/>
      <c r="AB20" s="267"/>
      <c r="AC20" s="268"/>
      <c r="AD20" s="267"/>
      <c r="AE20" s="268"/>
      <c r="AF20" s="267"/>
      <c r="AG20" s="268"/>
      <c r="AH20" s="267"/>
      <c r="AI20" s="268"/>
      <c r="AJ20" s="267"/>
      <c r="AK20" s="268"/>
    </row>
    <row r="21" spans="1:37" ht="13.5" customHeight="1" x14ac:dyDescent="0.15">
      <c r="A21" s="413">
        <v>5</v>
      </c>
      <c r="B21" s="531" t="s">
        <v>41</v>
      </c>
      <c r="C21" s="532"/>
      <c r="D21" s="532"/>
      <c r="E21" s="533"/>
      <c r="F21" s="47" t="str">
        <f>VLOOKUP($H:$H,型材表!$B$5:$I$448,2,0)</f>
        <v>外开扇</v>
      </c>
      <c r="G21" s="45" t="s">
        <v>39</v>
      </c>
      <c r="H21" s="45" t="str">
        <f>IF(G2=55,"SW55S001",IF(G2=551,"SW55BS001",IF(G2=60,"SW60S001",IF(G2=601,"SW60AS001",IF(G2=65,"SW65AS001",IF(G2=70,"SW70S001",IF(G2=75,"SW75S001",IF(G2=50,"SW50S001"))))))))</f>
        <v>SW60S001</v>
      </c>
      <c r="I21" s="207" t="s">
        <v>1171</v>
      </c>
      <c r="J21" s="46">
        <f>IF(G2=55,M6-V21,IF(G2=551,M6-X21,IF(G2=60,M6-Z21,IF(G2=601,M6-AB21,IF(G2=65,M6-AD21,IF(G2=70,M6-AF21,IF(G2=75,M6-AH21,IF(G2=50,M6-AJ21))))))))</f>
        <v>1159</v>
      </c>
      <c r="K21" s="45">
        <v>2</v>
      </c>
      <c r="L21" s="47">
        <f>VLOOKUP($H:$H,型材表!$B$5:$I$448,4,0)</f>
        <v>1.47</v>
      </c>
      <c r="M21" s="46">
        <f t="shared" si="0"/>
        <v>3.4074599999999999</v>
      </c>
      <c r="N21" s="72">
        <f>VLOOKUP($H:$H,型材表!$B$5:$I$448,7,0)</f>
        <v>0</v>
      </c>
      <c r="O21" s="46">
        <f t="shared" si="1"/>
        <v>0</v>
      </c>
      <c r="P21" s="100">
        <f>VLOOKUP($H:$H,型材表!$B$5:$I$448,5,0)</f>
        <v>0.125</v>
      </c>
      <c r="Q21" s="100" t="str">
        <f>VLOOKUP($H:$H,型材表!$B$5:$I$448,6,0)</f>
        <v>断桥隔热铝型材</v>
      </c>
      <c r="R21" s="49"/>
      <c r="S21" s="50"/>
      <c r="T21" s="459"/>
      <c r="U21" s="374" t="s">
        <v>1177</v>
      </c>
      <c r="V21" s="259">
        <f>20.5*2</f>
        <v>41</v>
      </c>
      <c r="X21" s="264">
        <f>20.5*2</f>
        <v>41</v>
      </c>
      <c r="Y21" s="265"/>
      <c r="Z21" s="264">
        <f>20.5*2</f>
        <v>41</v>
      </c>
      <c r="AA21" s="265"/>
      <c r="AB21" s="264">
        <f>20.5*2</f>
        <v>41</v>
      </c>
      <c r="AC21" s="265"/>
      <c r="AD21" s="264">
        <f>20.5*2</f>
        <v>41</v>
      </c>
      <c r="AE21" s="265"/>
      <c r="AF21" s="264">
        <f>20.5*2</f>
        <v>41</v>
      </c>
      <c r="AG21" s="265"/>
      <c r="AH21" s="264">
        <f>20.5*2</f>
        <v>41</v>
      </c>
      <c r="AI21" s="265"/>
      <c r="AJ21" s="264">
        <f>21.3*2</f>
        <v>42.6</v>
      </c>
      <c r="AK21" s="265"/>
    </row>
    <row r="22" spans="1:37" x14ac:dyDescent="0.15">
      <c r="A22" s="413">
        <v>6</v>
      </c>
      <c r="B22" s="534"/>
      <c r="C22" s="535"/>
      <c r="D22" s="535"/>
      <c r="E22" s="536"/>
      <c r="F22" s="47" t="str">
        <f>VLOOKUP($H:$H,型材表!$B$5:$I$448,2,0)</f>
        <v>外开扇</v>
      </c>
      <c r="G22" s="45" t="s">
        <v>839</v>
      </c>
      <c r="H22" s="207" t="str">
        <f>H21</f>
        <v>SW60S001</v>
      </c>
      <c r="I22" s="207" t="s">
        <v>1172</v>
      </c>
      <c r="J22" s="208">
        <f>IF(G2=55,M9-V22,IF(G2=551,M9-X22,IF(G2=60,M9-Z22,IF(G2=601,M9-AB22,IF(G2=65,M9-AD22,IF(G2=70,M9-AF22,IF(G2=75,M9-AH22,IF(G2=50,M9-AJ22))))))))</f>
        <v>459</v>
      </c>
      <c r="K22" s="207">
        <v>2</v>
      </c>
      <c r="L22" s="47">
        <f>VLOOKUP($H:$H,型材表!$B$5:$I$448,4,0)</f>
        <v>1.47</v>
      </c>
      <c r="M22" s="46">
        <f t="shared" si="0"/>
        <v>1.3494600000000001</v>
      </c>
      <c r="N22" s="72">
        <f>VLOOKUP($H:$H,型材表!$B$5:$I$448,7,0)</f>
        <v>0</v>
      </c>
      <c r="O22" s="46">
        <f t="shared" si="1"/>
        <v>0</v>
      </c>
      <c r="P22" s="100">
        <f>VLOOKUP($H:$H,型材表!$B$5:$I$448,5,0)</f>
        <v>0.125</v>
      </c>
      <c r="Q22" s="100" t="str">
        <f>VLOOKUP($H:$H,型材表!$B$5:$I$448,6,0)</f>
        <v>断桥隔热铝型材</v>
      </c>
      <c r="R22" s="210"/>
      <c r="S22" s="50"/>
      <c r="T22" s="459"/>
      <c r="U22" s="374" t="s">
        <v>1178</v>
      </c>
      <c r="V22" s="259">
        <f>20.5*2</f>
        <v>41</v>
      </c>
      <c r="X22" s="264">
        <f>X21</f>
        <v>41</v>
      </c>
      <c r="Y22" s="265"/>
      <c r="Z22" s="264">
        <f>Z21</f>
        <v>41</v>
      </c>
      <c r="AA22" s="265"/>
      <c r="AB22" s="264">
        <f>AB21</f>
        <v>41</v>
      </c>
      <c r="AC22" s="265"/>
      <c r="AD22" s="264">
        <f>AD21</f>
        <v>41</v>
      </c>
      <c r="AE22" s="265"/>
      <c r="AF22" s="264">
        <f>AF21</f>
        <v>41</v>
      </c>
      <c r="AG22" s="265"/>
      <c r="AH22" s="264">
        <f>AH21</f>
        <v>41</v>
      </c>
      <c r="AI22" s="265"/>
      <c r="AJ22" s="264">
        <f>AJ21</f>
        <v>42.6</v>
      </c>
      <c r="AK22" s="265"/>
    </row>
    <row r="23" spans="1:37" x14ac:dyDescent="0.15">
      <c r="A23" s="413">
        <v>7</v>
      </c>
      <c r="B23" s="534"/>
      <c r="C23" s="535"/>
      <c r="D23" s="535"/>
      <c r="E23" s="536"/>
      <c r="F23" s="47"/>
      <c r="G23" s="45"/>
      <c r="H23" s="45"/>
      <c r="I23" s="207"/>
      <c r="J23" s="46"/>
      <c r="K23" s="45"/>
      <c r="L23" s="47"/>
      <c r="M23" s="46"/>
      <c r="N23" s="72"/>
      <c r="O23" s="46"/>
      <c r="P23" s="100"/>
      <c r="Q23" s="100"/>
      <c r="R23" s="49"/>
      <c r="S23" s="50"/>
      <c r="T23" s="459"/>
      <c r="X23" s="264"/>
      <c r="Y23" s="265"/>
      <c r="Z23" s="264"/>
      <c r="AA23" s="265"/>
      <c r="AB23" s="264"/>
      <c r="AC23" s="265"/>
      <c r="AD23" s="264"/>
      <c r="AE23" s="265"/>
      <c r="AF23" s="264"/>
      <c r="AG23" s="265"/>
      <c r="AH23" s="264"/>
      <c r="AI23" s="265"/>
      <c r="AJ23" s="264"/>
      <c r="AK23" s="265"/>
    </row>
    <row r="24" spans="1:37" x14ac:dyDescent="0.15">
      <c r="A24" s="413">
        <v>8</v>
      </c>
      <c r="B24" s="534"/>
      <c r="C24" s="535"/>
      <c r="D24" s="535"/>
      <c r="E24" s="536"/>
      <c r="F24" s="47"/>
      <c r="G24" s="45"/>
      <c r="H24" s="45"/>
      <c r="I24" s="207"/>
      <c r="J24" s="46"/>
      <c r="K24" s="45"/>
      <c r="L24" s="47"/>
      <c r="M24" s="46"/>
      <c r="N24" s="72"/>
      <c r="O24" s="46"/>
      <c r="P24" s="100"/>
      <c r="Q24" s="100"/>
      <c r="R24" s="49"/>
      <c r="S24" s="50"/>
      <c r="T24" s="459"/>
      <c r="X24" s="264"/>
      <c r="Y24" s="265"/>
      <c r="Z24" s="264"/>
      <c r="AA24" s="265"/>
      <c r="AB24" s="264"/>
      <c r="AC24" s="265"/>
      <c r="AD24" s="264"/>
      <c r="AE24" s="265"/>
      <c r="AF24" s="264"/>
      <c r="AG24" s="265"/>
      <c r="AH24" s="264"/>
      <c r="AI24" s="265"/>
      <c r="AJ24" s="264"/>
      <c r="AK24" s="265"/>
    </row>
    <row r="25" spans="1:37" x14ac:dyDescent="0.15">
      <c r="A25" s="413">
        <v>9</v>
      </c>
      <c r="B25" s="534"/>
      <c r="C25" s="535"/>
      <c r="D25" s="535"/>
      <c r="E25" s="536"/>
      <c r="F25" s="47"/>
      <c r="G25" s="45"/>
      <c r="H25" s="207"/>
      <c r="I25" s="207"/>
      <c r="J25" s="208"/>
      <c r="K25" s="207"/>
      <c r="L25" s="47"/>
      <c r="M25" s="46"/>
      <c r="N25" s="72"/>
      <c r="O25" s="46"/>
      <c r="P25" s="100"/>
      <c r="Q25" s="100"/>
      <c r="R25" s="210"/>
      <c r="S25" s="50"/>
      <c r="T25" s="459"/>
      <c r="X25" s="264"/>
      <c r="Y25" s="265"/>
      <c r="Z25" s="264"/>
      <c r="AA25" s="265"/>
      <c r="AB25" s="264"/>
      <c r="AC25" s="265"/>
      <c r="AD25" s="264"/>
      <c r="AE25" s="265"/>
      <c r="AF25" s="264"/>
      <c r="AG25" s="265"/>
      <c r="AH25" s="264"/>
      <c r="AI25" s="265"/>
      <c r="AJ25" s="264"/>
      <c r="AK25" s="265"/>
    </row>
    <row r="26" spans="1:37" x14ac:dyDescent="0.15">
      <c r="A26" s="413">
        <v>10</v>
      </c>
      <c r="B26" s="537"/>
      <c r="C26" s="538"/>
      <c r="D26" s="538"/>
      <c r="E26" s="539"/>
      <c r="F26" s="47"/>
      <c r="G26" s="45"/>
      <c r="H26" s="45"/>
      <c r="I26" s="207"/>
      <c r="J26" s="46"/>
      <c r="K26" s="45"/>
      <c r="L26" s="47"/>
      <c r="M26" s="46"/>
      <c r="N26" s="72"/>
      <c r="O26" s="46"/>
      <c r="P26" s="100"/>
      <c r="Q26" s="100"/>
      <c r="R26" s="49"/>
      <c r="S26" s="50"/>
      <c r="T26" s="459"/>
      <c r="X26" s="264"/>
      <c r="Y26" s="265"/>
      <c r="Z26" s="264"/>
      <c r="AA26" s="265"/>
      <c r="AB26" s="264"/>
      <c r="AC26" s="265"/>
      <c r="AD26" s="264"/>
      <c r="AE26" s="265"/>
      <c r="AF26" s="264"/>
      <c r="AG26" s="265"/>
      <c r="AH26" s="264"/>
      <c r="AI26" s="265"/>
      <c r="AJ26" s="264"/>
      <c r="AK26" s="265"/>
    </row>
    <row r="27" spans="1:37" ht="13.5" customHeight="1" x14ac:dyDescent="0.15">
      <c r="A27" s="413">
        <v>11</v>
      </c>
      <c r="B27" s="531" t="s">
        <v>44</v>
      </c>
      <c r="C27" s="532"/>
      <c r="D27" s="532"/>
      <c r="E27" s="533"/>
      <c r="F27" s="47" t="str">
        <f>VLOOKUP($H:$H,型材表!$B$5:$I$448,2,0)</f>
        <v>压线</v>
      </c>
      <c r="G27" s="45" t="s">
        <v>39</v>
      </c>
      <c r="H27" s="45" t="str">
        <f>IF(G2=55,"SN55Y001",IF(G2=551,"SW55BY001",IF(G2=60,"SN60Y001",IF(G2=601,"SW60AY001",IF(G2=65,"SN65AY001",IF(G2=70,"SN70Y001",IF(G2=75,"SN75Y001",IF(G2=50,"SW50Y001"))))))))</f>
        <v>SN60Y001</v>
      </c>
      <c r="I27" s="207" t="s">
        <v>1173</v>
      </c>
      <c r="J27" s="52">
        <f>IF(G2=55,M6-V27,IF(G2=551,M6-X27,IF(G2=60,M6-Z27,IF(G2=601,M6-AB27,IF(G2=65,M6-AD27,IF(G2=70,M6-AF27,IF(G2=75,M6-AH27,IF(G2=50,M6-AJ27))))))))</f>
        <v>1057</v>
      </c>
      <c r="K27" s="45">
        <f>K22</f>
        <v>2</v>
      </c>
      <c r="L27" s="47">
        <f>VLOOKUP($H:$H,型材表!$B$5:$I$448,4,0)</f>
        <v>0.23799999999999999</v>
      </c>
      <c r="M27" s="46">
        <f t="shared" ref="M27:M28" si="2">J27*K27*L27/1000</f>
        <v>0.50313200000000002</v>
      </c>
      <c r="N27" s="72">
        <f>VLOOKUP($H:$H,型材表!$B$5:$I$448,7,0)</f>
        <v>0</v>
      </c>
      <c r="O27" s="46">
        <f t="shared" ref="O27:O28" si="3">N27*M27</f>
        <v>0</v>
      </c>
      <c r="P27" s="100">
        <f>VLOOKUP($H:$H,型材表!$B$5:$I$448,5,0)</f>
        <v>0.125</v>
      </c>
      <c r="Q27" s="100" t="str">
        <f>VLOOKUP($H:$H,型材表!$B$5:$I$448,6,0)</f>
        <v>非断桥隔热铝型材</v>
      </c>
      <c r="R27" s="49"/>
      <c r="S27" s="50"/>
      <c r="T27" s="459"/>
      <c r="U27" s="374" t="s">
        <v>1179</v>
      </c>
      <c r="V27" s="259">
        <f>71.5*2</f>
        <v>143</v>
      </c>
      <c r="X27" s="264">
        <f>71.5*2</f>
        <v>143</v>
      </c>
      <c r="Y27" s="265"/>
      <c r="Z27" s="264">
        <f>71.5*2</f>
        <v>143</v>
      </c>
      <c r="AA27" s="265"/>
      <c r="AB27" s="264">
        <f>71.5*2</f>
        <v>143</v>
      </c>
      <c r="AC27" s="265"/>
      <c r="AD27" s="264">
        <f>71.5*2</f>
        <v>143</v>
      </c>
      <c r="AE27" s="265"/>
      <c r="AF27" s="264">
        <f>75*2</f>
        <v>150</v>
      </c>
      <c r="AG27" s="265"/>
      <c r="AH27" s="264">
        <f>75*2</f>
        <v>150</v>
      </c>
      <c r="AI27" s="265"/>
      <c r="AJ27" s="264">
        <f>66*2</f>
        <v>132</v>
      </c>
      <c r="AK27" s="265"/>
    </row>
    <row r="28" spans="1:37" x14ac:dyDescent="0.15">
      <c r="A28" s="413">
        <v>12</v>
      </c>
      <c r="B28" s="534"/>
      <c r="C28" s="535"/>
      <c r="D28" s="535"/>
      <c r="E28" s="536"/>
      <c r="F28" s="47" t="str">
        <f>VLOOKUP($H:$H,型材表!$B$5:$I$448,2,0)</f>
        <v>压线</v>
      </c>
      <c r="G28" s="45" t="s">
        <v>839</v>
      </c>
      <c r="H28" s="207" t="str">
        <f>H27</f>
        <v>SN60Y001</v>
      </c>
      <c r="I28" s="207" t="s">
        <v>1174</v>
      </c>
      <c r="J28" s="214">
        <f>IF(G2=55,M9-V28,IF(G2=551,M9-X28,IF(G2=60,M9-Z28,IF(G2=601,M9-AB28,IF(G2=65,M9-AD28,IF(G2=70,M9-AF28,IF(G2=75,M9-AH28,IF(G2=50,M9-AJ28))))))))</f>
        <v>357</v>
      </c>
      <c r="K28" s="207">
        <v>2</v>
      </c>
      <c r="L28" s="47">
        <f>VLOOKUP($H:$H,型材表!$B$5:$I$448,4,0)</f>
        <v>0.23799999999999999</v>
      </c>
      <c r="M28" s="46">
        <f t="shared" si="2"/>
        <v>0.169932</v>
      </c>
      <c r="N28" s="72">
        <f>VLOOKUP($H:$H,型材表!$B$5:$I$448,7,0)</f>
        <v>0</v>
      </c>
      <c r="O28" s="46">
        <f t="shared" si="3"/>
        <v>0</v>
      </c>
      <c r="P28" s="100">
        <f>VLOOKUP($H:$H,型材表!$B$5:$I$448,5,0)</f>
        <v>0.125</v>
      </c>
      <c r="Q28" s="100" t="str">
        <f>VLOOKUP($H:$H,型材表!$B$5:$I$448,6,0)</f>
        <v>非断桥隔热铝型材</v>
      </c>
      <c r="R28" s="210"/>
      <c r="S28" s="50"/>
      <c r="T28" s="459"/>
      <c r="U28" s="374" t="s">
        <v>1180</v>
      </c>
      <c r="V28" s="259">
        <f>71.5*2</f>
        <v>143</v>
      </c>
      <c r="X28" s="264">
        <f>71.5*2</f>
        <v>143</v>
      </c>
      <c r="Y28" s="265"/>
      <c r="Z28" s="264">
        <f>71.5*2</f>
        <v>143</v>
      </c>
      <c r="AA28" s="265"/>
      <c r="AB28" s="264">
        <f>71.5*2</f>
        <v>143</v>
      </c>
      <c r="AC28" s="265"/>
      <c r="AD28" s="264">
        <f>71.5*2</f>
        <v>143</v>
      </c>
      <c r="AE28" s="265"/>
      <c r="AF28" s="264">
        <f>75*2</f>
        <v>150</v>
      </c>
      <c r="AG28" s="265"/>
      <c r="AH28" s="264">
        <f>75*2</f>
        <v>150</v>
      </c>
      <c r="AI28" s="265"/>
      <c r="AJ28" s="264">
        <f>66*2</f>
        <v>132</v>
      </c>
      <c r="AK28" s="265"/>
    </row>
    <row r="29" spans="1:37" x14ac:dyDescent="0.15">
      <c r="A29" s="413">
        <v>13</v>
      </c>
      <c r="B29" s="534"/>
      <c r="C29" s="535"/>
      <c r="D29" s="535"/>
      <c r="E29" s="536"/>
      <c r="F29" s="47" t="str">
        <f>VLOOKUP($H:$H,型材表!$B$5:$I$448,2,0)</f>
        <v>角码</v>
      </c>
      <c r="G29" s="213" t="s">
        <v>446</v>
      </c>
      <c r="H29" s="207" t="str">
        <f>IF(G2=70,"SN55F003",IF(G2=75,"SN55F003",IF(G2=50,"SW50F002","SW55F001")))</f>
        <v>SW55F001</v>
      </c>
      <c r="I29" s="207" t="s">
        <v>1175</v>
      </c>
      <c r="J29" s="214">
        <f>IF(G2=55,V29,IF(G2=551,X29,IF(G2=60,Z29,IF(G2=601,AB29,IF(G2=65,AD29,IF(G2=70,AF29,IF(G2=75,AH29,IF(G2=50,AJ29))))))))</f>
        <v>32.200000000000003</v>
      </c>
      <c r="K29" s="207">
        <v>4</v>
      </c>
      <c r="L29" s="47">
        <f>VLOOKUP($H:$H,型材表!$B$5:$I$448,4,0)</f>
        <v>2.0950000000000002</v>
      </c>
      <c r="M29" s="46">
        <f t="shared" ref="M29:M30" si="4">J29*K29*L29/1000</f>
        <v>0.26983600000000008</v>
      </c>
      <c r="N29" s="72">
        <f>VLOOKUP($H:$H,型材表!$B$5:$I$448,7,0)</f>
        <v>0</v>
      </c>
      <c r="O29" s="46">
        <f t="shared" ref="O29:O30" si="5">N29*M29</f>
        <v>0</v>
      </c>
      <c r="P29" s="100">
        <f>VLOOKUP($H:$H,型材表!$B$5:$I$448,5,0)</f>
        <v>0.125</v>
      </c>
      <c r="Q29" s="100" t="str">
        <f>VLOOKUP($H:$H,型材表!$B$5:$I$448,6,0)</f>
        <v>阳极氧化铝型材</v>
      </c>
      <c r="R29" s="210"/>
      <c r="S29" s="50"/>
      <c r="T29" s="459"/>
      <c r="U29" s="374" t="s">
        <v>1175</v>
      </c>
      <c r="V29" s="259">
        <f>19.5-1+14.7-1</f>
        <v>32.200000000000003</v>
      </c>
      <c r="X29" s="264">
        <f>19.5-1+10.9-1</f>
        <v>28.4</v>
      </c>
      <c r="Y29" s="265"/>
      <c r="Z29" s="264">
        <f>19.5-1+14.7-1</f>
        <v>32.200000000000003</v>
      </c>
      <c r="AA29" s="265"/>
      <c r="AB29" s="264">
        <f>19.5-1+10.9-1</f>
        <v>28.4</v>
      </c>
      <c r="AC29" s="265"/>
      <c r="AD29" s="264">
        <f>19.5-1+14.7-1</f>
        <v>32.200000000000003</v>
      </c>
      <c r="AE29" s="265"/>
      <c r="AF29" s="264">
        <f>19.5-1+14.7-1</f>
        <v>32.200000000000003</v>
      </c>
      <c r="AG29" s="265"/>
      <c r="AH29" s="264">
        <f>19.5-1+14.7-1</f>
        <v>32.200000000000003</v>
      </c>
      <c r="AI29" s="265"/>
      <c r="AJ29" s="264">
        <f>15-1</f>
        <v>14</v>
      </c>
      <c r="AK29" s="265"/>
    </row>
    <row r="30" spans="1:37" s="229" customFormat="1" x14ac:dyDescent="0.15">
      <c r="A30" s="413">
        <v>14</v>
      </c>
      <c r="B30" s="534"/>
      <c r="C30" s="535"/>
      <c r="D30" s="535"/>
      <c r="E30" s="536"/>
      <c r="F30" s="47" t="str">
        <f>VLOOKUP($H:$H,型材表!$B$5:$I$448,2,0)</f>
        <v>角码</v>
      </c>
      <c r="G30" s="230" t="s">
        <v>447</v>
      </c>
      <c r="H30" s="222" t="str">
        <f>IF(G2=70,"SW70F001",IF(G2=75,"SW70F001",IF(G2=50,"SW50F003","SN55MF004")))</f>
        <v>SN55MF004</v>
      </c>
      <c r="I30" s="222" t="s">
        <v>1176</v>
      </c>
      <c r="J30" s="214">
        <f>IF(G2=55,V30,IF(G2=551,X30,IF(G2=60,Z30,IF(G2=601,AB30,IF(G2=65,AD30,IF(G2=70,AF30,IF(G2=75,AH30,IF(G2=50,AJ30))))))))</f>
        <v>30.2</v>
      </c>
      <c r="K30" s="207">
        <v>4</v>
      </c>
      <c r="L30" s="47">
        <f>VLOOKUP($H:$H,型材表!$B$5:$I$448,4,0)</f>
        <v>2.996</v>
      </c>
      <c r="M30" s="46">
        <f t="shared" si="4"/>
        <v>0.36191679999999998</v>
      </c>
      <c r="N30" s="72">
        <f>VLOOKUP($H:$H,型材表!$B$5:$I$448,7,0)</f>
        <v>0</v>
      </c>
      <c r="O30" s="46">
        <f t="shared" si="5"/>
        <v>0</v>
      </c>
      <c r="P30" s="100">
        <f>VLOOKUP($H:$H,型材表!$B$5:$I$448,5,0)</f>
        <v>0.125</v>
      </c>
      <c r="Q30" s="100" t="str">
        <f>VLOOKUP($H:$H,型材表!$B$5:$I$448,6,0)</f>
        <v>阳极氧化铝型材</v>
      </c>
      <c r="R30" s="227"/>
      <c r="S30" s="228"/>
      <c r="T30" s="467"/>
      <c r="U30" s="375" t="s">
        <v>1176</v>
      </c>
      <c r="V30" s="266">
        <f>8-1+24.2-1</f>
        <v>30.2</v>
      </c>
      <c r="W30" s="266"/>
      <c r="X30" s="267">
        <f>4.2-1+24.2-1</f>
        <v>26.4</v>
      </c>
      <c r="Y30" s="268"/>
      <c r="Z30" s="267">
        <f>8-1+24.2-1</f>
        <v>30.2</v>
      </c>
      <c r="AA30" s="268"/>
      <c r="AB30" s="267">
        <f>4.2-1+24.2-1</f>
        <v>26.4</v>
      </c>
      <c r="AC30" s="268"/>
      <c r="AD30" s="267">
        <f>8-1+24.2-1</f>
        <v>30.2</v>
      </c>
      <c r="AE30" s="268"/>
      <c r="AF30" s="267">
        <f>7.3-1+24-1</f>
        <v>29.3</v>
      </c>
      <c r="AG30" s="268"/>
      <c r="AH30" s="267">
        <f>7.3-1+24-1</f>
        <v>29.3</v>
      </c>
      <c r="AI30" s="268"/>
      <c r="AJ30" s="267">
        <f>18.9-1</f>
        <v>17.899999999999999</v>
      </c>
      <c r="AK30" s="268"/>
    </row>
    <row r="31" spans="1:37" x14ac:dyDescent="0.15">
      <c r="A31" s="413">
        <v>15</v>
      </c>
      <c r="B31" s="534"/>
      <c r="C31" s="535"/>
      <c r="D31" s="535"/>
      <c r="E31" s="536"/>
      <c r="F31" s="47"/>
      <c r="G31" s="51"/>
      <c r="H31" s="45"/>
      <c r="I31" s="207"/>
      <c r="J31" s="52"/>
      <c r="K31" s="45"/>
      <c r="L31" s="47"/>
      <c r="M31" s="46"/>
      <c r="N31" s="72"/>
      <c r="O31" s="46"/>
      <c r="P31" s="100"/>
      <c r="Q31" s="100"/>
      <c r="R31" s="49"/>
      <c r="S31" s="50"/>
      <c r="T31" s="459"/>
      <c r="X31" s="264"/>
      <c r="Y31" s="265"/>
      <c r="Z31" s="264"/>
      <c r="AA31" s="265"/>
      <c r="AB31" s="264"/>
      <c r="AC31" s="265"/>
      <c r="AD31" s="264"/>
      <c r="AE31" s="265"/>
      <c r="AF31" s="264"/>
      <c r="AG31" s="265"/>
      <c r="AH31" s="264"/>
      <c r="AI31" s="265"/>
      <c r="AJ31" s="264"/>
      <c r="AK31" s="265"/>
    </row>
    <row r="32" spans="1:37" x14ac:dyDescent="0.15">
      <c r="A32" s="413">
        <v>16</v>
      </c>
      <c r="B32" s="534"/>
      <c r="C32" s="535"/>
      <c r="D32" s="535"/>
      <c r="E32" s="536"/>
      <c r="F32" s="306"/>
      <c r="G32" s="213"/>
      <c r="H32" s="207"/>
      <c r="I32" s="207"/>
      <c r="J32" s="214"/>
      <c r="K32" s="207"/>
      <c r="L32" s="306"/>
      <c r="M32" s="208"/>
      <c r="N32" s="209"/>
      <c r="O32" s="208"/>
      <c r="P32" s="307"/>
      <c r="Q32" s="100"/>
      <c r="R32" s="210"/>
      <c r="S32" s="50"/>
      <c r="T32" s="459"/>
      <c r="X32" s="264"/>
      <c r="Y32" s="265"/>
      <c r="Z32" s="264"/>
      <c r="AA32" s="265"/>
      <c r="AB32" s="264"/>
      <c r="AC32" s="265"/>
      <c r="AD32" s="264"/>
      <c r="AE32" s="265"/>
      <c r="AF32" s="264"/>
      <c r="AG32" s="265"/>
      <c r="AH32" s="264"/>
      <c r="AI32" s="265"/>
      <c r="AJ32" s="264"/>
      <c r="AK32" s="265"/>
    </row>
    <row r="33" spans="1:37" x14ac:dyDescent="0.15">
      <c r="A33" s="413">
        <v>17</v>
      </c>
      <c r="B33" s="534"/>
      <c r="C33" s="535"/>
      <c r="D33" s="535"/>
      <c r="E33" s="536"/>
      <c r="F33" s="306"/>
      <c r="G33" s="213"/>
      <c r="H33" s="207"/>
      <c r="I33" s="207"/>
      <c r="J33" s="214"/>
      <c r="K33" s="207"/>
      <c r="L33" s="306"/>
      <c r="M33" s="208"/>
      <c r="N33" s="209"/>
      <c r="O33" s="208"/>
      <c r="P33" s="307"/>
      <c r="Q33" s="100"/>
      <c r="R33" s="210"/>
      <c r="S33" s="50"/>
      <c r="T33" s="459"/>
      <c r="X33" s="264"/>
      <c r="Y33" s="265"/>
      <c r="Z33" s="264"/>
      <c r="AA33" s="265"/>
      <c r="AB33" s="264"/>
      <c r="AC33" s="265"/>
      <c r="AD33" s="264"/>
      <c r="AE33" s="265"/>
      <c r="AF33" s="264"/>
      <c r="AG33" s="265"/>
      <c r="AH33" s="264"/>
      <c r="AI33" s="265"/>
      <c r="AJ33" s="264"/>
      <c r="AK33" s="265"/>
    </row>
    <row r="34" spans="1:37" x14ac:dyDescent="0.15">
      <c r="A34" s="413">
        <v>18</v>
      </c>
      <c r="B34" s="534"/>
      <c r="C34" s="535"/>
      <c r="D34" s="535"/>
      <c r="E34" s="536"/>
      <c r="F34" s="306"/>
      <c r="G34" s="213"/>
      <c r="H34" s="207"/>
      <c r="I34" s="207"/>
      <c r="J34" s="214"/>
      <c r="K34" s="207"/>
      <c r="L34" s="306"/>
      <c r="M34" s="208"/>
      <c r="N34" s="209"/>
      <c r="O34" s="208"/>
      <c r="P34" s="307"/>
      <c r="Q34" s="100"/>
      <c r="R34" s="210"/>
      <c r="S34" s="50"/>
      <c r="T34" s="459"/>
      <c r="X34" s="264"/>
      <c r="Y34" s="265"/>
      <c r="Z34" s="264"/>
      <c r="AA34" s="265"/>
      <c r="AB34" s="264"/>
      <c r="AC34" s="265"/>
      <c r="AD34" s="264"/>
      <c r="AE34" s="265"/>
      <c r="AF34" s="264"/>
      <c r="AG34" s="265"/>
      <c r="AH34" s="264"/>
      <c r="AI34" s="265"/>
      <c r="AJ34" s="264"/>
      <c r="AK34" s="265"/>
    </row>
    <row r="35" spans="1:37" x14ac:dyDescent="0.15">
      <c r="A35" s="413">
        <v>19</v>
      </c>
      <c r="B35" s="534"/>
      <c r="C35" s="535"/>
      <c r="D35" s="535"/>
      <c r="E35" s="536"/>
      <c r="F35" s="306"/>
      <c r="G35" s="213"/>
      <c r="H35" s="207"/>
      <c r="I35" s="207"/>
      <c r="J35" s="214"/>
      <c r="K35" s="207"/>
      <c r="L35" s="306"/>
      <c r="M35" s="208"/>
      <c r="N35" s="209"/>
      <c r="O35" s="208"/>
      <c r="P35" s="307"/>
      <c r="Q35" s="100"/>
      <c r="R35" s="210"/>
      <c r="S35" s="50"/>
      <c r="T35" s="459"/>
      <c r="X35" s="264"/>
      <c r="Y35" s="265"/>
      <c r="Z35" s="264"/>
      <c r="AA35" s="265"/>
      <c r="AB35" s="264"/>
      <c r="AC35" s="265"/>
      <c r="AD35" s="264"/>
      <c r="AE35" s="265"/>
      <c r="AF35" s="264"/>
      <c r="AG35" s="265"/>
      <c r="AH35" s="264"/>
      <c r="AI35" s="265"/>
      <c r="AJ35" s="264"/>
      <c r="AK35" s="265"/>
    </row>
    <row r="36" spans="1:37" x14ac:dyDescent="0.15">
      <c r="A36" s="413">
        <v>20</v>
      </c>
      <c r="B36" s="534"/>
      <c r="C36" s="535"/>
      <c r="D36" s="535"/>
      <c r="E36" s="536"/>
      <c r="F36" s="306"/>
      <c r="G36" s="213"/>
      <c r="H36" s="207"/>
      <c r="I36" s="207"/>
      <c r="J36" s="214"/>
      <c r="K36" s="207"/>
      <c r="L36" s="306"/>
      <c r="M36" s="208"/>
      <c r="N36" s="209"/>
      <c r="O36" s="208"/>
      <c r="P36" s="307"/>
      <c r="Q36" s="307"/>
      <c r="R36" s="210"/>
      <c r="S36" s="50"/>
      <c r="T36" s="459"/>
      <c r="X36" s="264"/>
      <c r="Y36" s="265"/>
      <c r="Z36" s="264"/>
      <c r="AA36" s="265"/>
      <c r="AB36" s="264"/>
      <c r="AC36" s="265"/>
      <c r="AD36" s="264"/>
      <c r="AE36" s="265"/>
      <c r="AF36" s="264"/>
      <c r="AG36" s="265"/>
      <c r="AH36" s="264"/>
      <c r="AI36" s="265"/>
      <c r="AJ36" s="264"/>
      <c r="AK36" s="265"/>
    </row>
    <row r="37" spans="1:37" x14ac:dyDescent="0.15">
      <c r="A37" s="413">
        <v>21</v>
      </c>
      <c r="B37" s="534"/>
      <c r="C37" s="535"/>
      <c r="D37" s="535"/>
      <c r="E37" s="536"/>
      <c r="F37" s="306"/>
      <c r="G37" s="213"/>
      <c r="H37" s="207"/>
      <c r="I37" s="207"/>
      <c r="J37" s="214"/>
      <c r="K37" s="207"/>
      <c r="L37" s="306"/>
      <c r="M37" s="208"/>
      <c r="N37" s="209"/>
      <c r="O37" s="208"/>
      <c r="P37" s="307"/>
      <c r="Q37" s="307"/>
      <c r="R37" s="210"/>
      <c r="S37" s="50"/>
      <c r="T37" s="459"/>
      <c r="X37" s="264"/>
      <c r="Y37" s="265"/>
      <c r="Z37" s="264"/>
      <c r="AA37" s="265"/>
      <c r="AB37" s="264"/>
      <c r="AC37" s="265"/>
      <c r="AD37" s="264"/>
      <c r="AE37" s="265"/>
      <c r="AF37" s="264"/>
      <c r="AG37" s="265"/>
      <c r="AH37" s="264"/>
      <c r="AI37" s="265"/>
      <c r="AJ37" s="264"/>
      <c r="AK37" s="265"/>
    </row>
    <row r="38" spans="1:37" x14ac:dyDescent="0.15">
      <c r="A38" s="413">
        <v>22</v>
      </c>
      <c r="B38" s="534"/>
      <c r="C38" s="535"/>
      <c r="D38" s="535"/>
      <c r="E38" s="536"/>
      <c r="F38" s="306"/>
      <c r="G38" s="213"/>
      <c r="H38" s="207"/>
      <c r="I38" s="207"/>
      <c r="J38" s="214"/>
      <c r="K38" s="207"/>
      <c r="L38" s="306"/>
      <c r="M38" s="208"/>
      <c r="N38" s="209"/>
      <c r="O38" s="208"/>
      <c r="P38" s="307"/>
      <c r="Q38" s="307"/>
      <c r="R38" s="210"/>
      <c r="S38" s="50"/>
      <c r="T38" s="459"/>
      <c r="X38" s="264"/>
      <c r="Y38" s="265"/>
      <c r="Z38" s="264"/>
      <c r="AA38" s="265"/>
      <c r="AB38" s="264"/>
      <c r="AC38" s="265"/>
      <c r="AD38" s="264"/>
      <c r="AE38" s="265"/>
      <c r="AF38" s="264"/>
      <c r="AG38" s="265"/>
      <c r="AH38" s="264"/>
      <c r="AI38" s="265"/>
      <c r="AJ38" s="264"/>
      <c r="AK38" s="265"/>
    </row>
    <row r="39" spans="1:37" x14ac:dyDescent="0.15">
      <c r="A39" s="413">
        <v>23</v>
      </c>
      <c r="B39" s="534"/>
      <c r="C39" s="535"/>
      <c r="D39" s="535"/>
      <c r="E39" s="536"/>
      <c r="F39" s="306"/>
      <c r="G39" s="213"/>
      <c r="H39" s="207"/>
      <c r="I39" s="207"/>
      <c r="J39" s="214"/>
      <c r="K39" s="207"/>
      <c r="L39" s="306"/>
      <c r="M39" s="208"/>
      <c r="N39" s="209"/>
      <c r="O39" s="208"/>
      <c r="P39" s="307"/>
      <c r="Q39" s="307"/>
      <c r="R39" s="210"/>
      <c r="S39" s="50"/>
      <c r="T39" s="459"/>
      <c r="X39" s="264"/>
      <c r="Y39" s="265"/>
      <c r="Z39" s="264"/>
      <c r="AA39" s="265"/>
      <c r="AB39" s="264"/>
      <c r="AC39" s="265"/>
      <c r="AD39" s="264"/>
      <c r="AE39" s="265"/>
      <c r="AF39" s="264"/>
      <c r="AG39" s="265"/>
      <c r="AH39" s="264"/>
      <c r="AI39" s="265"/>
      <c r="AJ39" s="264"/>
      <c r="AK39" s="265"/>
    </row>
    <row r="40" spans="1:37" x14ac:dyDescent="0.15">
      <c r="A40" s="413">
        <v>24</v>
      </c>
      <c r="B40" s="534"/>
      <c r="C40" s="535"/>
      <c r="D40" s="535"/>
      <c r="E40" s="536"/>
      <c r="F40" s="306"/>
      <c r="G40" s="213"/>
      <c r="H40" s="207"/>
      <c r="I40" s="207"/>
      <c r="J40" s="214"/>
      <c r="K40" s="207"/>
      <c r="L40" s="306"/>
      <c r="M40" s="208"/>
      <c r="N40" s="209"/>
      <c r="O40" s="208"/>
      <c r="P40" s="307"/>
      <c r="Q40" s="100"/>
      <c r="R40" s="210"/>
      <c r="S40" s="50"/>
      <c r="T40" s="459"/>
      <c r="X40" s="264"/>
      <c r="Y40" s="265"/>
      <c r="Z40" s="264"/>
      <c r="AA40" s="265"/>
      <c r="AB40" s="264"/>
      <c r="AC40" s="265"/>
      <c r="AD40" s="264"/>
      <c r="AE40" s="265"/>
      <c r="AF40" s="264"/>
      <c r="AG40" s="265"/>
      <c r="AH40" s="264"/>
      <c r="AI40" s="265"/>
      <c r="AJ40" s="264"/>
      <c r="AK40" s="265"/>
    </row>
    <row r="41" spans="1:37" x14ac:dyDescent="0.15">
      <c r="A41" s="413">
        <v>25</v>
      </c>
      <c r="B41" s="534"/>
      <c r="C41" s="535"/>
      <c r="D41" s="535"/>
      <c r="E41" s="536"/>
      <c r="F41" s="306"/>
      <c r="G41" s="213"/>
      <c r="H41" s="207"/>
      <c r="I41" s="207"/>
      <c r="J41" s="214"/>
      <c r="K41" s="207"/>
      <c r="L41" s="306"/>
      <c r="M41" s="208"/>
      <c r="N41" s="209"/>
      <c r="O41" s="208"/>
      <c r="P41" s="307"/>
      <c r="Q41" s="100"/>
      <c r="R41" s="210"/>
      <c r="S41" s="50"/>
      <c r="T41" s="459"/>
      <c r="X41" s="264"/>
      <c r="Y41" s="265"/>
      <c r="Z41" s="264"/>
      <c r="AA41" s="265"/>
      <c r="AB41" s="264"/>
      <c r="AC41" s="265"/>
      <c r="AD41" s="264"/>
      <c r="AE41" s="265"/>
      <c r="AF41" s="264"/>
      <c r="AG41" s="265"/>
      <c r="AH41" s="264"/>
      <c r="AI41" s="265"/>
      <c r="AJ41" s="264"/>
      <c r="AK41" s="265"/>
    </row>
    <row r="42" spans="1:37" x14ac:dyDescent="0.15">
      <c r="A42" s="413">
        <v>26</v>
      </c>
      <c r="B42" s="534"/>
      <c r="C42" s="535"/>
      <c r="D42" s="535"/>
      <c r="E42" s="536"/>
      <c r="F42" s="47"/>
      <c r="G42" s="213"/>
      <c r="H42" s="207"/>
      <c r="I42" s="207"/>
      <c r="J42" s="214"/>
      <c r="K42" s="207"/>
      <c r="L42" s="47"/>
      <c r="M42" s="46"/>
      <c r="N42" s="72"/>
      <c r="O42" s="46"/>
      <c r="P42" s="100"/>
      <c r="Q42" s="100"/>
      <c r="R42" s="210"/>
      <c r="S42" s="50"/>
      <c r="T42" s="459"/>
      <c r="X42" s="264"/>
      <c r="Y42" s="265"/>
      <c r="Z42" s="264"/>
      <c r="AA42" s="265"/>
      <c r="AB42" s="264"/>
      <c r="AC42" s="265"/>
      <c r="AD42" s="264"/>
      <c r="AE42" s="265"/>
      <c r="AF42" s="264"/>
      <c r="AG42" s="265"/>
      <c r="AH42" s="264"/>
      <c r="AI42" s="265"/>
      <c r="AJ42" s="264"/>
      <c r="AK42" s="265"/>
    </row>
    <row r="43" spans="1:37" s="229" customFormat="1" x14ac:dyDescent="0.15">
      <c r="A43" s="413">
        <v>27</v>
      </c>
      <c r="B43" s="537"/>
      <c r="C43" s="538"/>
      <c r="D43" s="538"/>
      <c r="E43" s="539"/>
      <c r="F43" s="221"/>
      <c r="G43" s="232"/>
      <c r="H43" s="233"/>
      <c r="I43" s="222"/>
      <c r="J43" s="234"/>
      <c r="K43" s="233"/>
      <c r="L43" s="221"/>
      <c r="M43" s="224"/>
      <c r="N43" s="225"/>
      <c r="O43" s="224"/>
      <c r="P43" s="226"/>
      <c r="Q43" s="226"/>
      <c r="R43" s="235"/>
      <c r="S43" s="228"/>
      <c r="T43" s="467"/>
      <c r="U43" s="375"/>
      <c r="V43" s="266"/>
      <c r="W43" s="266"/>
      <c r="X43" s="267"/>
      <c r="Y43" s="268"/>
      <c r="Z43" s="267"/>
      <c r="AA43" s="268"/>
      <c r="AB43" s="267"/>
      <c r="AC43" s="268"/>
      <c r="AD43" s="267"/>
      <c r="AE43" s="268"/>
      <c r="AF43" s="267"/>
      <c r="AG43" s="268"/>
      <c r="AH43" s="267"/>
      <c r="AI43" s="268"/>
      <c r="AJ43" s="267"/>
      <c r="AK43" s="268"/>
    </row>
    <row r="44" spans="1:37" s="229" customFormat="1" x14ac:dyDescent="0.15">
      <c r="A44" s="346"/>
      <c r="B44" s="542" t="s">
        <v>975</v>
      </c>
      <c r="C44" s="543"/>
      <c r="D44" s="543"/>
      <c r="E44" s="543"/>
      <c r="F44" s="543"/>
      <c r="G44" s="543"/>
      <c r="H44" s="543"/>
      <c r="I44" s="543"/>
      <c r="J44" s="543"/>
      <c r="K44" s="543"/>
      <c r="L44" s="544"/>
      <c r="M44" s="224">
        <f>SUMIF($Q$17:$Q$43,B44,$M$17:$M$43)</f>
        <v>8.1297200000000007</v>
      </c>
      <c r="N44" s="353"/>
      <c r="O44" s="224"/>
      <c r="P44" s="354"/>
      <c r="Q44" s="355"/>
      <c r="R44" s="296"/>
      <c r="S44" s="228"/>
      <c r="T44" s="467"/>
      <c r="U44" s="375"/>
      <c r="V44" s="266"/>
      <c r="W44" s="266"/>
      <c r="X44" s="267"/>
      <c r="Y44" s="268"/>
      <c r="Z44" s="267"/>
      <c r="AA44" s="268"/>
      <c r="AB44" s="267"/>
      <c r="AC44" s="268"/>
      <c r="AD44" s="267"/>
      <c r="AE44" s="268"/>
      <c r="AF44" s="267"/>
      <c r="AG44" s="268"/>
      <c r="AH44" s="267"/>
      <c r="AI44" s="268"/>
      <c r="AJ44" s="267"/>
      <c r="AK44" s="268"/>
    </row>
    <row r="45" spans="1:37" s="229" customFormat="1" x14ac:dyDescent="0.15">
      <c r="A45" s="346"/>
      <c r="B45" s="542" t="s">
        <v>976</v>
      </c>
      <c r="C45" s="543"/>
      <c r="D45" s="543"/>
      <c r="E45" s="543"/>
      <c r="F45" s="543"/>
      <c r="G45" s="543"/>
      <c r="H45" s="543"/>
      <c r="I45" s="543"/>
      <c r="J45" s="543"/>
      <c r="K45" s="543"/>
      <c r="L45" s="544"/>
      <c r="M45" s="224">
        <f>SUMIF($Q$17:$Q$43,B45,$M$17:$M$43)</f>
        <v>0.673064</v>
      </c>
      <c r="N45" s="353"/>
      <c r="O45" s="224"/>
      <c r="P45" s="354"/>
      <c r="Q45" s="355"/>
      <c r="R45" s="296"/>
      <c r="S45" s="228"/>
      <c r="T45" s="467"/>
      <c r="U45" s="375"/>
      <c r="V45" s="266"/>
      <c r="W45" s="266"/>
      <c r="X45" s="267"/>
      <c r="Y45" s="268"/>
      <c r="Z45" s="267"/>
      <c r="AA45" s="268"/>
      <c r="AB45" s="267"/>
      <c r="AC45" s="268"/>
      <c r="AD45" s="267"/>
      <c r="AE45" s="268"/>
      <c r="AF45" s="267"/>
      <c r="AG45" s="268"/>
      <c r="AH45" s="267"/>
      <c r="AI45" s="268"/>
      <c r="AJ45" s="267"/>
      <c r="AK45" s="268"/>
    </row>
    <row r="46" spans="1:37" s="229" customFormat="1" x14ac:dyDescent="0.15">
      <c r="A46" s="346"/>
      <c r="B46" s="542" t="s">
        <v>977</v>
      </c>
      <c r="C46" s="543"/>
      <c r="D46" s="543"/>
      <c r="E46" s="543"/>
      <c r="F46" s="543"/>
      <c r="G46" s="543"/>
      <c r="H46" s="543"/>
      <c r="I46" s="543"/>
      <c r="J46" s="543"/>
      <c r="K46" s="543"/>
      <c r="L46" s="544"/>
      <c r="M46" s="224">
        <f>SUMIF($Q$17:$Q$43,B46,$M$17:$M$43)</f>
        <v>0.63175280000000011</v>
      </c>
      <c r="N46" s="353"/>
      <c r="O46" s="224"/>
      <c r="P46" s="354"/>
      <c r="Q46" s="355"/>
      <c r="R46" s="296"/>
      <c r="S46" s="228"/>
      <c r="T46" s="467"/>
      <c r="U46" s="375"/>
      <c r="V46" s="266"/>
      <c r="W46" s="266"/>
      <c r="X46" s="267"/>
      <c r="Y46" s="268"/>
      <c r="Z46" s="267"/>
      <c r="AA46" s="268"/>
      <c r="AB46" s="267"/>
      <c r="AC46" s="268"/>
      <c r="AD46" s="267"/>
      <c r="AE46" s="268"/>
      <c r="AF46" s="267"/>
      <c r="AG46" s="268"/>
      <c r="AH46" s="267"/>
      <c r="AI46" s="268"/>
      <c r="AJ46" s="267"/>
      <c r="AK46" s="268"/>
    </row>
    <row r="47" spans="1:37" x14ac:dyDescent="0.15">
      <c r="A47" s="61"/>
      <c r="B47" s="552"/>
      <c r="C47" s="557"/>
      <c r="D47" s="557"/>
      <c r="E47" s="553"/>
      <c r="F47" s="552" t="s">
        <v>48</v>
      </c>
      <c r="G47" s="557"/>
      <c r="H47" s="557"/>
      <c r="I47" s="557"/>
      <c r="J47" s="557"/>
      <c r="K47" s="557"/>
      <c r="L47" s="553"/>
      <c r="M47" s="62">
        <f>SUM(M44:M46)</f>
        <v>9.4345368000000001</v>
      </c>
      <c r="N47" s="63"/>
      <c r="O47" s="62">
        <f>SUM(O17:O43)</f>
        <v>0</v>
      </c>
      <c r="P47" s="63"/>
      <c r="Q47" s="337"/>
      <c r="R47" s="64"/>
      <c r="S47" s="64"/>
      <c r="T47" s="460"/>
      <c r="X47" s="264"/>
      <c r="Y47" s="265"/>
      <c r="Z47" s="264"/>
      <c r="AA47" s="265"/>
      <c r="AB47" s="264"/>
      <c r="AC47" s="265"/>
      <c r="AD47" s="264"/>
      <c r="AE47" s="265"/>
      <c r="AF47" s="264"/>
      <c r="AG47" s="265"/>
      <c r="AH47" s="264"/>
      <c r="AI47" s="265"/>
      <c r="AJ47" s="264"/>
      <c r="AK47" s="265"/>
    </row>
    <row r="48" spans="1:37" ht="24" x14ac:dyDescent="0.15">
      <c r="A48" s="65"/>
      <c r="B48" s="560" t="s">
        <v>49</v>
      </c>
      <c r="C48" s="561"/>
      <c r="D48" s="561"/>
      <c r="E48" s="562"/>
      <c r="F48" s="565" t="s">
        <v>26</v>
      </c>
      <c r="G48" s="566"/>
      <c r="H48" s="66" t="s">
        <v>1167</v>
      </c>
      <c r="I48" s="351" t="s">
        <v>1168</v>
      </c>
      <c r="J48" s="66" t="s">
        <v>50</v>
      </c>
      <c r="K48" s="66" t="s">
        <v>51</v>
      </c>
      <c r="L48" s="67" t="s">
        <v>30</v>
      </c>
      <c r="M48" s="66" t="s">
        <v>52</v>
      </c>
      <c r="N48" s="68" t="s">
        <v>53</v>
      </c>
      <c r="O48" s="68" t="s">
        <v>34</v>
      </c>
      <c r="P48" s="69" t="s">
        <v>35</v>
      </c>
      <c r="Q48" s="42"/>
      <c r="R48" s="67"/>
      <c r="S48" s="67"/>
      <c r="T48" s="461"/>
      <c r="V48" s="270" t="s">
        <v>352</v>
      </c>
      <c r="W48" s="270" t="s">
        <v>353</v>
      </c>
      <c r="X48" s="271" t="s">
        <v>352</v>
      </c>
      <c r="Y48" s="272" t="s">
        <v>353</v>
      </c>
      <c r="Z48" s="271" t="s">
        <v>352</v>
      </c>
      <c r="AA48" s="272" t="s">
        <v>353</v>
      </c>
      <c r="AB48" s="271" t="s">
        <v>352</v>
      </c>
      <c r="AC48" s="272" t="s">
        <v>353</v>
      </c>
      <c r="AD48" s="271" t="s">
        <v>352</v>
      </c>
      <c r="AE48" s="272" t="s">
        <v>353</v>
      </c>
      <c r="AF48" s="271" t="s">
        <v>352</v>
      </c>
      <c r="AG48" s="272" t="s">
        <v>353</v>
      </c>
      <c r="AH48" s="271" t="s">
        <v>352</v>
      </c>
      <c r="AI48" s="272" t="s">
        <v>353</v>
      </c>
      <c r="AJ48" s="271" t="s">
        <v>352</v>
      </c>
      <c r="AK48" s="272" t="s">
        <v>353</v>
      </c>
    </row>
    <row r="49" spans="1:37" x14ac:dyDescent="0.15">
      <c r="A49" s="200">
        <v>1</v>
      </c>
      <c r="B49" s="542" t="s">
        <v>823</v>
      </c>
      <c r="C49" s="543"/>
      <c r="D49" s="543"/>
      <c r="E49" s="544"/>
      <c r="F49" s="545" t="s">
        <v>55</v>
      </c>
      <c r="G49" s="547"/>
      <c r="H49" s="45" t="s">
        <v>1181</v>
      </c>
      <c r="I49" s="207" t="s">
        <v>1182</v>
      </c>
      <c r="J49" s="46">
        <f>IF(G2=55,M9-V49,IF(G2=551,M9-X49,IF(G2=60,M9-Z49,IF(G2=601,M9-AB49,IF(G2=65,M9-AD49,IF(G2=70,M9-AF49,IF(G2=75,M9-AH49,IF(G2=50,M9-AJ49))))))))</f>
        <v>333</v>
      </c>
      <c r="K49" s="70">
        <f>IF(G2=55,M6-W49,IF(G2=551,M6-Y49,IF(G2=60,M6-AA49,IF(G2=601,M6-AC49,IF(G2=65,M6-AE49,IF(G2=70,M6-AG49,IF(G2=75,M6-AI49,IF(G2=50,M6-AK49))))))))</f>
        <v>1033</v>
      </c>
      <c r="L49" s="70">
        <v>1</v>
      </c>
      <c r="M49" s="46">
        <f>J49*K49*L49/1000000</f>
        <v>0.34398899999999999</v>
      </c>
      <c r="N49" s="46"/>
      <c r="O49" s="46">
        <f>N49*M49</f>
        <v>0</v>
      </c>
      <c r="P49" s="71"/>
      <c r="Q49" s="71"/>
      <c r="R49" s="72"/>
      <c r="S49" s="72"/>
      <c r="T49" s="462" t="s">
        <v>1616</v>
      </c>
      <c r="U49" s="374" t="s">
        <v>1617</v>
      </c>
      <c r="V49" s="259">
        <f t="shared" ref="V49:AE49" si="6">83.5*2</f>
        <v>167</v>
      </c>
      <c r="W49" s="259">
        <f t="shared" si="6"/>
        <v>167</v>
      </c>
      <c r="X49" s="286">
        <f t="shared" si="6"/>
        <v>167</v>
      </c>
      <c r="Y49" s="304">
        <f t="shared" si="6"/>
        <v>167</v>
      </c>
      <c r="Z49" s="286">
        <f t="shared" si="6"/>
        <v>167</v>
      </c>
      <c r="AA49" s="304">
        <f t="shared" si="6"/>
        <v>167</v>
      </c>
      <c r="AB49" s="286">
        <f t="shared" si="6"/>
        <v>167</v>
      </c>
      <c r="AC49" s="304">
        <f t="shared" si="6"/>
        <v>167</v>
      </c>
      <c r="AD49" s="286">
        <f t="shared" si="6"/>
        <v>167</v>
      </c>
      <c r="AE49" s="304">
        <f t="shared" si="6"/>
        <v>167</v>
      </c>
      <c r="AF49" s="264">
        <f>87*2</f>
        <v>174</v>
      </c>
      <c r="AG49" s="265">
        <f>87*2</f>
        <v>174</v>
      </c>
      <c r="AH49" s="264">
        <f>87*2</f>
        <v>174</v>
      </c>
      <c r="AI49" s="265">
        <f>87*2</f>
        <v>174</v>
      </c>
      <c r="AJ49" s="264">
        <f>74*2</f>
        <v>148</v>
      </c>
      <c r="AK49" s="265">
        <f>74*2</f>
        <v>148</v>
      </c>
    </row>
    <row r="50" spans="1:37" x14ac:dyDescent="0.15">
      <c r="A50" s="238"/>
      <c r="B50" s="542"/>
      <c r="C50" s="543"/>
      <c r="D50" s="543"/>
      <c r="E50" s="544"/>
      <c r="F50" s="195"/>
      <c r="G50" s="196"/>
      <c r="H50" s="207"/>
      <c r="I50" s="207"/>
      <c r="J50" s="208"/>
      <c r="K50" s="239"/>
      <c r="L50" s="239"/>
      <c r="M50" s="208"/>
      <c r="N50" s="208"/>
      <c r="O50" s="208"/>
      <c r="P50" s="240"/>
      <c r="Q50" s="71"/>
      <c r="R50" s="209"/>
      <c r="S50" s="209"/>
      <c r="T50" s="462"/>
      <c r="X50" s="264"/>
      <c r="Y50" s="265"/>
      <c r="Z50" s="264"/>
      <c r="AA50" s="265"/>
      <c r="AB50" s="264"/>
      <c r="AC50" s="265"/>
      <c r="AD50" s="264"/>
      <c r="AE50" s="265"/>
      <c r="AF50" s="264"/>
      <c r="AG50" s="265"/>
      <c r="AH50" s="264"/>
      <c r="AI50" s="265"/>
      <c r="AJ50" s="264"/>
      <c r="AK50" s="265"/>
    </row>
    <row r="51" spans="1:37" x14ac:dyDescent="0.15">
      <c r="A51" s="200"/>
      <c r="B51" s="542"/>
      <c r="C51" s="543"/>
      <c r="D51" s="543"/>
      <c r="E51" s="544"/>
      <c r="F51" s="545"/>
      <c r="G51" s="547"/>
      <c r="H51" s="45"/>
      <c r="I51" s="207"/>
      <c r="J51" s="45"/>
      <c r="K51" s="45"/>
      <c r="L51" s="70"/>
      <c r="M51" s="46"/>
      <c r="N51" s="46"/>
      <c r="O51" s="46"/>
      <c r="P51" s="71"/>
      <c r="Q51" s="71"/>
      <c r="R51" s="72"/>
      <c r="S51" s="72"/>
      <c r="T51" s="462"/>
      <c r="X51" s="264"/>
      <c r="Y51" s="265"/>
      <c r="Z51" s="264"/>
      <c r="AA51" s="265"/>
      <c r="AB51" s="264"/>
      <c r="AC51" s="265"/>
      <c r="AD51" s="264"/>
      <c r="AE51" s="265"/>
      <c r="AF51" s="264"/>
      <c r="AG51" s="265"/>
      <c r="AH51" s="264"/>
      <c r="AI51" s="265"/>
      <c r="AJ51" s="264"/>
      <c r="AK51" s="265"/>
    </row>
    <row r="52" spans="1:37" x14ac:dyDescent="0.15">
      <c r="A52" s="414"/>
      <c r="B52" s="446"/>
      <c r="C52" s="447"/>
      <c r="D52" s="447"/>
      <c r="E52" s="448"/>
      <c r="F52" s="434"/>
      <c r="G52" s="436"/>
      <c r="H52" s="207"/>
      <c r="I52" s="207"/>
      <c r="J52" s="207"/>
      <c r="K52" s="207"/>
      <c r="L52" s="239"/>
      <c r="M52" s="208"/>
      <c r="N52" s="208"/>
      <c r="O52" s="208"/>
      <c r="P52" s="240"/>
      <c r="Q52" s="240"/>
      <c r="R52" s="209"/>
      <c r="S52" s="209"/>
      <c r="T52" s="462"/>
      <c r="X52" s="264"/>
      <c r="Y52" s="265"/>
      <c r="Z52" s="264"/>
      <c r="AA52" s="265"/>
      <c r="AB52" s="265"/>
      <c r="AC52" s="265"/>
      <c r="AD52" s="265"/>
      <c r="AE52" s="265"/>
      <c r="AF52" s="265"/>
      <c r="AG52" s="265"/>
      <c r="AH52" s="265"/>
      <c r="AI52" s="265"/>
      <c r="AJ52" s="265"/>
      <c r="AK52" s="265"/>
    </row>
    <row r="53" spans="1:37" x14ac:dyDescent="0.15">
      <c r="A53" s="414"/>
      <c r="B53" s="446"/>
      <c r="C53" s="447"/>
      <c r="D53" s="447"/>
      <c r="E53" s="448"/>
      <c r="F53" s="434"/>
      <c r="G53" s="436"/>
      <c r="H53" s="207"/>
      <c r="I53" s="207"/>
      <c r="J53" s="207"/>
      <c r="K53" s="207"/>
      <c r="L53" s="239"/>
      <c r="M53" s="208"/>
      <c r="N53" s="208"/>
      <c r="O53" s="208"/>
      <c r="P53" s="240"/>
      <c r="Q53" s="240"/>
      <c r="R53" s="209"/>
      <c r="S53" s="209"/>
      <c r="T53" s="462"/>
      <c r="X53" s="264"/>
      <c r="Y53" s="265"/>
      <c r="Z53" s="264"/>
      <c r="AA53" s="265"/>
      <c r="AB53" s="265"/>
      <c r="AC53" s="265"/>
      <c r="AD53" s="265"/>
      <c r="AE53" s="265"/>
      <c r="AF53" s="265"/>
      <c r="AG53" s="265"/>
      <c r="AH53" s="265"/>
      <c r="AI53" s="265"/>
      <c r="AJ53" s="265"/>
      <c r="AK53" s="265"/>
    </row>
    <row r="54" spans="1:37" x14ac:dyDescent="0.15">
      <c r="A54" s="200"/>
      <c r="B54" s="542"/>
      <c r="C54" s="543"/>
      <c r="D54" s="543"/>
      <c r="E54" s="544"/>
      <c r="F54" s="545"/>
      <c r="G54" s="547"/>
      <c r="H54" s="45"/>
      <c r="I54" s="207"/>
      <c r="J54" s="46"/>
      <c r="K54" s="200"/>
      <c r="L54" s="70"/>
      <c r="M54" s="46"/>
      <c r="N54" s="46"/>
      <c r="O54" s="46"/>
      <c r="P54" s="48"/>
      <c r="Q54" s="48"/>
      <c r="R54" s="73"/>
      <c r="S54" s="73"/>
      <c r="T54" s="463"/>
      <c r="X54" s="264"/>
      <c r="Y54" s="265"/>
      <c r="Z54" s="264"/>
      <c r="AA54" s="265"/>
    </row>
    <row r="55" spans="1:37" x14ac:dyDescent="0.15">
      <c r="A55" s="74"/>
      <c r="B55" s="552"/>
      <c r="C55" s="557"/>
      <c r="D55" s="557"/>
      <c r="E55" s="553"/>
      <c r="F55" s="554" t="s">
        <v>56</v>
      </c>
      <c r="G55" s="554"/>
      <c r="H55" s="554"/>
      <c r="I55" s="579"/>
      <c r="J55" s="570"/>
      <c r="K55" s="570"/>
      <c r="L55" s="554"/>
      <c r="M55" s="62">
        <f>SUM(M49:M54)</f>
        <v>0.34398899999999999</v>
      </c>
      <c r="N55" s="197"/>
      <c r="O55" s="62">
        <f>SUM(O49:O54)</f>
        <v>0</v>
      </c>
      <c r="P55" s="63" t="s">
        <v>57</v>
      </c>
      <c r="Q55" s="337"/>
      <c r="R55" s="64"/>
      <c r="S55" s="64"/>
      <c r="T55" s="460"/>
    </row>
    <row r="56" spans="1:37" ht="24" x14ac:dyDescent="0.15">
      <c r="A56" s="65"/>
      <c r="B56" s="560" t="s">
        <v>58</v>
      </c>
      <c r="C56" s="561"/>
      <c r="D56" s="561"/>
      <c r="E56" s="562"/>
      <c r="F56" s="565" t="s">
        <v>26</v>
      </c>
      <c r="G56" s="566"/>
      <c r="H56" s="66" t="s">
        <v>59</v>
      </c>
      <c r="I56" s="351"/>
      <c r="J56" s="66" t="s">
        <v>60</v>
      </c>
      <c r="K56" s="66" t="s">
        <v>6</v>
      </c>
      <c r="L56" s="67" t="s">
        <v>61</v>
      </c>
      <c r="M56" s="66" t="s">
        <v>30</v>
      </c>
      <c r="N56" s="68" t="s">
        <v>62</v>
      </c>
      <c r="O56" s="68" t="s">
        <v>34</v>
      </c>
      <c r="P56" s="69" t="s">
        <v>57</v>
      </c>
      <c r="Q56" s="42"/>
      <c r="R56" s="67"/>
      <c r="S56" s="67"/>
      <c r="T56" s="461"/>
    </row>
    <row r="57" spans="1:37" ht="25.5" customHeight="1" x14ac:dyDescent="0.15">
      <c r="A57" s="200">
        <v>1</v>
      </c>
      <c r="B57" s="542"/>
      <c r="C57" s="543"/>
      <c r="D57" s="543"/>
      <c r="E57" s="544"/>
      <c r="F57" s="545" t="s">
        <v>843</v>
      </c>
      <c r="G57" s="547"/>
      <c r="H57" s="45"/>
      <c r="I57" s="207"/>
      <c r="J57" s="45"/>
      <c r="K57" s="46" t="str">
        <f>VLOOKUP($F:$F,材料单价表!$B$3:$G$42,4,0)</f>
        <v>套</v>
      </c>
      <c r="L57" s="72"/>
      <c r="M57" s="46">
        <v>1</v>
      </c>
      <c r="N57" s="46">
        <f>VLOOKUP($F:$F,材料单价表!$B$3:$G$42,5,0)</f>
        <v>0</v>
      </c>
      <c r="O57" s="46">
        <f t="shared" ref="O57" si="7">N57*M57</f>
        <v>0</v>
      </c>
      <c r="P57" s="48"/>
      <c r="Q57" s="48"/>
      <c r="R57" s="73"/>
      <c r="S57" s="73"/>
      <c r="T57" s="463"/>
    </row>
    <row r="58" spans="1:37" x14ac:dyDescent="0.15">
      <c r="A58" s="74"/>
      <c r="B58" s="552"/>
      <c r="C58" s="557"/>
      <c r="D58" s="557"/>
      <c r="E58" s="553"/>
      <c r="F58" s="554" t="s">
        <v>64</v>
      </c>
      <c r="G58" s="554"/>
      <c r="H58" s="554"/>
      <c r="I58" s="579"/>
      <c r="J58" s="570"/>
      <c r="K58" s="570"/>
      <c r="L58" s="554"/>
      <c r="M58" s="62">
        <f>M57</f>
        <v>1</v>
      </c>
      <c r="N58" s="197"/>
      <c r="O58" s="62">
        <f>SUM(O57:O57)</f>
        <v>0</v>
      </c>
      <c r="P58" s="63" t="s">
        <v>57</v>
      </c>
      <c r="Q58" s="337"/>
      <c r="R58" s="64"/>
      <c r="S58" s="64"/>
      <c r="T58" s="460"/>
    </row>
    <row r="59" spans="1:37" ht="24" x14ac:dyDescent="0.15">
      <c r="A59" s="65"/>
      <c r="B59" s="560" t="s">
        <v>65</v>
      </c>
      <c r="C59" s="561"/>
      <c r="D59" s="561"/>
      <c r="E59" s="562"/>
      <c r="F59" s="565" t="s">
        <v>26</v>
      </c>
      <c r="G59" s="566"/>
      <c r="H59" s="66" t="s">
        <v>59</v>
      </c>
      <c r="I59" s="351"/>
      <c r="J59" s="66" t="s">
        <v>60</v>
      </c>
      <c r="K59" s="66" t="s">
        <v>6</v>
      </c>
      <c r="L59" s="67" t="s">
        <v>61</v>
      </c>
      <c r="M59" s="66" t="s">
        <v>30</v>
      </c>
      <c r="N59" s="68" t="s">
        <v>62</v>
      </c>
      <c r="O59" s="68" t="s">
        <v>34</v>
      </c>
      <c r="P59" s="69" t="s">
        <v>57</v>
      </c>
      <c r="Q59" s="42"/>
      <c r="R59" s="67"/>
      <c r="S59" s="67"/>
      <c r="T59" s="461"/>
    </row>
    <row r="60" spans="1:37" ht="13.5" customHeight="1" x14ac:dyDescent="0.15">
      <c r="A60" s="76">
        <v>1</v>
      </c>
      <c r="B60" s="542"/>
      <c r="C60" s="543"/>
      <c r="D60" s="543"/>
      <c r="E60" s="544"/>
      <c r="F60" s="558" t="s">
        <v>66</v>
      </c>
      <c r="G60" s="559"/>
      <c r="H60" s="78"/>
      <c r="I60" s="352"/>
      <c r="J60" s="77"/>
      <c r="K60" s="46" t="str">
        <f>VLOOKUP($F:$F,材料单价表!$B$3:$G$42,4,0)</f>
        <v>m</v>
      </c>
      <c r="L60" s="46"/>
      <c r="M60" s="80">
        <f>M15</f>
        <v>3.8</v>
      </c>
      <c r="N60" s="46">
        <f>VLOOKUP($F:$F,材料单价表!$B$3:$G$42,5,0)</f>
        <v>0</v>
      </c>
      <c r="O60" s="46">
        <f>N60*M60</f>
        <v>0</v>
      </c>
      <c r="P60" s="48"/>
      <c r="Q60" s="59"/>
      <c r="R60" s="81"/>
      <c r="S60" s="79"/>
      <c r="T60" s="464"/>
    </row>
    <row r="61" spans="1:37" ht="15.75" customHeight="1" x14ac:dyDescent="0.15">
      <c r="A61" s="76">
        <v>2</v>
      </c>
      <c r="B61" s="542"/>
      <c r="C61" s="543"/>
      <c r="D61" s="543"/>
      <c r="E61" s="544"/>
      <c r="F61" s="558" t="s">
        <v>68</v>
      </c>
      <c r="G61" s="559"/>
      <c r="H61" s="78" t="s">
        <v>67</v>
      </c>
      <c r="I61" s="352"/>
      <c r="J61" s="77"/>
      <c r="K61" s="46" t="str">
        <f>VLOOKUP($F:$F,材料单价表!$B$3:$G$42,4,0)</f>
        <v>m</v>
      </c>
      <c r="L61" s="46"/>
      <c r="M61" s="80">
        <f>(J27*K27+J28*K28)/1000*2</f>
        <v>5.6559999999999997</v>
      </c>
      <c r="N61" s="46">
        <f>VLOOKUP($F:$F,材料单价表!$B$3:$G$42,5,0)</f>
        <v>0</v>
      </c>
      <c r="O61" s="46">
        <f t="shared" ref="O61:O66" si="8">N61*M61</f>
        <v>0</v>
      </c>
      <c r="P61" s="48"/>
      <c r="Q61" s="59"/>
      <c r="R61" s="81"/>
      <c r="S61" s="79"/>
      <c r="T61" s="464"/>
      <c r="V61" s="104"/>
      <c r="W61" s="104"/>
    </row>
    <row r="62" spans="1:37" ht="13.5" customHeight="1" x14ac:dyDescent="0.15">
      <c r="A62" s="76">
        <v>3</v>
      </c>
      <c r="B62" s="542"/>
      <c r="C62" s="543"/>
      <c r="D62" s="543"/>
      <c r="E62" s="544"/>
      <c r="F62" s="558" t="s">
        <v>68</v>
      </c>
      <c r="G62" s="559"/>
      <c r="H62" s="78" t="s">
        <v>69</v>
      </c>
      <c r="I62" s="352"/>
      <c r="J62" s="77"/>
      <c r="K62" s="46" t="str">
        <f>VLOOKUP($F:$F,材料单价表!$B$3:$G$42,4,0)</f>
        <v>m</v>
      </c>
      <c r="L62" s="46"/>
      <c r="M62" s="80">
        <f>M15</f>
        <v>3.8</v>
      </c>
      <c r="N62" s="46">
        <f>VLOOKUP($F:$F,材料单价表!$B$3:$G$42,5,0)</f>
        <v>0</v>
      </c>
      <c r="O62" s="46">
        <f t="shared" si="8"/>
        <v>0</v>
      </c>
      <c r="P62" s="48"/>
      <c r="Q62" s="59"/>
      <c r="R62" s="81"/>
      <c r="S62" s="79"/>
      <c r="T62" s="464"/>
      <c r="V62" s="104"/>
      <c r="W62" s="104"/>
    </row>
    <row r="63" spans="1:37" ht="13.5" customHeight="1" x14ac:dyDescent="0.15">
      <c r="A63" s="76">
        <v>4</v>
      </c>
      <c r="B63" s="542"/>
      <c r="C63" s="543"/>
      <c r="D63" s="543"/>
      <c r="E63" s="544"/>
      <c r="F63" s="558" t="s">
        <v>68</v>
      </c>
      <c r="G63" s="559"/>
      <c r="H63" s="78" t="s">
        <v>70</v>
      </c>
      <c r="I63" s="352"/>
      <c r="J63" s="77"/>
      <c r="K63" s="46" t="str">
        <f>VLOOKUP($F:$F,材料单价表!$B$3:$G$42,4,0)</f>
        <v>m</v>
      </c>
      <c r="L63" s="46"/>
      <c r="M63" s="80">
        <f>M15</f>
        <v>3.8</v>
      </c>
      <c r="N63" s="46">
        <f>VLOOKUP($F:$F,材料单价表!$B$3:$G$42,5,0)</f>
        <v>0</v>
      </c>
      <c r="O63" s="46">
        <f t="shared" si="8"/>
        <v>0</v>
      </c>
      <c r="P63" s="48"/>
      <c r="Q63" s="59"/>
      <c r="R63" s="81"/>
      <c r="S63" s="79"/>
      <c r="T63" s="464"/>
      <c r="V63" s="104"/>
      <c r="W63" s="104"/>
    </row>
    <row r="64" spans="1:37" ht="13.5" customHeight="1" x14ac:dyDescent="0.15">
      <c r="A64" s="76">
        <v>5</v>
      </c>
      <c r="B64" s="542"/>
      <c r="C64" s="543"/>
      <c r="D64" s="543"/>
      <c r="E64" s="544"/>
      <c r="F64" s="558" t="s">
        <v>71</v>
      </c>
      <c r="G64" s="559"/>
      <c r="H64" s="78"/>
      <c r="I64" s="352"/>
      <c r="J64" s="77"/>
      <c r="K64" s="46" t="str">
        <f>VLOOKUP($F:$F,材料单价表!$B$3:$G$42,4,0)</f>
        <v>个</v>
      </c>
      <c r="L64" s="79"/>
      <c r="M64" s="80">
        <f>K29+K30</f>
        <v>8</v>
      </c>
      <c r="N64" s="46">
        <f>VLOOKUP($F:$F,材料单价表!$B$3:$G$42,5,0)</f>
        <v>0</v>
      </c>
      <c r="O64" s="46">
        <f t="shared" si="8"/>
        <v>0</v>
      </c>
      <c r="P64" s="48"/>
      <c r="Q64" s="59"/>
      <c r="R64" s="81"/>
      <c r="S64" s="79"/>
      <c r="T64" s="464"/>
    </row>
    <row r="65" spans="1:20" ht="13.5" customHeight="1" x14ac:dyDescent="0.15">
      <c r="A65" s="76">
        <v>6</v>
      </c>
      <c r="B65" s="542"/>
      <c r="C65" s="543"/>
      <c r="D65" s="543"/>
      <c r="E65" s="544"/>
      <c r="F65" s="558" t="s">
        <v>833</v>
      </c>
      <c r="G65" s="559"/>
      <c r="H65" s="78"/>
      <c r="I65" s="352"/>
      <c r="J65" s="77"/>
      <c r="K65" s="46" t="str">
        <f>VLOOKUP($F:$F,材料单价表!$B$3:$G$42,4,0)</f>
        <v>m</v>
      </c>
      <c r="L65" s="79"/>
      <c r="M65" s="80">
        <f>(J21*K21+J22*K22)/1000*2</f>
        <v>6.4720000000000004</v>
      </c>
      <c r="N65" s="46">
        <f>VLOOKUP($F:$F,材料单价表!$B$3:$G$42,5,0)</f>
        <v>0</v>
      </c>
      <c r="O65" s="46">
        <f t="shared" si="8"/>
        <v>0</v>
      </c>
      <c r="P65" s="48"/>
      <c r="Q65" s="59"/>
      <c r="R65" s="81"/>
      <c r="S65" s="46"/>
      <c r="T65" s="465"/>
    </row>
    <row r="66" spans="1:20" x14ac:dyDescent="0.15">
      <c r="A66" s="76">
        <v>7</v>
      </c>
      <c r="B66" s="542"/>
      <c r="C66" s="543"/>
      <c r="D66" s="543"/>
      <c r="E66" s="544"/>
      <c r="F66" s="558" t="s">
        <v>72</v>
      </c>
      <c r="G66" s="559"/>
      <c r="H66" s="45"/>
      <c r="I66" s="207"/>
      <c r="J66" s="45"/>
      <c r="K66" s="46" t="str">
        <f>VLOOKUP($F:$F,材料单价表!$B$3:$G$42,4,0)</f>
        <v>m2</v>
      </c>
      <c r="L66" s="72"/>
      <c r="M66" s="46">
        <f>M72</f>
        <v>0.78</v>
      </c>
      <c r="N66" s="46">
        <f>VLOOKUP($F:$F,材料单价表!$B$3:$G$42,5,0)</f>
        <v>0</v>
      </c>
      <c r="O66" s="46">
        <f t="shared" si="8"/>
        <v>0</v>
      </c>
      <c r="P66" s="48"/>
      <c r="Q66" s="48"/>
      <c r="R66" s="73"/>
      <c r="S66" s="73"/>
      <c r="T66" s="463"/>
    </row>
    <row r="67" spans="1:20" x14ac:dyDescent="0.15">
      <c r="A67" s="76">
        <v>8</v>
      </c>
      <c r="B67" s="542"/>
      <c r="C67" s="543"/>
      <c r="D67" s="543"/>
      <c r="E67" s="544"/>
      <c r="F67" s="198"/>
      <c r="G67" s="199"/>
      <c r="H67" s="207"/>
      <c r="I67" s="207"/>
      <c r="J67" s="207"/>
      <c r="K67" s="208"/>
      <c r="L67" s="209"/>
      <c r="M67" s="208"/>
      <c r="N67" s="208"/>
      <c r="O67" s="208"/>
      <c r="P67" s="211"/>
      <c r="Q67" s="48"/>
      <c r="R67" s="212"/>
      <c r="S67" s="212"/>
      <c r="T67" s="463"/>
    </row>
    <row r="68" spans="1:20" x14ac:dyDescent="0.15">
      <c r="A68" s="76">
        <v>9</v>
      </c>
      <c r="B68" s="542"/>
      <c r="C68" s="543"/>
      <c r="D68" s="543"/>
      <c r="E68" s="544"/>
      <c r="F68" s="558"/>
      <c r="G68" s="559"/>
      <c r="H68" s="45"/>
      <c r="I68" s="207"/>
      <c r="J68" s="45"/>
      <c r="K68" s="45"/>
      <c r="L68" s="72"/>
      <c r="M68" s="46"/>
      <c r="N68" s="46"/>
      <c r="O68" s="82"/>
      <c r="P68" s="48"/>
      <c r="Q68" s="48"/>
      <c r="R68" s="73"/>
      <c r="S68" s="73"/>
      <c r="T68" s="463"/>
    </row>
    <row r="69" spans="1:20" x14ac:dyDescent="0.15">
      <c r="A69" s="74"/>
      <c r="B69" s="552"/>
      <c r="C69" s="557"/>
      <c r="D69" s="557"/>
      <c r="E69" s="553"/>
      <c r="F69" s="552" t="s">
        <v>73</v>
      </c>
      <c r="G69" s="557"/>
      <c r="H69" s="557"/>
      <c r="I69" s="557"/>
      <c r="J69" s="557"/>
      <c r="K69" s="557"/>
      <c r="L69" s="557"/>
      <c r="M69" s="61"/>
      <c r="N69" s="61"/>
      <c r="O69" s="62">
        <f>SUM(O60:O68)</f>
        <v>0</v>
      </c>
      <c r="P69" s="63" t="s">
        <v>57</v>
      </c>
      <c r="Q69" s="337"/>
      <c r="R69" s="64"/>
      <c r="S69" s="64"/>
      <c r="T69" s="460"/>
    </row>
    <row r="70" spans="1:20" x14ac:dyDescent="0.15">
      <c r="A70" s="74"/>
      <c r="B70" s="552"/>
      <c r="C70" s="557"/>
      <c r="D70" s="557"/>
      <c r="E70" s="553"/>
      <c r="F70" s="552" t="s">
        <v>74</v>
      </c>
      <c r="G70" s="557"/>
      <c r="H70" s="557"/>
      <c r="I70" s="557"/>
      <c r="J70" s="557"/>
      <c r="K70" s="557"/>
      <c r="L70" s="557"/>
      <c r="M70" s="557"/>
      <c r="N70" s="553"/>
      <c r="O70" s="62">
        <f>O69+O58+O55+O47</f>
        <v>0</v>
      </c>
      <c r="P70" s="63" t="s">
        <v>57</v>
      </c>
      <c r="Q70" s="337"/>
      <c r="R70" s="64"/>
      <c r="S70" s="64"/>
      <c r="T70" s="460"/>
    </row>
    <row r="71" spans="1:20" ht="24" x14ac:dyDescent="0.15">
      <c r="A71" s="65"/>
      <c r="B71" s="560" t="s">
        <v>75</v>
      </c>
      <c r="C71" s="561"/>
      <c r="D71" s="561"/>
      <c r="E71" s="562"/>
      <c r="F71" s="565" t="s">
        <v>26</v>
      </c>
      <c r="G71" s="566"/>
      <c r="H71" s="66"/>
      <c r="I71" s="351"/>
      <c r="J71" s="66"/>
      <c r="K71" s="66" t="s">
        <v>6</v>
      </c>
      <c r="L71" s="83" t="s">
        <v>61</v>
      </c>
      <c r="M71" s="66" t="s">
        <v>76</v>
      </c>
      <c r="N71" s="68" t="s">
        <v>62</v>
      </c>
      <c r="O71" s="68" t="s">
        <v>34</v>
      </c>
      <c r="P71" s="84" t="s">
        <v>57</v>
      </c>
      <c r="Q71" s="84"/>
      <c r="R71" s="67"/>
      <c r="S71" s="67"/>
      <c r="T71" s="461"/>
    </row>
    <row r="72" spans="1:20" x14ac:dyDescent="0.15">
      <c r="A72" s="200">
        <v>1</v>
      </c>
      <c r="B72" s="542"/>
      <c r="C72" s="543"/>
      <c r="D72" s="543"/>
      <c r="E72" s="544"/>
      <c r="F72" s="545" t="s">
        <v>77</v>
      </c>
      <c r="G72" s="547"/>
      <c r="H72" s="45"/>
      <c r="I72" s="207"/>
      <c r="J72" s="46"/>
      <c r="K72" s="45" t="s">
        <v>78</v>
      </c>
      <c r="L72" s="72"/>
      <c r="M72" s="85">
        <f>O2</f>
        <v>0.78</v>
      </c>
      <c r="N72" s="46">
        <f>VLOOKUP($F:$F,材料单价表!$B$3:$G$42,5,0)</f>
        <v>0</v>
      </c>
      <c r="O72" s="46">
        <f>N72*M72</f>
        <v>0</v>
      </c>
      <c r="P72" s="48"/>
      <c r="Q72" s="48"/>
      <c r="R72" s="72"/>
      <c r="S72" s="72"/>
      <c r="T72" s="462"/>
    </row>
    <row r="73" spans="1:20" x14ac:dyDescent="0.15">
      <c r="A73" s="200">
        <v>2</v>
      </c>
      <c r="B73" s="542"/>
      <c r="C73" s="543"/>
      <c r="D73" s="543"/>
      <c r="E73" s="544"/>
      <c r="F73" s="545" t="s">
        <v>79</v>
      </c>
      <c r="G73" s="547"/>
      <c r="H73" s="45"/>
      <c r="I73" s="207"/>
      <c r="J73" s="46"/>
      <c r="K73" s="45" t="s">
        <v>78</v>
      </c>
      <c r="L73" s="72"/>
      <c r="M73" s="85">
        <f>M72</f>
        <v>0.78</v>
      </c>
      <c r="N73" s="46">
        <f>VLOOKUP($F:$F,材料单价表!$B$3:$G$42,5,0)</f>
        <v>0</v>
      </c>
      <c r="O73" s="46">
        <f>N73*M73</f>
        <v>0</v>
      </c>
      <c r="P73" s="48"/>
      <c r="Q73" s="48"/>
      <c r="R73" s="72"/>
      <c r="S73" s="72"/>
      <c r="T73" s="462"/>
    </row>
    <row r="74" spans="1:20" ht="24.75" customHeight="1" x14ac:dyDescent="0.15">
      <c r="A74" s="74"/>
      <c r="B74" s="552"/>
      <c r="C74" s="557"/>
      <c r="D74" s="557"/>
      <c r="E74" s="553"/>
      <c r="F74" s="552" t="s">
        <v>80</v>
      </c>
      <c r="G74" s="553"/>
      <c r="H74" s="194"/>
      <c r="I74" s="348"/>
      <c r="J74" s="554" t="s">
        <v>81</v>
      </c>
      <c r="K74" s="554"/>
      <c r="L74" s="554"/>
      <c r="M74" s="554"/>
      <c r="N74" s="87"/>
      <c r="O74" s="62">
        <f>O70+O72+O73</f>
        <v>0</v>
      </c>
      <c r="P74" s="63" t="s">
        <v>57</v>
      </c>
      <c r="Q74" s="337"/>
      <c r="R74" s="64"/>
      <c r="S74" s="64"/>
      <c r="T74" s="460"/>
    </row>
    <row r="75" spans="1:20" ht="24" customHeight="1" x14ac:dyDescent="0.15">
      <c r="A75" s="74"/>
      <c r="B75" s="552"/>
      <c r="C75" s="557"/>
      <c r="D75" s="557"/>
      <c r="E75" s="553"/>
      <c r="F75" s="555" t="s">
        <v>82</v>
      </c>
      <c r="G75" s="556"/>
      <c r="H75" s="193"/>
      <c r="I75" s="349"/>
      <c r="J75" s="552" t="s">
        <v>81</v>
      </c>
      <c r="K75" s="557"/>
      <c r="L75" s="557"/>
      <c r="M75" s="557"/>
      <c r="N75" s="62"/>
      <c r="O75" s="62">
        <f>O74/O2</f>
        <v>0</v>
      </c>
      <c r="P75" s="89" t="s">
        <v>57</v>
      </c>
      <c r="Q75" s="89"/>
      <c r="R75" s="90"/>
      <c r="S75" s="90"/>
      <c r="T75" s="466"/>
    </row>
    <row r="76" spans="1:20" ht="18.75" customHeight="1" x14ac:dyDescent="0.15">
      <c r="A76" s="549" t="s">
        <v>0</v>
      </c>
      <c r="B76" s="549"/>
      <c r="C76" s="549"/>
      <c r="D76" s="549"/>
      <c r="E76" s="549"/>
      <c r="F76" s="549"/>
      <c r="G76" s="549"/>
      <c r="H76" s="549"/>
      <c r="I76" s="549"/>
      <c r="J76" s="549"/>
      <c r="K76" s="549"/>
      <c r="L76" s="550"/>
      <c r="M76" s="549"/>
      <c r="N76" s="549"/>
      <c r="O76" s="549"/>
      <c r="P76" s="549"/>
      <c r="Q76" s="549"/>
      <c r="R76" s="551"/>
      <c r="S76" s="551"/>
      <c r="T76" s="415"/>
    </row>
    <row r="77" spans="1:20" ht="15" customHeight="1" x14ac:dyDescent="0.15">
      <c r="A77" s="2" t="s">
        <v>1</v>
      </c>
      <c r="B77" s="3" t="str">
        <f>$B$2</f>
        <v>WC</v>
      </c>
      <c r="C77" s="3">
        <v>2</v>
      </c>
      <c r="D77" s="3"/>
      <c r="E77" s="3"/>
      <c r="F77" s="4" t="s">
        <v>2</v>
      </c>
      <c r="G77" s="5">
        <v>55</v>
      </c>
      <c r="H77" s="106" t="s">
        <v>86</v>
      </c>
      <c r="I77" s="106"/>
      <c r="J77" s="4" t="s">
        <v>3</v>
      </c>
      <c r="K77" s="6">
        <f>L80</f>
        <v>600</v>
      </c>
      <c r="L77" s="7" t="s">
        <v>83</v>
      </c>
      <c r="M77" s="6">
        <f>L79</f>
        <v>1800</v>
      </c>
      <c r="N77" s="8" t="s">
        <v>4</v>
      </c>
      <c r="O77" s="9">
        <f>M89</f>
        <v>1.08</v>
      </c>
      <c r="P77" s="10"/>
      <c r="Q77" s="10"/>
      <c r="R77" s="10" t="s">
        <v>5</v>
      </c>
      <c r="S77" s="11"/>
      <c r="T77" s="457"/>
    </row>
    <row r="78" spans="1:20" ht="15" customHeight="1" x14ac:dyDescent="0.2">
      <c r="A78" s="12"/>
      <c r="B78" s="13"/>
      <c r="C78" s="13"/>
      <c r="D78" s="13"/>
      <c r="E78" s="13"/>
      <c r="F78" s="14"/>
      <c r="G78" s="14"/>
      <c r="H78" s="15"/>
      <c r="I78" s="15"/>
      <c r="J78" s="16"/>
      <c r="K78" s="16" t="s">
        <v>6</v>
      </c>
      <c r="L78" s="17" t="s">
        <v>7</v>
      </c>
      <c r="M78" s="16" t="s">
        <v>8</v>
      </c>
      <c r="N78" s="18"/>
      <c r="O78" s="548" t="s">
        <v>940</v>
      </c>
      <c r="P78" s="548"/>
      <c r="Q78" s="16" t="s">
        <v>1018</v>
      </c>
      <c r="R78" s="529" t="s">
        <v>1187</v>
      </c>
      <c r="S78" s="530" t="s">
        <v>1592</v>
      </c>
      <c r="T78" s="468"/>
    </row>
    <row r="79" spans="1:20" ht="15" customHeight="1" x14ac:dyDescent="0.2">
      <c r="A79" s="398" t="s">
        <v>918</v>
      </c>
      <c r="B79" s="406" t="s">
        <v>978</v>
      </c>
      <c r="C79" s="362"/>
      <c r="D79" s="362"/>
      <c r="E79" s="362"/>
      <c r="F79" s="23"/>
      <c r="G79" s="23"/>
      <c r="H79" s="107"/>
      <c r="I79" s="107"/>
      <c r="J79" s="24" t="s">
        <v>9</v>
      </c>
      <c r="K79" s="16" t="s">
        <v>10</v>
      </c>
      <c r="L79" s="25">
        <v>1800</v>
      </c>
      <c r="M79" s="113">
        <f>L79-M88*2</f>
        <v>1700</v>
      </c>
      <c r="N79" s="18"/>
      <c r="O79" s="356" t="s">
        <v>941</v>
      </c>
      <c r="P79" s="357"/>
      <c r="Q79" s="16" t="s">
        <v>1019</v>
      </c>
      <c r="R79" s="529"/>
      <c r="S79" s="530"/>
      <c r="T79" s="468"/>
    </row>
    <row r="80" spans="1:20" ht="15" customHeight="1" x14ac:dyDescent="0.2">
      <c r="A80" s="21"/>
      <c r="B80" s="22"/>
      <c r="C80" s="22"/>
      <c r="D80" s="22"/>
      <c r="E80" s="22"/>
      <c r="F80" s="23"/>
      <c r="G80" s="23"/>
      <c r="H80" s="18"/>
      <c r="I80" s="18"/>
      <c r="J80" s="24" t="s">
        <v>11</v>
      </c>
      <c r="K80" s="16" t="s">
        <v>10</v>
      </c>
      <c r="L80" s="25">
        <v>600</v>
      </c>
      <c r="M80" s="113">
        <f>L80-M88*2</f>
        <v>500</v>
      </c>
      <c r="N80" s="18"/>
      <c r="O80" s="356" t="s">
        <v>924</v>
      </c>
      <c r="P80" s="357"/>
      <c r="Q80" s="16" t="s">
        <v>1020</v>
      </c>
      <c r="R80" s="529" t="s">
        <v>1188</v>
      </c>
      <c r="S80" s="530" t="s">
        <v>1086</v>
      </c>
      <c r="T80" s="468"/>
    </row>
    <row r="81" spans="1:37" ht="15" customHeight="1" x14ac:dyDescent="0.2">
      <c r="A81" s="21"/>
      <c r="B81" s="22"/>
      <c r="C81" s="22"/>
      <c r="D81" s="22"/>
      <c r="E81" s="22"/>
      <c r="F81" s="23"/>
      <c r="G81" s="23"/>
      <c r="H81" s="18"/>
      <c r="I81" s="18"/>
      <c r="J81" s="24" t="s">
        <v>12</v>
      </c>
      <c r="K81" s="16" t="s">
        <v>10</v>
      </c>
      <c r="L81" s="26"/>
      <c r="M81" s="113">
        <f>M79-M82</f>
        <v>1300</v>
      </c>
      <c r="N81" s="18"/>
      <c r="O81" s="356" t="s">
        <v>925</v>
      </c>
      <c r="P81" s="357"/>
      <c r="Q81" s="16" t="s">
        <v>1021</v>
      </c>
      <c r="R81" s="529"/>
      <c r="S81" s="530"/>
      <c r="T81" s="468"/>
    </row>
    <row r="82" spans="1:37" ht="15" customHeight="1" x14ac:dyDescent="0.2">
      <c r="A82" s="21"/>
      <c r="B82" s="22"/>
      <c r="C82" s="22"/>
      <c r="D82" s="22"/>
      <c r="E82" s="22"/>
      <c r="F82" s="23"/>
      <c r="G82" s="23"/>
      <c r="H82" s="18"/>
      <c r="I82" s="18"/>
      <c r="J82" s="24" t="s">
        <v>13</v>
      </c>
      <c r="K82" s="16" t="s">
        <v>10</v>
      </c>
      <c r="L82" s="26"/>
      <c r="M82" s="113">
        <v>400</v>
      </c>
      <c r="N82" s="18"/>
      <c r="O82" s="356" t="s">
        <v>926</v>
      </c>
      <c r="P82" s="357"/>
      <c r="Q82" s="16" t="s">
        <v>1022</v>
      </c>
      <c r="R82" s="27"/>
      <c r="S82" s="28"/>
      <c r="T82" s="27"/>
    </row>
    <row r="83" spans="1:37" ht="15" customHeight="1" x14ac:dyDescent="0.2">
      <c r="A83" s="21"/>
      <c r="B83" s="22"/>
      <c r="C83" s="22"/>
      <c r="D83" s="22"/>
      <c r="E83" s="22"/>
      <c r="F83" s="23"/>
      <c r="G83" s="23"/>
      <c r="H83" s="18"/>
      <c r="I83" s="18"/>
      <c r="J83" s="24" t="s">
        <v>14</v>
      </c>
      <c r="K83" s="16" t="s">
        <v>10</v>
      </c>
      <c r="L83" s="26"/>
      <c r="M83" s="113"/>
      <c r="N83" s="18"/>
      <c r="O83" s="356" t="s">
        <v>927</v>
      </c>
      <c r="P83" s="357"/>
      <c r="Q83" s="16" t="s">
        <v>1023</v>
      </c>
      <c r="R83" s="27"/>
      <c r="S83" s="28"/>
      <c r="T83" s="27"/>
    </row>
    <row r="84" spans="1:37" ht="15" customHeight="1" x14ac:dyDescent="0.2">
      <c r="A84" s="21"/>
      <c r="B84" s="22"/>
      <c r="C84" s="22"/>
      <c r="D84" s="22"/>
      <c r="E84" s="22"/>
      <c r="F84" s="23"/>
      <c r="G84" s="23"/>
      <c r="H84" s="18"/>
      <c r="I84" s="18"/>
      <c r="J84" s="24" t="s">
        <v>15</v>
      </c>
      <c r="K84" s="16" t="s">
        <v>10</v>
      </c>
      <c r="L84" s="26"/>
      <c r="M84" s="113">
        <f>M80</f>
        <v>500</v>
      </c>
      <c r="N84" s="18"/>
      <c r="O84" s="356" t="s">
        <v>928</v>
      </c>
      <c r="P84" s="357"/>
      <c r="Q84" s="16" t="s">
        <v>1005</v>
      </c>
      <c r="R84" s="27"/>
      <c r="S84" s="28"/>
      <c r="T84" s="27"/>
    </row>
    <row r="85" spans="1:37" ht="15" customHeight="1" x14ac:dyDescent="0.2">
      <c r="A85" s="21"/>
      <c r="B85" s="22"/>
      <c r="C85" s="22"/>
      <c r="D85" s="22"/>
      <c r="E85" s="22"/>
      <c r="F85" s="23"/>
      <c r="G85" s="23"/>
      <c r="H85" s="18"/>
      <c r="I85" s="18"/>
      <c r="J85" s="24" t="s">
        <v>16</v>
      </c>
      <c r="K85" s="16" t="s">
        <v>10</v>
      </c>
      <c r="L85" s="26"/>
      <c r="M85" s="113"/>
      <c r="N85" s="18"/>
      <c r="O85" s="356" t="s">
        <v>929</v>
      </c>
      <c r="P85" s="357"/>
      <c r="Q85" s="16" t="s">
        <v>1024</v>
      </c>
      <c r="R85" s="27"/>
      <c r="S85" s="28"/>
      <c r="T85" s="27"/>
    </row>
    <row r="86" spans="1:37" ht="15" customHeight="1" x14ac:dyDescent="0.2">
      <c r="A86" s="21"/>
      <c r="B86" s="22"/>
      <c r="C86" s="22"/>
      <c r="D86" s="22"/>
      <c r="E86" s="22"/>
      <c r="F86" s="23"/>
      <c r="G86" s="23"/>
      <c r="H86" s="18"/>
      <c r="I86" s="18"/>
      <c r="J86" s="24" t="s">
        <v>17</v>
      </c>
      <c r="K86" s="16" t="s">
        <v>10</v>
      </c>
      <c r="L86" s="26"/>
      <c r="M86" s="113"/>
      <c r="N86" s="18"/>
      <c r="O86" s="356" t="s">
        <v>930</v>
      </c>
      <c r="P86" s="357"/>
      <c r="Q86" s="16" t="s">
        <v>931</v>
      </c>
      <c r="R86" s="27"/>
      <c r="S86" s="28"/>
      <c r="T86" s="27"/>
    </row>
    <row r="87" spans="1:37" ht="15" customHeight="1" x14ac:dyDescent="0.2">
      <c r="A87" s="21"/>
      <c r="B87" s="22"/>
      <c r="C87" s="22"/>
      <c r="D87" s="22"/>
      <c r="E87" s="22"/>
      <c r="F87" s="23"/>
      <c r="G87" s="23"/>
      <c r="H87" s="18"/>
      <c r="I87" s="18"/>
      <c r="J87" s="24" t="s">
        <v>18</v>
      </c>
      <c r="K87" s="16" t="s">
        <v>10</v>
      </c>
      <c r="L87" s="26"/>
      <c r="M87" s="113"/>
      <c r="N87" s="18"/>
      <c r="O87" s="356" t="s">
        <v>932</v>
      </c>
      <c r="P87" s="357"/>
      <c r="Q87" s="16" t="s">
        <v>933</v>
      </c>
      <c r="R87" s="27"/>
      <c r="S87" s="28"/>
      <c r="T87" s="27"/>
    </row>
    <row r="88" spans="1:37" ht="15" customHeight="1" x14ac:dyDescent="0.2">
      <c r="A88" s="21"/>
      <c r="B88" s="22"/>
      <c r="C88" s="22"/>
      <c r="D88" s="22"/>
      <c r="E88" s="22"/>
      <c r="F88" s="23"/>
      <c r="G88" s="23"/>
      <c r="H88" s="18"/>
      <c r="I88" s="18"/>
      <c r="J88" s="24" t="s">
        <v>19</v>
      </c>
      <c r="K88" s="16" t="s">
        <v>10</v>
      </c>
      <c r="L88" s="26"/>
      <c r="M88" s="25">
        <v>50</v>
      </c>
      <c r="N88" s="18"/>
      <c r="O88" s="356" t="s">
        <v>934</v>
      </c>
      <c r="P88" s="357"/>
      <c r="Q88" s="16" t="s">
        <v>935</v>
      </c>
      <c r="R88" s="27"/>
      <c r="S88" s="28"/>
      <c r="T88" s="27"/>
    </row>
    <row r="89" spans="1:37" ht="15" customHeight="1" x14ac:dyDescent="0.2">
      <c r="A89" s="21"/>
      <c r="B89" s="22"/>
      <c r="C89" s="22"/>
      <c r="D89" s="22"/>
      <c r="E89" s="22"/>
      <c r="F89" s="23"/>
      <c r="G89" s="23"/>
      <c r="H89" s="18"/>
      <c r="I89" s="18"/>
      <c r="J89" s="29" t="s">
        <v>20</v>
      </c>
      <c r="K89" s="16" t="s">
        <v>21</v>
      </c>
      <c r="L89" s="30"/>
      <c r="M89" s="31">
        <f>L79*L80/1000000</f>
        <v>1.08</v>
      </c>
      <c r="N89" s="18"/>
      <c r="O89" s="356" t="s">
        <v>936</v>
      </c>
      <c r="P89" s="357"/>
      <c r="Q89" s="16" t="s">
        <v>937</v>
      </c>
      <c r="R89" s="27"/>
      <c r="S89" s="28"/>
      <c r="T89" s="27"/>
    </row>
    <row r="90" spans="1:37" ht="15" customHeight="1" x14ac:dyDescent="0.2">
      <c r="A90" s="32"/>
      <c r="B90" s="33"/>
      <c r="C90" s="33"/>
      <c r="D90" s="33"/>
      <c r="E90" s="33"/>
      <c r="F90" s="34"/>
      <c r="G90" s="34"/>
      <c r="H90" s="35"/>
      <c r="I90" s="35"/>
      <c r="J90" s="29" t="s">
        <v>22</v>
      </c>
      <c r="K90" s="16" t="s">
        <v>23</v>
      </c>
      <c r="L90" s="30"/>
      <c r="M90" s="36">
        <f>(L80+L79)*2/1000</f>
        <v>4.8</v>
      </c>
      <c r="N90" s="35"/>
      <c r="O90" s="356" t="s">
        <v>938</v>
      </c>
      <c r="P90" s="357"/>
      <c r="Q90" s="16" t="s">
        <v>939</v>
      </c>
      <c r="R90" s="37"/>
      <c r="S90" s="38"/>
      <c r="T90" s="27"/>
    </row>
    <row r="91" spans="1:37" ht="48.75" customHeight="1" x14ac:dyDescent="0.15">
      <c r="A91" s="39" t="s">
        <v>24</v>
      </c>
      <c r="B91" s="560" t="s">
        <v>25</v>
      </c>
      <c r="C91" s="561"/>
      <c r="D91" s="561"/>
      <c r="E91" s="562"/>
      <c r="F91" s="40" t="s">
        <v>26</v>
      </c>
      <c r="G91" s="40" t="s">
        <v>27</v>
      </c>
      <c r="H91" s="40" t="s">
        <v>28</v>
      </c>
      <c r="I91" s="40" t="s">
        <v>1166</v>
      </c>
      <c r="J91" s="40" t="s">
        <v>29</v>
      </c>
      <c r="K91" s="40" t="s">
        <v>30</v>
      </c>
      <c r="L91" s="41" t="s">
        <v>31</v>
      </c>
      <c r="M91" s="40" t="s">
        <v>32</v>
      </c>
      <c r="N91" s="40" t="s">
        <v>33</v>
      </c>
      <c r="O91" s="40" t="s">
        <v>34</v>
      </c>
      <c r="P91" s="42" t="s">
        <v>35</v>
      </c>
      <c r="Q91" s="359" t="s">
        <v>974</v>
      </c>
      <c r="R91" s="43" t="s">
        <v>36</v>
      </c>
      <c r="S91" s="43" t="s">
        <v>37</v>
      </c>
      <c r="T91" s="458"/>
      <c r="V91" s="261" t="s">
        <v>834</v>
      </c>
      <c r="W91" s="261"/>
      <c r="X91" s="262" t="s">
        <v>841</v>
      </c>
      <c r="Y91" s="263"/>
      <c r="Z91" s="262" t="s">
        <v>835</v>
      </c>
      <c r="AA91" s="263"/>
      <c r="AB91" s="262" t="s">
        <v>845</v>
      </c>
      <c r="AC91" s="263"/>
      <c r="AD91" s="262" t="s">
        <v>836</v>
      </c>
      <c r="AE91" s="263"/>
      <c r="AF91" s="262" t="s">
        <v>837</v>
      </c>
      <c r="AG91" s="263"/>
      <c r="AH91" s="262" t="s">
        <v>838</v>
      </c>
      <c r="AI91" s="263"/>
      <c r="AJ91" s="262" t="s">
        <v>840</v>
      </c>
      <c r="AK91" s="263"/>
    </row>
    <row r="92" spans="1:37" ht="13.5" customHeight="1" x14ac:dyDescent="0.15">
      <c r="A92" s="200">
        <v>1</v>
      </c>
      <c r="B92" s="531" t="s">
        <v>38</v>
      </c>
      <c r="C92" s="532"/>
      <c r="D92" s="532"/>
      <c r="E92" s="533"/>
      <c r="F92" s="47" t="str">
        <f>VLOOKUP($H:$H,型材表!$B$5:$I$448,2,0)</f>
        <v>边框</v>
      </c>
      <c r="G92" s="45" t="s">
        <v>39</v>
      </c>
      <c r="H92" s="45" t="str">
        <f>IF(G77=55,"SW55K001",IF(G77=551,"SW55BK001",IF(G77=60,"SW60K001",IF(G77=601,"SW60AK001",IF(G77=65,"SW65AK001",IF(G77=70,"SW70K001",IF(G77=75,"SW75K001",IF(G77=50,"SW50K002"))))))))</f>
        <v>SW55K001</v>
      </c>
      <c r="I92" s="207" t="s">
        <v>1169</v>
      </c>
      <c r="J92" s="46">
        <f>M79</f>
        <v>1700</v>
      </c>
      <c r="K92" s="45">
        <v>2</v>
      </c>
      <c r="L92" s="47">
        <f>VLOOKUP($H:$H,型材表!$B$5:$I$448,4,0)</f>
        <v>0.96699999999999997</v>
      </c>
      <c r="M92" s="46">
        <f>J92*K92*L92/1000</f>
        <v>3.2877999999999998</v>
      </c>
      <c r="N92" s="72">
        <f>VLOOKUP($H:$H,型材表!$B$5:$I$448,7,0)</f>
        <v>0</v>
      </c>
      <c r="O92" s="46">
        <f>N92*M92</f>
        <v>0</v>
      </c>
      <c r="P92" s="100">
        <f>VLOOKUP($H:$H,型材表!$B$5:$I$448,5,0)</f>
        <v>0.125</v>
      </c>
      <c r="Q92" s="100" t="str">
        <f>VLOOKUP($H:$H,型材表!$B$5:$I$448,6,0)</f>
        <v>断桥隔热铝型材</v>
      </c>
      <c r="R92" s="49"/>
      <c r="S92" s="50"/>
      <c r="T92" s="459"/>
      <c r="X92" s="264"/>
      <c r="Y92" s="265"/>
      <c r="Z92" s="264"/>
      <c r="AA92" s="265"/>
      <c r="AB92" s="264"/>
      <c r="AC92" s="265"/>
      <c r="AD92" s="264"/>
      <c r="AE92" s="265"/>
      <c r="AF92" s="264"/>
      <c r="AG92" s="265"/>
      <c r="AH92" s="264"/>
      <c r="AI92" s="265"/>
      <c r="AJ92" s="264"/>
      <c r="AK92" s="265"/>
    </row>
    <row r="93" spans="1:37" x14ac:dyDescent="0.15">
      <c r="A93" s="200">
        <v>2</v>
      </c>
      <c r="B93" s="534"/>
      <c r="C93" s="535"/>
      <c r="D93" s="535"/>
      <c r="E93" s="536"/>
      <c r="F93" s="47" t="str">
        <f>VLOOKUP($H:$H,型材表!$B$5:$I$448,2,0)</f>
        <v>边框</v>
      </c>
      <c r="G93" s="45" t="s">
        <v>839</v>
      </c>
      <c r="H93" s="45" t="str">
        <f>H92</f>
        <v>SW55K001</v>
      </c>
      <c r="I93" s="207" t="s">
        <v>1170</v>
      </c>
      <c r="J93" s="46">
        <f>M80</f>
        <v>500</v>
      </c>
      <c r="K93" s="45">
        <v>2</v>
      </c>
      <c r="L93" s="47">
        <f>VLOOKUP($H:$H,型材表!$B$5:$I$448,4,0)</f>
        <v>0.96699999999999997</v>
      </c>
      <c r="M93" s="46">
        <f t="shared" ref="M93" si="9">J93*K93*L93/1000</f>
        <v>0.96699999999999997</v>
      </c>
      <c r="N93" s="72">
        <f>VLOOKUP($H:$H,型材表!$B$5:$I$448,7,0)</f>
        <v>0</v>
      </c>
      <c r="O93" s="46">
        <f t="shared" ref="O93" si="10">N93*M93</f>
        <v>0</v>
      </c>
      <c r="P93" s="100">
        <f>VLOOKUP($H:$H,型材表!$B$5:$I$448,5,0)</f>
        <v>0.125</v>
      </c>
      <c r="Q93" s="100" t="str">
        <f>VLOOKUP($H:$H,型材表!$B$5:$I$448,6,0)</f>
        <v>断桥隔热铝型材</v>
      </c>
      <c r="R93" s="49"/>
      <c r="S93" s="50"/>
      <c r="T93" s="459"/>
      <c r="X93" s="264"/>
      <c r="Y93" s="265"/>
      <c r="Z93" s="264"/>
      <c r="AA93" s="265"/>
      <c r="AB93" s="264"/>
      <c r="AC93" s="265"/>
      <c r="AD93" s="264"/>
      <c r="AE93" s="265"/>
      <c r="AF93" s="264"/>
      <c r="AG93" s="265"/>
      <c r="AH93" s="264"/>
      <c r="AI93" s="265"/>
      <c r="AJ93" s="264"/>
      <c r="AK93" s="265"/>
    </row>
    <row r="94" spans="1:37" x14ac:dyDescent="0.15">
      <c r="A94" s="413">
        <v>3</v>
      </c>
      <c r="B94" s="534"/>
      <c r="C94" s="535"/>
      <c r="D94" s="535"/>
      <c r="E94" s="536"/>
      <c r="F94" s="47"/>
      <c r="G94" s="207"/>
      <c r="H94" s="207"/>
      <c r="I94" s="207"/>
      <c r="J94" s="208"/>
      <c r="K94" s="207"/>
      <c r="L94" s="47"/>
      <c r="M94" s="46"/>
      <c r="N94" s="72"/>
      <c r="O94" s="46"/>
      <c r="P94" s="100"/>
      <c r="Q94" s="100"/>
      <c r="R94" s="210"/>
      <c r="S94" s="50"/>
      <c r="T94" s="459"/>
      <c r="X94" s="264"/>
      <c r="Y94" s="265"/>
      <c r="Z94" s="264"/>
      <c r="AA94" s="265"/>
      <c r="AB94" s="264"/>
      <c r="AC94" s="265"/>
      <c r="AD94" s="264"/>
      <c r="AE94" s="265"/>
      <c r="AF94" s="264"/>
      <c r="AG94" s="265"/>
      <c r="AH94" s="264"/>
      <c r="AI94" s="265"/>
      <c r="AJ94" s="264"/>
      <c r="AK94" s="265"/>
    </row>
    <row r="95" spans="1:37" s="229" customFormat="1" x14ac:dyDescent="0.15">
      <c r="A95" s="413">
        <v>4</v>
      </c>
      <c r="B95" s="537"/>
      <c r="C95" s="538"/>
      <c r="D95" s="538"/>
      <c r="E95" s="539"/>
      <c r="F95" s="221"/>
      <c r="G95" s="222"/>
      <c r="H95" s="222"/>
      <c r="I95" s="222"/>
      <c r="J95" s="223"/>
      <c r="K95" s="222"/>
      <c r="L95" s="221"/>
      <c r="M95" s="224"/>
      <c r="N95" s="225"/>
      <c r="O95" s="224"/>
      <c r="P95" s="226"/>
      <c r="Q95" s="100"/>
      <c r="R95" s="227"/>
      <c r="S95" s="228"/>
      <c r="T95" s="467"/>
      <c r="U95" s="375"/>
      <c r="V95" s="266"/>
      <c r="W95" s="266"/>
      <c r="X95" s="267"/>
      <c r="Y95" s="268"/>
      <c r="Z95" s="267"/>
      <c r="AA95" s="268"/>
      <c r="AB95" s="267"/>
      <c r="AC95" s="268"/>
      <c r="AD95" s="267"/>
      <c r="AE95" s="268"/>
      <c r="AF95" s="267"/>
      <c r="AG95" s="268"/>
      <c r="AH95" s="267"/>
      <c r="AI95" s="268"/>
      <c r="AJ95" s="267"/>
      <c r="AK95" s="268"/>
    </row>
    <row r="96" spans="1:37" ht="13.5" customHeight="1" x14ac:dyDescent="0.15">
      <c r="A96" s="413">
        <v>5</v>
      </c>
      <c r="B96" s="531" t="s">
        <v>41</v>
      </c>
      <c r="C96" s="532"/>
      <c r="D96" s="532"/>
      <c r="E96" s="533"/>
      <c r="F96" s="47" t="str">
        <f>VLOOKUP($H:$H,型材表!$B$5:$I$448,2,0)</f>
        <v>外开扇</v>
      </c>
      <c r="G96" s="45" t="s">
        <v>39</v>
      </c>
      <c r="H96" s="45" t="str">
        <f>IF(G77=55,"SW55S001",IF(G77=551,"SW55BS001",IF(G77=60,"SW60S001",IF(G77=601,"SW60AS001",IF(G77=65,"SW65AS001",IF(G77=70,"SW70S001",IF(G77=75,"SW75S001",IF(G77=50,"SW50S001"))))))))</f>
        <v>SW55S001</v>
      </c>
      <c r="I96" s="207" t="s">
        <v>1183</v>
      </c>
      <c r="J96" s="46">
        <f>IF(G77=55,M81-V96,IF(G77=551,M81-X96,IF(G77=60,M81-Z96,IF(G77=601,M81-AB96,IF(G77=65,M81-AD96,IF(G77=70,M81-AF96,IF(G77=75,M81-AH96,IF(G77=50,M81-AJ96))))))))</f>
        <v>1274</v>
      </c>
      <c r="K96" s="45">
        <v>2</v>
      </c>
      <c r="L96" s="47">
        <f>VLOOKUP($H:$H,型材表!$B$5:$I$448,4,0)</f>
        <v>1.4450000000000001</v>
      </c>
      <c r="M96" s="46">
        <f t="shared" ref="M96:M97" si="11">J96*K96*L96/1000</f>
        <v>3.6818599999999999</v>
      </c>
      <c r="N96" s="72">
        <f>VLOOKUP($H:$H,型材表!$B$5:$I$448,7,0)</f>
        <v>0</v>
      </c>
      <c r="O96" s="46">
        <f t="shared" ref="O96:O97" si="12">N96*M96</f>
        <v>0</v>
      </c>
      <c r="P96" s="100">
        <f>VLOOKUP($H:$H,型材表!$B$5:$I$448,5,0)</f>
        <v>0.125</v>
      </c>
      <c r="Q96" s="100" t="str">
        <f>VLOOKUP($H:$H,型材表!$B$5:$I$448,6,0)</f>
        <v>断桥隔热铝型材</v>
      </c>
      <c r="R96" s="49"/>
      <c r="S96" s="50"/>
      <c r="T96" s="459"/>
      <c r="U96" s="374" t="s">
        <v>1184</v>
      </c>
      <c r="V96" s="259">
        <f>20.5+5.5</f>
        <v>26</v>
      </c>
      <c r="X96" s="264">
        <f>20.5+5.5</f>
        <v>26</v>
      </c>
      <c r="Y96" s="265"/>
      <c r="Z96" s="264">
        <f>20.5+5.5</f>
        <v>26</v>
      </c>
      <c r="AA96" s="265"/>
      <c r="AB96" s="264">
        <f>20.5+5.5</f>
        <v>26</v>
      </c>
      <c r="AC96" s="265"/>
      <c r="AD96" s="264">
        <f>20.5+5.5</f>
        <v>26</v>
      </c>
      <c r="AE96" s="265"/>
      <c r="AF96" s="264">
        <f>20.5+5.5</f>
        <v>26</v>
      </c>
      <c r="AG96" s="265"/>
      <c r="AH96" s="264">
        <f>20.5+5.5</f>
        <v>26</v>
      </c>
      <c r="AI96" s="265"/>
      <c r="AJ96" s="264">
        <f>21.3+6</f>
        <v>27.3</v>
      </c>
      <c r="AK96" s="265"/>
    </row>
    <row r="97" spans="1:37" x14ac:dyDescent="0.15">
      <c r="A97" s="413">
        <v>6</v>
      </c>
      <c r="B97" s="534"/>
      <c r="C97" s="535"/>
      <c r="D97" s="535"/>
      <c r="E97" s="536"/>
      <c r="F97" s="47" t="str">
        <f>VLOOKUP($H:$H,型材表!$B$5:$I$448,2,0)</f>
        <v>外开扇</v>
      </c>
      <c r="G97" s="45" t="s">
        <v>839</v>
      </c>
      <c r="H97" s="207" t="str">
        <f>H96</f>
        <v>SW55S001</v>
      </c>
      <c r="I97" s="207" t="s">
        <v>1172</v>
      </c>
      <c r="J97" s="208">
        <f>IF(G77=55,M84-V97,IF(G77=551,M84-X97,IF(G77=60,M84-Z97,IF(G77=601,M84-AB97,IF(G77=65,M84-AD97,IF(G77=70,M84-AF97,IF(G77=75,M84-AH97,IF(G77=50,M84-AJ97))))))))</f>
        <v>459</v>
      </c>
      <c r="K97" s="207">
        <v>2</v>
      </c>
      <c r="L97" s="47">
        <f>VLOOKUP($H:$H,型材表!$B$5:$I$448,4,0)</f>
        <v>1.4450000000000001</v>
      </c>
      <c r="M97" s="46">
        <f t="shared" si="11"/>
        <v>1.3265100000000001</v>
      </c>
      <c r="N97" s="72">
        <f>VLOOKUP($H:$H,型材表!$B$5:$I$448,7,0)</f>
        <v>0</v>
      </c>
      <c r="O97" s="46">
        <f t="shared" si="12"/>
        <v>0</v>
      </c>
      <c r="P97" s="100">
        <f>VLOOKUP($H:$H,型材表!$B$5:$I$448,5,0)</f>
        <v>0.125</v>
      </c>
      <c r="Q97" s="100" t="str">
        <f>VLOOKUP($H:$H,型材表!$B$5:$I$448,6,0)</f>
        <v>断桥隔热铝型材</v>
      </c>
      <c r="R97" s="210"/>
      <c r="S97" s="50"/>
      <c r="T97" s="459"/>
      <c r="U97" s="374" t="s">
        <v>1178</v>
      </c>
      <c r="V97" s="259">
        <f>20.5*2</f>
        <v>41</v>
      </c>
      <c r="X97" s="264">
        <f>20.5*2</f>
        <v>41</v>
      </c>
      <c r="Y97" s="265"/>
      <c r="Z97" s="264">
        <f>20.5*2</f>
        <v>41</v>
      </c>
      <c r="AA97" s="265"/>
      <c r="AB97" s="264">
        <f>20.5*2</f>
        <v>41</v>
      </c>
      <c r="AC97" s="265"/>
      <c r="AD97" s="264">
        <f>20.5*2</f>
        <v>41</v>
      </c>
      <c r="AE97" s="265"/>
      <c r="AF97" s="264">
        <f>20.5*2</f>
        <v>41</v>
      </c>
      <c r="AG97" s="265"/>
      <c r="AH97" s="264">
        <f>20.5*2</f>
        <v>41</v>
      </c>
      <c r="AI97" s="265"/>
      <c r="AJ97" s="264">
        <f>21.3*2</f>
        <v>42.6</v>
      </c>
      <c r="AK97" s="265"/>
    </row>
    <row r="98" spans="1:37" x14ac:dyDescent="0.15">
      <c r="A98" s="413">
        <v>7</v>
      </c>
      <c r="B98" s="534"/>
      <c r="C98" s="535"/>
      <c r="D98" s="535"/>
      <c r="E98" s="536"/>
      <c r="F98" s="47" t="str">
        <f>VLOOKUP($H:$H,型材表!$B$5:$I$448,2,0)</f>
        <v>中梃</v>
      </c>
      <c r="G98" s="45"/>
      <c r="H98" s="45" t="str">
        <f>IF(G77=55,"SW55T001",IF(G77=551,"SW55BT001",IF(G77=60,"SW60T001",IF(G77=601,"SW60AT001",IF(G77=65,"SW65AT001",IF(G77=70,"SW70T001",IF(G77=75,"SW75T001",IF(G77=50,"SW50Z001"))))))))</f>
        <v>SW55T001</v>
      </c>
      <c r="I98" s="207" t="s">
        <v>1185</v>
      </c>
      <c r="J98" s="46">
        <f>IF(G77=55,M84-V98,IF(G77=551,M84-X98,IF(G77=60,M84-Z98,IF(G77=601,M84-AB98,IF(G77=65,M84-AD98,IF(G77=70,M84-AF98,IF(G77=75,M84-AH98,IF(G77=50,M84-AJ98))))))))</f>
        <v>454</v>
      </c>
      <c r="K98" s="45">
        <v>1</v>
      </c>
      <c r="L98" s="47">
        <f>VLOOKUP($H:$H,型材表!$B$5:$I$448,4,0)</f>
        <v>1.113</v>
      </c>
      <c r="M98" s="46">
        <f t="shared" ref="M98" si="13">J98*K98*L98/1000</f>
        <v>0.50530200000000003</v>
      </c>
      <c r="N98" s="72">
        <f>VLOOKUP($H:$H,型材表!$B$5:$I$448,7,0)</f>
        <v>0</v>
      </c>
      <c r="O98" s="46">
        <f t="shared" ref="O98" si="14">N98*M98</f>
        <v>0</v>
      </c>
      <c r="P98" s="100">
        <f>VLOOKUP($H:$H,型材表!$B$5:$I$448,5,0)</f>
        <v>0.125</v>
      </c>
      <c r="Q98" s="100" t="str">
        <f>VLOOKUP($H:$H,型材表!$B$5:$I$448,6,0)</f>
        <v>断桥隔热铝型材</v>
      </c>
      <c r="R98" s="49"/>
      <c r="S98" s="50"/>
      <c r="T98" s="459"/>
      <c r="U98" s="374" t="s">
        <v>1186</v>
      </c>
      <c r="V98" s="259">
        <f>23*2</f>
        <v>46</v>
      </c>
      <c r="X98" s="264">
        <f>23*2</f>
        <v>46</v>
      </c>
      <c r="Y98" s="265"/>
      <c r="Z98" s="264">
        <f>23*2</f>
        <v>46</v>
      </c>
      <c r="AA98" s="265"/>
      <c r="AB98" s="264">
        <f>23*2</f>
        <v>46</v>
      </c>
      <c r="AC98" s="265"/>
      <c r="AD98" s="264">
        <f>23*2</f>
        <v>46</v>
      </c>
      <c r="AE98" s="265"/>
      <c r="AF98" s="264">
        <f>23*2</f>
        <v>46</v>
      </c>
      <c r="AG98" s="265"/>
      <c r="AH98" s="264">
        <f>23*2</f>
        <v>46</v>
      </c>
      <c r="AI98" s="265"/>
      <c r="AJ98" s="264">
        <f>23.3*2</f>
        <v>46.6</v>
      </c>
      <c r="AK98" s="265"/>
    </row>
    <row r="99" spans="1:37" s="315" customFormat="1" x14ac:dyDescent="0.15">
      <c r="A99" s="413">
        <v>8</v>
      </c>
      <c r="B99" s="534"/>
      <c r="C99" s="535"/>
      <c r="D99" s="535"/>
      <c r="E99" s="536"/>
      <c r="F99" s="310" t="str">
        <f>VLOOKUP($H:$H,型材表!$B$5:$I$448,2,0)</f>
        <v>转向框</v>
      </c>
      <c r="G99" s="116" t="s">
        <v>39</v>
      </c>
      <c r="H99" s="116" t="str">
        <f>IF(G77=55,"SW55K102",IF(G77=551,"SW55BK102",IF(G77=60,"SW60K102",IF(G77=601,"SW60AK102",IF(G77=65,"SW65AK102",IF(G77=70,"SW70K102",IF(G77=75,"SW75K102",IF(G77=50,"SW50K101"))))))))</f>
        <v>SW55K102</v>
      </c>
      <c r="I99" s="328" t="s">
        <v>1189</v>
      </c>
      <c r="J99" s="147">
        <f>IF(G77=55,M82-V99,IF(G77=551,M82-X99,IF(G77=60,M82-Z99,IF(G77=601,M82-AB99,IF(G77=65,M82-AD99,IF(G77=70,M82-AF99,IF(G77=75,M82-AH99,IF(G77=50,M82-AJ99))))))))</f>
        <v>364.4</v>
      </c>
      <c r="K99" s="116">
        <v>2</v>
      </c>
      <c r="L99" s="310">
        <f>VLOOKUP($H:$H,型材表!$B$5:$I$448,4,0)</f>
        <v>0.92300000000000004</v>
      </c>
      <c r="M99" s="147">
        <f t="shared" ref="M99" si="15">J99*K99*L99/1000</f>
        <v>0.67268240000000001</v>
      </c>
      <c r="N99" s="311">
        <f>VLOOKUP($H:$H,型材表!$B$5:$I$448,7,0)</f>
        <v>0</v>
      </c>
      <c r="O99" s="147">
        <f t="shared" ref="O99" si="16">N99*M99</f>
        <v>0</v>
      </c>
      <c r="P99" s="312">
        <f>VLOOKUP($H:$H,型材表!$B$5:$I$448,5,0)</f>
        <v>0.125</v>
      </c>
      <c r="Q99" s="100" t="str">
        <f>VLOOKUP($H:$H,型材表!$B$5:$I$448,6,0)</f>
        <v>断桥隔热铝型材</v>
      </c>
      <c r="R99" s="313"/>
      <c r="S99" s="314"/>
      <c r="T99" s="469"/>
      <c r="U99" s="376" t="s">
        <v>1191</v>
      </c>
      <c r="V99" s="316">
        <f>10.3+25.3</f>
        <v>35.6</v>
      </c>
      <c r="W99" s="316"/>
      <c r="X99" s="317">
        <f>10.3+25.3</f>
        <v>35.6</v>
      </c>
      <c r="Y99" s="318"/>
      <c r="Z99" s="317">
        <f>10.3+25.3</f>
        <v>35.6</v>
      </c>
      <c r="AA99" s="318"/>
      <c r="AB99" s="317">
        <f>10.3+25.3</f>
        <v>35.6</v>
      </c>
      <c r="AC99" s="318"/>
      <c r="AD99" s="317">
        <f>10.3+25.3</f>
        <v>35.6</v>
      </c>
      <c r="AE99" s="318"/>
      <c r="AF99" s="317">
        <f>10.3+25.3</f>
        <v>35.6</v>
      </c>
      <c r="AG99" s="318"/>
      <c r="AH99" s="317">
        <f>10.3+25.3</f>
        <v>35.6</v>
      </c>
      <c r="AI99" s="318"/>
      <c r="AJ99" s="317">
        <f>10+25.3</f>
        <v>35.299999999999997</v>
      </c>
      <c r="AK99" s="318"/>
    </row>
    <row r="100" spans="1:37" s="315" customFormat="1" x14ac:dyDescent="0.15">
      <c r="A100" s="413">
        <v>9</v>
      </c>
      <c r="B100" s="534"/>
      <c r="C100" s="535"/>
      <c r="D100" s="535"/>
      <c r="E100" s="536"/>
      <c r="F100" s="310" t="str">
        <f>VLOOKUP($H:$H,型材表!$B$5:$I$448,2,0)</f>
        <v>转向框</v>
      </c>
      <c r="G100" s="116" t="s">
        <v>839</v>
      </c>
      <c r="H100" s="328" t="str">
        <f>H99</f>
        <v>SW55K102</v>
      </c>
      <c r="I100" s="328" t="s">
        <v>1190</v>
      </c>
      <c r="J100" s="329">
        <f>IF(G77=55,M84-V100,IF(G77=551,M84-X100,IF(G77=60,M84-Z100,IF(G77=601,M84-AB100,IF(G77=65,M84-AD100,IF(G77=70,M84-AF100,IF(G77=75,M84-AH100,IF(G77=50,M84-AJ100))))))))</f>
        <v>449.4</v>
      </c>
      <c r="K100" s="328">
        <v>2</v>
      </c>
      <c r="L100" s="310">
        <f>VLOOKUP($H:$H,型材表!$B$5:$I$448,4,0)</f>
        <v>0.92300000000000004</v>
      </c>
      <c r="M100" s="147">
        <f t="shared" ref="M100" si="17">J100*K100*L100/1000</f>
        <v>0.82959240000000001</v>
      </c>
      <c r="N100" s="311">
        <f>VLOOKUP($H:$H,型材表!$B$5:$I$448,7,0)</f>
        <v>0</v>
      </c>
      <c r="O100" s="147">
        <f t="shared" ref="O100" si="18">N100*M100</f>
        <v>0</v>
      </c>
      <c r="P100" s="312">
        <f>VLOOKUP($H:$H,型材表!$B$5:$I$448,5,0)</f>
        <v>0.125</v>
      </c>
      <c r="Q100" s="100" t="str">
        <f>VLOOKUP($H:$H,型材表!$B$5:$I$448,6,0)</f>
        <v>断桥隔热铝型材</v>
      </c>
      <c r="R100" s="330"/>
      <c r="S100" s="314"/>
      <c r="T100" s="469"/>
      <c r="U100" s="376" t="s">
        <v>1192</v>
      </c>
      <c r="V100" s="316">
        <f>25.3*2</f>
        <v>50.6</v>
      </c>
      <c r="W100" s="316"/>
      <c r="X100" s="317">
        <f>25.3*2</f>
        <v>50.6</v>
      </c>
      <c r="Y100" s="318"/>
      <c r="Z100" s="317">
        <f>25.3*2</f>
        <v>50.6</v>
      </c>
      <c r="AA100" s="318"/>
      <c r="AB100" s="317">
        <f>25.3*2</f>
        <v>50.6</v>
      </c>
      <c r="AC100" s="318"/>
      <c r="AD100" s="317">
        <f>25.3*2</f>
        <v>50.6</v>
      </c>
      <c r="AE100" s="318"/>
      <c r="AF100" s="317">
        <f>25.3*2</f>
        <v>50.6</v>
      </c>
      <c r="AG100" s="318"/>
      <c r="AH100" s="317">
        <f>25.3*2</f>
        <v>50.6</v>
      </c>
      <c r="AI100" s="318"/>
      <c r="AJ100" s="317">
        <f>25.3*2</f>
        <v>50.6</v>
      </c>
      <c r="AK100" s="318"/>
    </row>
    <row r="101" spans="1:37" x14ac:dyDescent="0.15">
      <c r="A101" s="413">
        <v>10</v>
      </c>
      <c r="B101" s="537"/>
      <c r="C101" s="538"/>
      <c r="D101" s="538"/>
      <c r="E101" s="539"/>
      <c r="F101" s="47"/>
      <c r="G101" s="45"/>
      <c r="H101" s="45"/>
      <c r="I101" s="207"/>
      <c r="J101" s="46"/>
      <c r="K101" s="45"/>
      <c r="L101" s="47"/>
      <c r="M101" s="46"/>
      <c r="N101" s="72"/>
      <c r="O101" s="46"/>
      <c r="P101" s="100"/>
      <c r="Q101" s="100"/>
      <c r="R101" s="49"/>
      <c r="S101" s="50"/>
      <c r="T101" s="459"/>
      <c r="X101" s="264"/>
      <c r="Y101" s="265"/>
      <c r="Z101" s="264"/>
      <c r="AA101" s="265"/>
      <c r="AB101" s="264"/>
      <c r="AC101" s="265"/>
      <c r="AD101" s="264"/>
      <c r="AE101" s="265"/>
      <c r="AF101" s="264"/>
      <c r="AG101" s="265"/>
      <c r="AH101" s="264"/>
      <c r="AI101" s="265"/>
      <c r="AJ101" s="264"/>
      <c r="AK101" s="265"/>
    </row>
    <row r="102" spans="1:37" ht="13.5" customHeight="1" x14ac:dyDescent="0.15">
      <c r="A102" s="413">
        <v>11</v>
      </c>
      <c r="B102" s="531" t="s">
        <v>44</v>
      </c>
      <c r="C102" s="532"/>
      <c r="D102" s="532"/>
      <c r="E102" s="533"/>
      <c r="F102" s="47" t="str">
        <f>VLOOKUP($H:$H,型材表!$B$5:$I$448,2,0)</f>
        <v>压线</v>
      </c>
      <c r="G102" s="45" t="s">
        <v>39</v>
      </c>
      <c r="H102" s="45" t="str">
        <f>IF(G77=55,"SN55Y001",IF(G77=551,"SW55BY001",IF(G77=60,"SN60Y001",IF(G77=601,"SW60AY001",IF(G77=65,"SN65AY001",IF(G77=70,"SN70Y001",IF(G77=75,"SN75Y001",IF(G77=50,"SW50Y001"))))))))</f>
        <v>SN55Y001</v>
      </c>
      <c r="I102" s="207" t="s">
        <v>1193</v>
      </c>
      <c r="J102" s="52">
        <f>IF(G77=55,M81-V102,IF(G77=551,M81-X102,IF(G77=60,M81-Z102,IF(G77=601,M81-AB102,IF(G77=65,M81-AD102,IF(G77=70,M81-AF102,IF(G77=75,M81-AH102,IF(G77=50,M81-AJ102))))))))</f>
        <v>1172</v>
      </c>
      <c r="K102" s="45">
        <f>K97</f>
        <v>2</v>
      </c>
      <c r="L102" s="47">
        <f>VLOOKUP($H:$H,型材表!$B$5:$I$448,4,0)</f>
        <v>0.214</v>
      </c>
      <c r="M102" s="46">
        <f t="shared" ref="M102:M107" si="19">J102*K102*L102/1000</f>
        <v>0.50161599999999995</v>
      </c>
      <c r="N102" s="72">
        <f>VLOOKUP($H:$H,型材表!$B$5:$I$448,7,0)</f>
        <v>0</v>
      </c>
      <c r="O102" s="46">
        <f t="shared" ref="O102:O107" si="20">N102*M102</f>
        <v>0</v>
      </c>
      <c r="P102" s="100">
        <f>VLOOKUP($H:$H,型材表!$B$5:$I$448,5,0)</f>
        <v>0.125</v>
      </c>
      <c r="Q102" s="100" t="str">
        <f>VLOOKUP($H:$H,型材表!$B$5:$I$448,6,0)</f>
        <v>非断桥隔热铝型材</v>
      </c>
      <c r="R102" s="49"/>
      <c r="S102" s="50"/>
      <c r="T102" s="459"/>
      <c r="U102" s="374" t="s">
        <v>1206</v>
      </c>
      <c r="V102" s="269">
        <f>71.5+56.5</f>
        <v>128</v>
      </c>
      <c r="X102" s="279">
        <f>71.5+56.5</f>
        <v>128</v>
      </c>
      <c r="Y102" s="265"/>
      <c r="Z102" s="279">
        <f>71.5+56.5</f>
        <v>128</v>
      </c>
      <c r="AA102" s="265"/>
      <c r="AB102" s="279">
        <f>71.5+56.5</f>
        <v>128</v>
      </c>
      <c r="AC102" s="265"/>
      <c r="AD102" s="279">
        <f>71.5+56.5</f>
        <v>128</v>
      </c>
      <c r="AE102" s="265"/>
      <c r="AF102" s="279">
        <f>75+60</f>
        <v>135</v>
      </c>
      <c r="AG102" s="265"/>
      <c r="AH102" s="279">
        <f>75+60</f>
        <v>135</v>
      </c>
      <c r="AI102" s="265"/>
      <c r="AJ102" s="279">
        <f>66+50.7</f>
        <v>116.7</v>
      </c>
      <c r="AK102" s="265"/>
    </row>
    <row r="103" spans="1:37" ht="13.5" customHeight="1" x14ac:dyDescent="0.15">
      <c r="A103" s="413">
        <v>12</v>
      </c>
      <c r="B103" s="534"/>
      <c r="C103" s="535"/>
      <c r="D103" s="535"/>
      <c r="E103" s="536"/>
      <c r="F103" s="47" t="str">
        <f>VLOOKUP($H:$H,型材表!$B$5:$I$448,2,0)</f>
        <v>压线</v>
      </c>
      <c r="G103" s="45" t="s">
        <v>39</v>
      </c>
      <c r="H103" s="207" t="str">
        <f>H102</f>
        <v>SN55Y001</v>
      </c>
      <c r="I103" s="207" t="s">
        <v>1194</v>
      </c>
      <c r="J103" s="214">
        <f>IF(G77=55,M82-V103,IF(G77=551,M82-X103,IF(G77=60,M82-Z103,IF(G77=601,M82-AB103,IF(G77=65,M82-AD103,IF(G77=70,M82-AF103,IF(G77=75,M82-AH103,IF(G77=50,M82-AJ103))))))))</f>
        <v>312.2</v>
      </c>
      <c r="K103" s="207">
        <v>2</v>
      </c>
      <c r="L103" s="47">
        <f>VLOOKUP($H:$H,型材表!$B$5:$I$448,4,0)</f>
        <v>0.214</v>
      </c>
      <c r="M103" s="46">
        <f t="shared" ref="M103:M104" si="21">J103*K103*L103/1000</f>
        <v>0.13362160000000001</v>
      </c>
      <c r="N103" s="72">
        <f>VLOOKUP($H:$H,型材表!$B$5:$I$448,7,0)</f>
        <v>0</v>
      </c>
      <c r="O103" s="46">
        <f t="shared" ref="O103:O104" si="22">N103*M103</f>
        <v>0</v>
      </c>
      <c r="P103" s="100">
        <f>VLOOKUP($H:$H,型材表!$B$5:$I$448,5,0)</f>
        <v>0.125</v>
      </c>
      <c r="Q103" s="100" t="str">
        <f>VLOOKUP($H:$H,型材表!$B$5:$I$448,6,0)</f>
        <v>非断桥隔热铝型材</v>
      </c>
      <c r="R103" s="210"/>
      <c r="S103" s="50"/>
      <c r="T103" s="459"/>
      <c r="U103" s="374" t="s">
        <v>1207</v>
      </c>
      <c r="V103" s="269">
        <f>36.4+51.4</f>
        <v>87.8</v>
      </c>
      <c r="X103" s="279">
        <f>36.4+51.4</f>
        <v>87.8</v>
      </c>
      <c r="Y103" s="265"/>
      <c r="Z103" s="279">
        <f>36.4+51.4</f>
        <v>87.8</v>
      </c>
      <c r="AA103" s="265"/>
      <c r="AB103" s="279">
        <f>36.4+51.4</f>
        <v>87.8</v>
      </c>
      <c r="AC103" s="265"/>
      <c r="AD103" s="279">
        <f>36.4+51.4</f>
        <v>87.8</v>
      </c>
      <c r="AE103" s="265"/>
      <c r="AF103" s="279">
        <f>38.4+53.4</f>
        <v>91.8</v>
      </c>
      <c r="AG103" s="265"/>
      <c r="AH103" s="279">
        <f>38.4+53.4</f>
        <v>91.8</v>
      </c>
      <c r="AI103" s="265"/>
      <c r="AJ103" s="279">
        <f>32.4+47.7</f>
        <v>80.099999999999994</v>
      </c>
      <c r="AK103" s="265"/>
    </row>
    <row r="104" spans="1:37" ht="13.5" customHeight="1" x14ac:dyDescent="0.15">
      <c r="A104" s="413">
        <v>13</v>
      </c>
      <c r="B104" s="534"/>
      <c r="C104" s="535"/>
      <c r="D104" s="535"/>
      <c r="E104" s="536"/>
      <c r="F104" s="47" t="str">
        <f>VLOOKUP($H:$H,型材表!$B$5:$I$448,2,0)</f>
        <v>压线</v>
      </c>
      <c r="G104" s="45" t="s">
        <v>40</v>
      </c>
      <c r="H104" s="207" t="str">
        <f t="shared" ref="H104:H105" si="23">H103</f>
        <v>SN55Y001</v>
      </c>
      <c r="I104" s="207" t="s">
        <v>1174</v>
      </c>
      <c r="J104" s="214">
        <f>IF(G77=55,M84-V104,IF(G77=551,M84-X104,IF(G77=60,M84-Z104,IF(G77=601,M84-AB104,IF(G77=65,M84-AD104,IF(G77=70,M84-AF104,IF(G77=75,M84-AH104,IF(G77=50,M84-AJ104))))))))</f>
        <v>357</v>
      </c>
      <c r="K104" s="45">
        <f>K99</f>
        <v>2</v>
      </c>
      <c r="L104" s="47">
        <f>VLOOKUP($H:$H,型材表!$B$5:$I$448,4,0)</f>
        <v>0.214</v>
      </c>
      <c r="M104" s="46">
        <f t="shared" si="21"/>
        <v>0.15279599999999999</v>
      </c>
      <c r="N104" s="72">
        <f>VLOOKUP($H:$H,型材表!$B$5:$I$448,7,0)</f>
        <v>0</v>
      </c>
      <c r="O104" s="46">
        <f t="shared" si="22"/>
        <v>0</v>
      </c>
      <c r="P104" s="100">
        <f>VLOOKUP($H:$H,型材表!$B$5:$I$448,5,0)</f>
        <v>0.125</v>
      </c>
      <c r="Q104" s="100" t="str">
        <f>VLOOKUP($H:$H,型材表!$B$5:$I$448,6,0)</f>
        <v>非断桥隔热铝型材</v>
      </c>
      <c r="R104" s="210"/>
      <c r="S104" s="50"/>
      <c r="T104" s="459"/>
      <c r="U104" s="374" t="s">
        <v>1208</v>
      </c>
      <c r="V104" s="259">
        <f>71.5*2</f>
        <v>143</v>
      </c>
      <c r="X104" s="286">
        <f>71.5*2</f>
        <v>143</v>
      </c>
      <c r="Y104" s="265"/>
      <c r="Z104" s="286">
        <f>71.5*2</f>
        <v>143</v>
      </c>
      <c r="AA104" s="265"/>
      <c r="AB104" s="286">
        <f>71.5*2</f>
        <v>143</v>
      </c>
      <c r="AC104" s="265"/>
      <c r="AD104" s="286">
        <f>71.5*2</f>
        <v>143</v>
      </c>
      <c r="AE104" s="265"/>
      <c r="AF104" s="264">
        <f>75*2</f>
        <v>150</v>
      </c>
      <c r="AG104" s="265"/>
      <c r="AH104" s="264">
        <f>75*2</f>
        <v>150</v>
      </c>
      <c r="AI104" s="265"/>
      <c r="AJ104" s="264">
        <f>66*2</f>
        <v>132</v>
      </c>
      <c r="AK104" s="265"/>
    </row>
    <row r="105" spans="1:37" x14ac:dyDescent="0.15">
      <c r="A105" s="413">
        <v>14</v>
      </c>
      <c r="B105" s="534"/>
      <c r="C105" s="535"/>
      <c r="D105" s="535"/>
      <c r="E105" s="536"/>
      <c r="F105" s="47" t="str">
        <f>VLOOKUP($H:$H,型材表!$B$5:$I$448,2,0)</f>
        <v>压线</v>
      </c>
      <c r="G105" s="45" t="s">
        <v>839</v>
      </c>
      <c r="H105" s="207" t="str">
        <f t="shared" si="23"/>
        <v>SN55Y001</v>
      </c>
      <c r="I105" s="207" t="s">
        <v>1015</v>
      </c>
      <c r="J105" s="214">
        <f>IF(G77=55,M84-V105,IF(G77=551,M84-X105,IF(G77=60,M84-Z105,IF(G77=601,M84-AB105,IF(G77=65,M84-AD105,IF(G77=70,M84-AF105,IF(G77=75,M84-AH105,IF(G77=50,M84-AJ105))))))))</f>
        <v>397.2</v>
      </c>
      <c r="K105" s="207">
        <v>2</v>
      </c>
      <c r="L105" s="47">
        <f>VLOOKUP($H:$H,型材表!$B$5:$I$448,4,0)</f>
        <v>0.214</v>
      </c>
      <c r="M105" s="46">
        <f t="shared" si="19"/>
        <v>0.1700016</v>
      </c>
      <c r="N105" s="72">
        <f>VLOOKUP($H:$H,型材表!$B$5:$I$448,7,0)</f>
        <v>0</v>
      </c>
      <c r="O105" s="46">
        <f t="shared" si="20"/>
        <v>0</v>
      </c>
      <c r="P105" s="100">
        <f>VLOOKUP($H:$H,型材表!$B$5:$I$448,5,0)</f>
        <v>0.125</v>
      </c>
      <c r="Q105" s="100" t="str">
        <f>VLOOKUP($H:$H,型材表!$B$5:$I$448,6,0)</f>
        <v>非断桥隔热铝型材</v>
      </c>
      <c r="R105" s="210"/>
      <c r="S105" s="50"/>
      <c r="T105" s="459"/>
      <c r="U105" s="374" t="s">
        <v>1209</v>
      </c>
      <c r="V105" s="259">
        <f>51.4*2</f>
        <v>102.8</v>
      </c>
      <c r="X105" s="286">
        <f>51.4*2</f>
        <v>102.8</v>
      </c>
      <c r="Y105" s="265"/>
      <c r="Z105" s="286">
        <f>51.4*2</f>
        <v>102.8</v>
      </c>
      <c r="AA105" s="265"/>
      <c r="AB105" s="286">
        <f>51.4*2</f>
        <v>102.8</v>
      </c>
      <c r="AC105" s="265"/>
      <c r="AD105" s="286">
        <f>51.4*2</f>
        <v>102.8</v>
      </c>
      <c r="AE105" s="265"/>
      <c r="AF105" s="264">
        <f>53.4*2</f>
        <v>106.8</v>
      </c>
      <c r="AG105" s="265"/>
      <c r="AH105" s="264">
        <f>53.4*2</f>
        <v>106.8</v>
      </c>
      <c r="AI105" s="265"/>
      <c r="AJ105" s="264">
        <f>47.7*2</f>
        <v>95.4</v>
      </c>
      <c r="AK105" s="265"/>
    </row>
    <row r="106" spans="1:37" x14ac:dyDescent="0.15">
      <c r="A106" s="413">
        <v>15</v>
      </c>
      <c r="B106" s="534"/>
      <c r="C106" s="535"/>
      <c r="D106" s="535"/>
      <c r="E106" s="536"/>
      <c r="F106" s="47" t="str">
        <f>VLOOKUP($H:$H,型材表!$B$5:$I$448,2,0)</f>
        <v>角码</v>
      </c>
      <c r="G106" s="213" t="s">
        <v>446</v>
      </c>
      <c r="H106" s="207" t="str">
        <f>IF(G77=70,"SN55F003",IF(G77=75,"SN55F003",IF(G77=50,"SW50F002","SW55F001")))</f>
        <v>SW55F001</v>
      </c>
      <c r="I106" s="207" t="s">
        <v>1175</v>
      </c>
      <c r="J106" s="214">
        <f>IF(G77=55,V106,IF(G77=551,X106,IF(G77=60,Z106,IF(G77=601,AB106,IF(G77=65,AD106,IF(G77=70,AF106,IF(G77=75,AH106,IF(G77=50,AJ106))))))))</f>
        <v>32.200000000000003</v>
      </c>
      <c r="K106" s="207">
        <v>4</v>
      </c>
      <c r="L106" s="47">
        <f>VLOOKUP($H:$H,型材表!$B$5:$I$448,4,0)</f>
        <v>2.0950000000000002</v>
      </c>
      <c r="M106" s="46">
        <f t="shared" si="19"/>
        <v>0.26983600000000008</v>
      </c>
      <c r="N106" s="72">
        <f>VLOOKUP($H:$H,型材表!$B$5:$I$448,7,0)</f>
        <v>0</v>
      </c>
      <c r="O106" s="46">
        <f t="shared" si="20"/>
        <v>0</v>
      </c>
      <c r="P106" s="100">
        <f>VLOOKUP($H:$H,型材表!$B$5:$I$448,5,0)</f>
        <v>0.125</v>
      </c>
      <c r="Q106" s="100" t="str">
        <f>VLOOKUP($H:$H,型材表!$B$5:$I$448,6,0)</f>
        <v>阳极氧化铝型材</v>
      </c>
      <c r="R106" s="210"/>
      <c r="S106" s="50"/>
      <c r="T106" s="459"/>
      <c r="U106" s="374" t="s">
        <v>1210</v>
      </c>
      <c r="V106" s="259">
        <f>19.5-1+14.7-1</f>
        <v>32.200000000000003</v>
      </c>
      <c r="X106" s="264">
        <f>19.5-1+10.9-1</f>
        <v>28.4</v>
      </c>
      <c r="Y106" s="265"/>
      <c r="Z106" s="264">
        <f>19.5-1+14.7-1</f>
        <v>32.200000000000003</v>
      </c>
      <c r="AA106" s="265"/>
      <c r="AB106" s="264">
        <f>19.5-1+10.9-1</f>
        <v>28.4</v>
      </c>
      <c r="AC106" s="265"/>
      <c r="AD106" s="264">
        <f>19.5-1+14.7-1</f>
        <v>32.200000000000003</v>
      </c>
      <c r="AE106" s="265"/>
      <c r="AF106" s="264">
        <f>19.5-1+14.7-1</f>
        <v>32.200000000000003</v>
      </c>
      <c r="AG106" s="265"/>
      <c r="AH106" s="264">
        <f>19.5-1+14.7-1</f>
        <v>32.200000000000003</v>
      </c>
      <c r="AI106" s="265"/>
      <c r="AJ106" s="264">
        <f>15-1</f>
        <v>14</v>
      </c>
      <c r="AK106" s="265"/>
    </row>
    <row r="107" spans="1:37" s="229" customFormat="1" x14ac:dyDescent="0.15">
      <c r="A107" s="413">
        <v>16</v>
      </c>
      <c r="B107" s="534"/>
      <c r="C107" s="535"/>
      <c r="D107" s="535"/>
      <c r="E107" s="536"/>
      <c r="F107" s="47" t="str">
        <f>VLOOKUP($H:$H,型材表!$B$5:$I$448,2,0)</f>
        <v>角码</v>
      </c>
      <c r="G107" s="230" t="s">
        <v>447</v>
      </c>
      <c r="H107" s="222" t="str">
        <f>IF(G77=70,"SW70F001",IF(G77=75,"SW70F001",IF(G77=50,"SW50F003","SN55MF004")))</f>
        <v>SN55MF004</v>
      </c>
      <c r="I107" s="207" t="s">
        <v>995</v>
      </c>
      <c r="J107" s="214">
        <f>IF(G77=55,V107,IF(G77=551,X107,IF(G77=60,Z107,IF(G77=601,AB107,IF(G77=65,AD107,IF(G77=70,AF107,IF(G77=75,AH107,IF(G77=50,AJ107))))))))</f>
        <v>30.2</v>
      </c>
      <c r="K107" s="207">
        <v>4</v>
      </c>
      <c r="L107" s="47">
        <f>VLOOKUP($H:$H,型材表!$B$5:$I$448,4,0)</f>
        <v>2.996</v>
      </c>
      <c r="M107" s="46">
        <f t="shared" si="19"/>
        <v>0.36191679999999998</v>
      </c>
      <c r="N107" s="72">
        <f>VLOOKUP($H:$H,型材表!$B$5:$I$448,7,0)</f>
        <v>0</v>
      </c>
      <c r="O107" s="46">
        <f t="shared" si="20"/>
        <v>0</v>
      </c>
      <c r="P107" s="100">
        <f>VLOOKUP($H:$H,型材表!$B$5:$I$448,5,0)</f>
        <v>0.125</v>
      </c>
      <c r="Q107" s="100" t="str">
        <f>VLOOKUP($H:$H,型材表!$B$5:$I$448,6,0)</f>
        <v>阳极氧化铝型材</v>
      </c>
      <c r="R107" s="227"/>
      <c r="S107" s="228"/>
      <c r="T107" s="467"/>
      <c r="U107" s="374" t="s">
        <v>995</v>
      </c>
      <c r="V107" s="266">
        <f>8-1+24.2-1</f>
        <v>30.2</v>
      </c>
      <c r="W107" s="266"/>
      <c r="X107" s="267">
        <f>4.2-1+24.2-1</f>
        <v>26.4</v>
      </c>
      <c r="Y107" s="268"/>
      <c r="Z107" s="267">
        <f>8-1+24.2-1</f>
        <v>30.2</v>
      </c>
      <c r="AA107" s="268"/>
      <c r="AB107" s="267">
        <f>4.2-1+24.2-1</f>
        <v>26.4</v>
      </c>
      <c r="AC107" s="268"/>
      <c r="AD107" s="267">
        <f>8-1+24.2-1</f>
        <v>30.2</v>
      </c>
      <c r="AE107" s="268"/>
      <c r="AF107" s="267">
        <f>7.3-1+24-1</f>
        <v>29.3</v>
      </c>
      <c r="AG107" s="268"/>
      <c r="AH107" s="267">
        <f>7.3-1+24-1</f>
        <v>29.3</v>
      </c>
      <c r="AI107" s="268"/>
      <c r="AJ107" s="267">
        <f>18.9-1</f>
        <v>17.899999999999999</v>
      </c>
      <c r="AK107" s="268"/>
    </row>
    <row r="108" spans="1:37" x14ac:dyDescent="0.15">
      <c r="A108" s="413">
        <v>17</v>
      </c>
      <c r="B108" s="534"/>
      <c r="C108" s="535"/>
      <c r="D108" s="535"/>
      <c r="E108" s="536"/>
      <c r="F108" s="47" t="str">
        <f>VLOOKUP($H:$H,型材表!$B$5:$I$448,2,0)</f>
        <v>中梃角码</v>
      </c>
      <c r="G108" s="51"/>
      <c r="H108" s="45" t="str">
        <f>IF(G77=50,"SW50F004","SN55F001")</f>
        <v>SN55F001</v>
      </c>
      <c r="I108" s="207" t="s">
        <v>1195</v>
      </c>
      <c r="J108" s="52">
        <f>IF(G77=55,V108,IF(G77=551,X108,IF(G77=60,Z108,IF(G77=601,AB108,IF(G77=65,AD108,IF(G77=70,AF108,IF(G77=75,AH108,IF(G77=50,AJ108))))))))</f>
        <v>18.5</v>
      </c>
      <c r="K108" s="45">
        <v>2</v>
      </c>
      <c r="L108" s="47">
        <f>VLOOKUP($H:$H,型材表!$B$5:$I$448,4,0)</f>
        <v>1.4730000000000001</v>
      </c>
      <c r="M108" s="46">
        <f t="shared" ref="M108" si="24">J108*K108*L108/1000</f>
        <v>5.4501000000000008E-2</v>
      </c>
      <c r="N108" s="72">
        <f>VLOOKUP($H:$H,型材表!$B$5:$I$448,7,0)</f>
        <v>0</v>
      </c>
      <c r="O108" s="46">
        <f t="shared" ref="O108" si="25">N108*M108</f>
        <v>0</v>
      </c>
      <c r="P108" s="100">
        <f>VLOOKUP($H:$H,型材表!$B$5:$I$448,5,0)</f>
        <v>0.125</v>
      </c>
      <c r="Q108" s="100" t="str">
        <f>VLOOKUP($H:$H,型材表!$B$5:$I$448,6,0)</f>
        <v>阳极氧化铝型材</v>
      </c>
      <c r="R108" s="49"/>
      <c r="S108" s="50"/>
      <c r="T108" s="459"/>
      <c r="U108" s="374" t="s">
        <v>1211</v>
      </c>
      <c r="V108" s="259">
        <f>19.5-1</f>
        <v>18.5</v>
      </c>
      <c r="X108" s="264">
        <f>19.5-1</f>
        <v>18.5</v>
      </c>
      <c r="Y108" s="265"/>
      <c r="Z108" s="286">
        <f>19.5-1</f>
        <v>18.5</v>
      </c>
      <c r="AA108" s="265"/>
      <c r="AB108" s="264">
        <f>19.5-1</f>
        <v>18.5</v>
      </c>
      <c r="AC108" s="265"/>
      <c r="AD108" s="286">
        <f>19.5-1</f>
        <v>18.5</v>
      </c>
      <c r="AE108" s="265"/>
      <c r="AF108" s="286">
        <f>19.5-1</f>
        <v>18.5</v>
      </c>
      <c r="AG108" s="265"/>
      <c r="AH108" s="286">
        <f>19.5-1</f>
        <v>18.5</v>
      </c>
      <c r="AI108" s="265"/>
      <c r="AJ108" s="264">
        <f>13.2-1</f>
        <v>12.2</v>
      </c>
      <c r="AK108" s="265"/>
    </row>
    <row r="109" spans="1:37" x14ac:dyDescent="0.15">
      <c r="A109" s="413">
        <v>18</v>
      </c>
      <c r="B109" s="534"/>
      <c r="C109" s="535"/>
      <c r="D109" s="535"/>
      <c r="E109" s="536"/>
      <c r="F109" s="47" t="str">
        <f>VLOOKUP($H:$H,型材表!$B$5:$I$448,2,0)</f>
        <v>中梃角码</v>
      </c>
      <c r="G109" s="213"/>
      <c r="H109" s="207" t="str">
        <f>IF(G77=501,"SN55BF001",IF(G77=601,"SN55BF001",IF(G77=70,"SN70F001",IF(G77=75,"SN70F001","SN55F002"))))</f>
        <v>SN55F002</v>
      </c>
      <c r="I109" s="207" t="s">
        <v>1196</v>
      </c>
      <c r="J109" s="214">
        <f>IF(G77=55,V109,IF(G77=551,X109,IF(G77=60,Z109,IF(G77=601,AB109,IF(G77=65,AD109,IF(G77=70,AF109,IF(G77=75,AH109,IF(G77=50,AJ109))))))))</f>
        <v>13.5</v>
      </c>
      <c r="K109" s="207">
        <v>2</v>
      </c>
      <c r="L109" s="47">
        <f>VLOOKUP($H:$H,型材表!$B$5:$I$448,4,0)</f>
        <v>0.90400000000000003</v>
      </c>
      <c r="M109" s="46">
        <f t="shared" ref="M109" si="26">J109*K109*L109/1000</f>
        <v>2.4408000000000003E-2</v>
      </c>
      <c r="N109" s="72">
        <f>VLOOKUP($H:$H,型材表!$B$5:$I$448,7,0)</f>
        <v>0</v>
      </c>
      <c r="O109" s="46">
        <f t="shared" ref="O109" si="27">N109*M109</f>
        <v>0</v>
      </c>
      <c r="P109" s="100">
        <f>VLOOKUP($H:$H,型材表!$B$5:$I$448,5,0)</f>
        <v>0.125</v>
      </c>
      <c r="Q109" s="100" t="str">
        <f>VLOOKUP($H:$H,型材表!$B$5:$I$448,6,0)</f>
        <v>阳极氧化铝型材</v>
      </c>
      <c r="R109" s="210"/>
      <c r="S109" s="50"/>
      <c r="T109" s="459"/>
      <c r="U109" s="374" t="s">
        <v>1212</v>
      </c>
      <c r="V109" s="259">
        <f>14.5-1</f>
        <v>13.5</v>
      </c>
      <c r="X109" s="264">
        <f>10.7-1</f>
        <v>9.6999999999999993</v>
      </c>
      <c r="Y109" s="265"/>
      <c r="Z109" s="286">
        <f>14.5-1</f>
        <v>13.5</v>
      </c>
      <c r="AA109" s="265"/>
      <c r="AB109" s="264">
        <f>10.7-1</f>
        <v>9.6999999999999993</v>
      </c>
      <c r="AC109" s="265"/>
      <c r="AD109" s="286">
        <f>14.5-1</f>
        <v>13.5</v>
      </c>
      <c r="AE109" s="265"/>
      <c r="AF109" s="286">
        <f>14.5-1</f>
        <v>13.5</v>
      </c>
      <c r="AG109" s="265"/>
      <c r="AH109" s="286">
        <f>14.5-1</f>
        <v>13.5</v>
      </c>
      <c r="AI109" s="265"/>
      <c r="AJ109" s="264"/>
      <c r="AK109" s="265"/>
    </row>
    <row r="110" spans="1:37" x14ac:dyDescent="0.15">
      <c r="A110" s="413">
        <v>19</v>
      </c>
      <c r="B110" s="534"/>
      <c r="C110" s="535"/>
      <c r="D110" s="535"/>
      <c r="E110" s="536"/>
      <c r="F110" s="306"/>
      <c r="G110" s="213"/>
      <c r="H110" s="207"/>
      <c r="I110" s="207"/>
      <c r="J110" s="214"/>
      <c r="K110" s="207"/>
      <c r="L110" s="306"/>
      <c r="M110" s="208"/>
      <c r="N110" s="209"/>
      <c r="O110" s="208"/>
      <c r="P110" s="307"/>
      <c r="Q110" s="100"/>
      <c r="R110" s="210"/>
      <c r="S110" s="50"/>
      <c r="T110" s="459"/>
      <c r="X110" s="264"/>
      <c r="Y110" s="265"/>
      <c r="Z110" s="264"/>
      <c r="AA110" s="265"/>
      <c r="AB110" s="264"/>
      <c r="AC110" s="265"/>
      <c r="AD110" s="264"/>
      <c r="AE110" s="265"/>
      <c r="AF110" s="264"/>
      <c r="AG110" s="265"/>
      <c r="AH110" s="264"/>
      <c r="AI110" s="265"/>
      <c r="AJ110" s="264"/>
      <c r="AK110" s="265"/>
    </row>
    <row r="111" spans="1:37" x14ac:dyDescent="0.15">
      <c r="A111" s="413">
        <v>20</v>
      </c>
      <c r="B111" s="534"/>
      <c r="C111" s="535"/>
      <c r="D111" s="535"/>
      <c r="E111" s="536"/>
      <c r="F111" s="306"/>
      <c r="G111" s="213"/>
      <c r="H111" s="207"/>
      <c r="I111" s="207"/>
      <c r="J111" s="214"/>
      <c r="K111" s="207"/>
      <c r="L111" s="306"/>
      <c r="M111" s="208"/>
      <c r="N111" s="209"/>
      <c r="O111" s="208"/>
      <c r="P111" s="307"/>
      <c r="Q111" s="100"/>
      <c r="R111" s="210"/>
      <c r="S111" s="50"/>
      <c r="T111" s="459"/>
      <c r="X111" s="264"/>
      <c r="Y111" s="265"/>
      <c r="Z111" s="264"/>
      <c r="AA111" s="265"/>
      <c r="AB111" s="264"/>
      <c r="AC111" s="265"/>
      <c r="AD111" s="264"/>
      <c r="AE111" s="265"/>
      <c r="AF111" s="264"/>
      <c r="AG111" s="265"/>
      <c r="AH111" s="264"/>
      <c r="AI111" s="265"/>
      <c r="AJ111" s="264"/>
      <c r="AK111" s="265"/>
    </row>
    <row r="112" spans="1:37" x14ac:dyDescent="0.15">
      <c r="A112" s="413">
        <v>21</v>
      </c>
      <c r="B112" s="534"/>
      <c r="C112" s="535"/>
      <c r="D112" s="535"/>
      <c r="E112" s="536"/>
      <c r="F112" s="306"/>
      <c r="G112" s="213"/>
      <c r="H112" s="207"/>
      <c r="I112" s="207"/>
      <c r="J112" s="214"/>
      <c r="K112" s="207"/>
      <c r="L112" s="306"/>
      <c r="M112" s="208"/>
      <c r="N112" s="209"/>
      <c r="O112" s="208"/>
      <c r="P112" s="307"/>
      <c r="Q112" s="100"/>
      <c r="R112" s="210"/>
      <c r="S112" s="50"/>
      <c r="T112" s="459"/>
      <c r="X112" s="264"/>
      <c r="Y112" s="265"/>
      <c r="Z112" s="264"/>
      <c r="AA112" s="265"/>
      <c r="AB112" s="264"/>
      <c r="AC112" s="265"/>
      <c r="AD112" s="264"/>
      <c r="AE112" s="265"/>
      <c r="AF112" s="264"/>
      <c r="AG112" s="265"/>
      <c r="AH112" s="264"/>
      <c r="AI112" s="265"/>
      <c r="AJ112" s="264"/>
      <c r="AK112" s="265"/>
    </row>
    <row r="113" spans="1:37" x14ac:dyDescent="0.15">
      <c r="A113" s="413">
        <v>22</v>
      </c>
      <c r="B113" s="534"/>
      <c r="C113" s="535"/>
      <c r="D113" s="535"/>
      <c r="E113" s="536"/>
      <c r="F113" s="306"/>
      <c r="G113" s="213"/>
      <c r="H113" s="207"/>
      <c r="I113" s="207"/>
      <c r="J113" s="214"/>
      <c r="K113" s="207"/>
      <c r="L113" s="306"/>
      <c r="M113" s="208"/>
      <c r="N113" s="209"/>
      <c r="O113" s="208"/>
      <c r="P113" s="307"/>
      <c r="Q113" s="307"/>
      <c r="R113" s="210"/>
      <c r="S113" s="50"/>
      <c r="T113" s="459"/>
      <c r="X113" s="264"/>
      <c r="Y113" s="265"/>
      <c r="Z113" s="264"/>
      <c r="AA113" s="265"/>
      <c r="AB113" s="264"/>
      <c r="AC113" s="265"/>
      <c r="AD113" s="264"/>
      <c r="AE113" s="265"/>
      <c r="AF113" s="264"/>
      <c r="AG113" s="265"/>
      <c r="AH113" s="264"/>
      <c r="AI113" s="265"/>
      <c r="AJ113" s="264"/>
      <c r="AK113" s="265"/>
    </row>
    <row r="114" spans="1:37" x14ac:dyDescent="0.15">
      <c r="A114" s="413">
        <v>23</v>
      </c>
      <c r="B114" s="534"/>
      <c r="C114" s="535"/>
      <c r="D114" s="535"/>
      <c r="E114" s="536"/>
      <c r="F114" s="306"/>
      <c r="G114" s="213"/>
      <c r="H114" s="207"/>
      <c r="I114" s="207"/>
      <c r="J114" s="214"/>
      <c r="K114" s="207"/>
      <c r="L114" s="306"/>
      <c r="M114" s="208"/>
      <c r="N114" s="209"/>
      <c r="O114" s="208"/>
      <c r="P114" s="307"/>
      <c r="Q114" s="307"/>
      <c r="R114" s="210"/>
      <c r="S114" s="50"/>
      <c r="T114" s="459"/>
      <c r="X114" s="264"/>
      <c r="Y114" s="265"/>
      <c r="Z114" s="264"/>
      <c r="AA114" s="265"/>
      <c r="AB114" s="264"/>
      <c r="AC114" s="265"/>
      <c r="AD114" s="264"/>
      <c r="AE114" s="265"/>
      <c r="AF114" s="264"/>
      <c r="AG114" s="265"/>
      <c r="AH114" s="264"/>
      <c r="AI114" s="265"/>
      <c r="AJ114" s="264"/>
      <c r="AK114" s="265"/>
    </row>
    <row r="115" spans="1:37" x14ac:dyDescent="0.15">
      <c r="A115" s="413">
        <v>24</v>
      </c>
      <c r="B115" s="534"/>
      <c r="C115" s="535"/>
      <c r="D115" s="535"/>
      <c r="E115" s="536"/>
      <c r="F115" s="306"/>
      <c r="G115" s="213"/>
      <c r="H115" s="207"/>
      <c r="I115" s="207"/>
      <c r="J115" s="214"/>
      <c r="K115" s="207"/>
      <c r="L115" s="306"/>
      <c r="M115" s="208"/>
      <c r="N115" s="209"/>
      <c r="O115" s="208"/>
      <c r="P115" s="307"/>
      <c r="Q115" s="307"/>
      <c r="R115" s="210"/>
      <c r="S115" s="50"/>
      <c r="T115" s="459"/>
      <c r="X115" s="264"/>
      <c r="Y115" s="265"/>
      <c r="Z115" s="264"/>
      <c r="AA115" s="265"/>
      <c r="AB115" s="264"/>
      <c r="AC115" s="265"/>
      <c r="AD115" s="264"/>
      <c r="AE115" s="265"/>
      <c r="AF115" s="264"/>
      <c r="AG115" s="265"/>
      <c r="AH115" s="264"/>
      <c r="AI115" s="265"/>
      <c r="AJ115" s="264"/>
      <c r="AK115" s="265"/>
    </row>
    <row r="116" spans="1:37" x14ac:dyDescent="0.15">
      <c r="A116" s="413">
        <v>25</v>
      </c>
      <c r="B116" s="534"/>
      <c r="C116" s="535"/>
      <c r="D116" s="535"/>
      <c r="E116" s="536"/>
      <c r="F116" s="306"/>
      <c r="G116" s="213"/>
      <c r="H116" s="207"/>
      <c r="I116" s="207"/>
      <c r="J116" s="214"/>
      <c r="K116" s="207"/>
      <c r="L116" s="306"/>
      <c r="M116" s="208"/>
      <c r="N116" s="209"/>
      <c r="O116" s="208"/>
      <c r="P116" s="307"/>
      <c r="Q116" s="307"/>
      <c r="R116" s="210"/>
      <c r="S116" s="50"/>
      <c r="T116" s="459"/>
      <c r="X116" s="264"/>
      <c r="Y116" s="265"/>
      <c r="Z116" s="264"/>
      <c r="AA116" s="265"/>
      <c r="AB116" s="264"/>
      <c r="AC116" s="265"/>
      <c r="AD116" s="264"/>
      <c r="AE116" s="265"/>
      <c r="AF116" s="264"/>
      <c r="AG116" s="265"/>
      <c r="AH116" s="264"/>
      <c r="AI116" s="265"/>
      <c r="AJ116" s="264"/>
      <c r="AK116" s="265"/>
    </row>
    <row r="117" spans="1:37" x14ac:dyDescent="0.15">
      <c r="A117" s="413">
        <v>26</v>
      </c>
      <c r="B117" s="534"/>
      <c r="C117" s="535"/>
      <c r="D117" s="535"/>
      <c r="E117" s="536"/>
      <c r="F117" s="47"/>
      <c r="G117" s="213"/>
      <c r="H117" s="207"/>
      <c r="I117" s="207"/>
      <c r="J117" s="214"/>
      <c r="K117" s="207"/>
      <c r="L117" s="47"/>
      <c r="M117" s="46"/>
      <c r="N117" s="72"/>
      <c r="O117" s="46"/>
      <c r="P117" s="100"/>
      <c r="Q117" s="100"/>
      <c r="R117" s="210"/>
      <c r="S117" s="50"/>
      <c r="T117" s="459"/>
      <c r="X117" s="264"/>
      <c r="Y117" s="265"/>
      <c r="Z117" s="264"/>
      <c r="AA117" s="265"/>
      <c r="AB117" s="264"/>
      <c r="AC117" s="265"/>
      <c r="AD117" s="264"/>
      <c r="AE117" s="265"/>
      <c r="AF117" s="264"/>
      <c r="AG117" s="265"/>
      <c r="AH117" s="264"/>
      <c r="AI117" s="265"/>
      <c r="AJ117" s="264"/>
      <c r="AK117" s="265"/>
    </row>
    <row r="118" spans="1:37" s="229" customFormat="1" x14ac:dyDescent="0.15">
      <c r="A118" s="413">
        <v>27</v>
      </c>
      <c r="B118" s="537"/>
      <c r="C118" s="538"/>
      <c r="D118" s="538"/>
      <c r="E118" s="539"/>
      <c r="F118" s="221"/>
      <c r="G118" s="232"/>
      <c r="H118" s="233"/>
      <c r="I118" s="222"/>
      <c r="J118" s="234"/>
      <c r="K118" s="233"/>
      <c r="L118" s="221"/>
      <c r="M118" s="224"/>
      <c r="N118" s="225"/>
      <c r="O118" s="224"/>
      <c r="P118" s="226"/>
      <c r="Q118" s="226"/>
      <c r="R118" s="235"/>
      <c r="S118" s="228"/>
      <c r="T118" s="467"/>
      <c r="U118" s="375"/>
      <c r="V118" s="266"/>
      <c r="W118" s="266"/>
      <c r="X118" s="267"/>
      <c r="Y118" s="268"/>
      <c r="Z118" s="267"/>
      <c r="AA118" s="268"/>
      <c r="AB118" s="267"/>
      <c r="AC118" s="268"/>
      <c r="AD118" s="267"/>
      <c r="AE118" s="268"/>
      <c r="AF118" s="267"/>
      <c r="AG118" s="268"/>
      <c r="AH118" s="267"/>
      <c r="AI118" s="268"/>
      <c r="AJ118" s="267"/>
      <c r="AK118" s="268"/>
    </row>
    <row r="119" spans="1:37" s="229" customFormat="1" ht="13.5" customHeight="1" x14ac:dyDescent="0.15">
      <c r="A119" s="542" t="s">
        <v>975</v>
      </c>
      <c r="B119" s="543"/>
      <c r="C119" s="543"/>
      <c r="D119" s="543"/>
      <c r="E119" s="543"/>
      <c r="F119" s="543"/>
      <c r="G119" s="543"/>
      <c r="H119" s="543"/>
      <c r="I119" s="543"/>
      <c r="J119" s="543"/>
      <c r="K119" s="543"/>
      <c r="L119" s="544"/>
      <c r="M119" s="224">
        <f>SUMIF($Q$92:$Q$118,A119,$M$92:$M$118)</f>
        <v>11.2707468</v>
      </c>
      <c r="N119" s="353"/>
      <c r="O119" s="224"/>
      <c r="P119" s="354"/>
      <c r="Q119" s="355"/>
      <c r="R119" s="296"/>
      <c r="S119" s="228"/>
      <c r="T119" s="467"/>
      <c r="U119" s="375"/>
      <c r="V119" s="266"/>
      <c r="W119" s="266"/>
      <c r="X119" s="267"/>
      <c r="Y119" s="268"/>
      <c r="Z119" s="267"/>
      <c r="AA119" s="268"/>
      <c r="AB119" s="267"/>
      <c r="AC119" s="268"/>
      <c r="AD119" s="267"/>
      <c r="AE119" s="268"/>
      <c r="AF119" s="267"/>
      <c r="AG119" s="268"/>
      <c r="AH119" s="267"/>
      <c r="AI119" s="268"/>
      <c r="AJ119" s="267"/>
      <c r="AK119" s="268"/>
    </row>
    <row r="120" spans="1:37" s="229" customFormat="1" ht="13.5" customHeight="1" x14ac:dyDescent="0.15">
      <c r="A120" s="542" t="s">
        <v>976</v>
      </c>
      <c r="B120" s="543"/>
      <c r="C120" s="543"/>
      <c r="D120" s="543"/>
      <c r="E120" s="543"/>
      <c r="F120" s="543"/>
      <c r="G120" s="543"/>
      <c r="H120" s="543"/>
      <c r="I120" s="543"/>
      <c r="J120" s="543"/>
      <c r="K120" s="543"/>
      <c r="L120" s="544"/>
      <c r="M120" s="224">
        <f>SUMIF($Q$92:$Q$118,A120,$M$92:$M$118)</f>
        <v>0.95803519999999986</v>
      </c>
      <c r="N120" s="353"/>
      <c r="O120" s="224"/>
      <c r="P120" s="354"/>
      <c r="Q120" s="355"/>
      <c r="R120" s="296"/>
      <c r="S120" s="228"/>
      <c r="T120" s="467"/>
      <c r="U120" s="375"/>
      <c r="V120" s="266"/>
      <c r="W120" s="266"/>
      <c r="X120" s="267"/>
      <c r="Y120" s="268"/>
      <c r="Z120" s="267"/>
      <c r="AA120" s="268"/>
      <c r="AB120" s="267"/>
      <c r="AC120" s="268"/>
      <c r="AD120" s="267"/>
      <c r="AE120" s="268"/>
      <c r="AF120" s="267"/>
      <c r="AG120" s="268"/>
      <c r="AH120" s="267"/>
      <c r="AI120" s="268"/>
      <c r="AJ120" s="267"/>
      <c r="AK120" s="268"/>
    </row>
    <row r="121" spans="1:37" s="229" customFormat="1" ht="13.5" customHeight="1" x14ac:dyDescent="0.15">
      <c r="A121" s="542" t="s">
        <v>977</v>
      </c>
      <c r="B121" s="543"/>
      <c r="C121" s="543"/>
      <c r="D121" s="543"/>
      <c r="E121" s="543"/>
      <c r="F121" s="543"/>
      <c r="G121" s="543"/>
      <c r="H121" s="543"/>
      <c r="I121" s="543"/>
      <c r="J121" s="543"/>
      <c r="K121" s="543"/>
      <c r="L121" s="544"/>
      <c r="M121" s="224">
        <f>SUMIF($Q$92:$Q$118,A121,$M$92:$M$118)</f>
        <v>0.71066180000000012</v>
      </c>
      <c r="N121" s="353"/>
      <c r="O121" s="224"/>
      <c r="P121" s="354"/>
      <c r="Q121" s="355"/>
      <c r="R121" s="296"/>
      <c r="S121" s="228"/>
      <c r="T121" s="467"/>
      <c r="U121" s="375"/>
      <c r="V121" s="266"/>
      <c r="W121" s="266"/>
      <c r="X121" s="267"/>
      <c r="Y121" s="268"/>
      <c r="Z121" s="267"/>
      <c r="AA121" s="268"/>
      <c r="AB121" s="267"/>
      <c r="AC121" s="268"/>
      <c r="AD121" s="267"/>
      <c r="AE121" s="268"/>
      <c r="AF121" s="267"/>
      <c r="AG121" s="268"/>
      <c r="AH121" s="267"/>
      <c r="AI121" s="268"/>
      <c r="AJ121" s="267"/>
      <c r="AK121" s="268"/>
    </row>
    <row r="122" spans="1:37" x14ac:dyDescent="0.15">
      <c r="A122" s="552"/>
      <c r="B122" s="557"/>
      <c r="C122" s="557"/>
      <c r="D122" s="553"/>
      <c r="E122" s="552" t="s">
        <v>48</v>
      </c>
      <c r="F122" s="557"/>
      <c r="G122" s="557"/>
      <c r="H122" s="557"/>
      <c r="I122" s="557"/>
      <c r="J122" s="557"/>
      <c r="K122" s="553"/>
      <c r="L122" s="62"/>
      <c r="M122" s="62">
        <f>SUM(M119:M121)</f>
        <v>12.939443799999999</v>
      </c>
      <c r="N122" s="63"/>
      <c r="O122" s="62">
        <f>SUM(O92:O118)</f>
        <v>0</v>
      </c>
      <c r="P122" s="63"/>
      <c r="Q122" s="337"/>
      <c r="R122" s="64"/>
      <c r="S122" s="64"/>
      <c r="T122" s="460"/>
      <c r="X122" s="264"/>
      <c r="Y122" s="265"/>
      <c r="Z122" s="264"/>
      <c r="AA122" s="265"/>
      <c r="AB122" s="264"/>
      <c r="AC122" s="265"/>
      <c r="AD122" s="264"/>
      <c r="AE122" s="265"/>
      <c r="AF122" s="264"/>
      <c r="AG122" s="265"/>
      <c r="AH122" s="264"/>
      <c r="AI122" s="265"/>
      <c r="AJ122" s="264"/>
      <c r="AK122" s="265"/>
    </row>
    <row r="123" spans="1:37" ht="24" x14ac:dyDescent="0.15">
      <c r="A123" s="65"/>
      <c r="B123" s="560" t="s">
        <v>49</v>
      </c>
      <c r="C123" s="561"/>
      <c r="D123" s="561"/>
      <c r="E123" s="562"/>
      <c r="F123" s="565" t="s">
        <v>26</v>
      </c>
      <c r="G123" s="566"/>
      <c r="H123" s="66" t="s">
        <v>1167</v>
      </c>
      <c r="I123" s="351" t="s">
        <v>1168</v>
      </c>
      <c r="J123" s="66" t="s">
        <v>50</v>
      </c>
      <c r="K123" s="66" t="s">
        <v>51</v>
      </c>
      <c r="L123" s="67" t="s">
        <v>30</v>
      </c>
      <c r="M123" s="66" t="s">
        <v>52</v>
      </c>
      <c r="N123" s="68" t="s">
        <v>53</v>
      </c>
      <c r="O123" s="68" t="s">
        <v>34</v>
      </c>
      <c r="P123" s="69" t="s">
        <v>35</v>
      </c>
      <c r="Q123" s="42"/>
      <c r="R123" s="67"/>
      <c r="S123" s="67"/>
      <c r="T123" s="461"/>
      <c r="V123" s="270" t="s">
        <v>352</v>
      </c>
      <c r="W123" s="270" t="s">
        <v>353</v>
      </c>
      <c r="X123" s="271" t="s">
        <v>352</v>
      </c>
      <c r="Y123" s="272" t="s">
        <v>353</v>
      </c>
      <c r="Z123" s="271" t="s">
        <v>352</v>
      </c>
      <c r="AA123" s="272" t="s">
        <v>353</v>
      </c>
      <c r="AB123" s="271" t="s">
        <v>352</v>
      </c>
      <c r="AC123" s="272" t="s">
        <v>353</v>
      </c>
      <c r="AD123" s="271" t="s">
        <v>352</v>
      </c>
      <c r="AE123" s="272" t="s">
        <v>353</v>
      </c>
      <c r="AF123" s="271" t="s">
        <v>352</v>
      </c>
      <c r="AG123" s="272" t="s">
        <v>353</v>
      </c>
      <c r="AH123" s="271" t="s">
        <v>352</v>
      </c>
      <c r="AI123" s="272" t="s">
        <v>353</v>
      </c>
      <c r="AJ123" s="271" t="s">
        <v>352</v>
      </c>
      <c r="AK123" s="272" t="s">
        <v>353</v>
      </c>
    </row>
    <row r="124" spans="1:37" x14ac:dyDescent="0.15">
      <c r="A124" s="200">
        <v>1</v>
      </c>
      <c r="B124" s="542" t="s">
        <v>823</v>
      </c>
      <c r="C124" s="543"/>
      <c r="D124" s="543"/>
      <c r="E124" s="544"/>
      <c r="F124" s="545" t="s">
        <v>55</v>
      </c>
      <c r="G124" s="547"/>
      <c r="H124" s="45" t="s">
        <v>1181</v>
      </c>
      <c r="I124" s="207" t="s">
        <v>1198</v>
      </c>
      <c r="J124" s="46">
        <f>IF(G77=55,M84-V124,IF(G77=551,M84-X124,IF(G77=60,M84-Z124,IF(G77=601,M84-AB124,IF(G77=65,M84-AD124,IF(G77=70,M84-AF124,IF(G77=75,M84-AH124,IF(G77=50,M84-AJ124))))))))</f>
        <v>333</v>
      </c>
      <c r="K124" s="70">
        <f>IF(G77=55,M81-W124,IF(G77=551,M81-Y124,IF(G77=60,M81-AA124,IF(G77=601,M81-AC124,IF(G77=65,M81-AE124,IF(G77=70,M81-AG124,IF(G77=75,M81-AI124,IF(G77=50,M81-AK124))))))))</f>
        <v>1148</v>
      </c>
      <c r="L124" s="70">
        <v>1</v>
      </c>
      <c r="M124" s="46">
        <f>J124*K124*L124/1000000</f>
        <v>0.38228400000000001</v>
      </c>
      <c r="N124" s="46"/>
      <c r="O124" s="46">
        <f>N124*M124</f>
        <v>0</v>
      </c>
      <c r="P124" s="71"/>
      <c r="Q124" s="71"/>
      <c r="R124" s="72"/>
      <c r="S124" s="72"/>
      <c r="T124" s="462" t="s">
        <v>1616</v>
      </c>
      <c r="U124" s="374" t="s">
        <v>1619</v>
      </c>
      <c r="V124" s="259">
        <f>83.5*2</f>
        <v>167</v>
      </c>
      <c r="W124" s="259">
        <f>83.5+68.5</f>
        <v>152</v>
      </c>
      <c r="X124" s="286">
        <f>83.5*2</f>
        <v>167</v>
      </c>
      <c r="Y124" s="259">
        <f>83.5+68.5</f>
        <v>152</v>
      </c>
      <c r="Z124" s="286">
        <f>83.5*2</f>
        <v>167</v>
      </c>
      <c r="AA124" s="259">
        <f>83.5+68.5</f>
        <v>152</v>
      </c>
      <c r="AB124" s="286">
        <f>83.5*2</f>
        <v>167</v>
      </c>
      <c r="AC124" s="259">
        <f>83.5+68.5</f>
        <v>152</v>
      </c>
      <c r="AD124" s="286">
        <f>83.5*2</f>
        <v>167</v>
      </c>
      <c r="AE124" s="259">
        <f>83.5+68.5</f>
        <v>152</v>
      </c>
      <c r="AF124" s="286">
        <f>87*2</f>
        <v>174</v>
      </c>
      <c r="AG124" s="304">
        <f>87+72</f>
        <v>159</v>
      </c>
      <c r="AH124" s="286">
        <f>87*2</f>
        <v>174</v>
      </c>
      <c r="AI124" s="304">
        <f>87+72</f>
        <v>159</v>
      </c>
      <c r="AJ124" s="264">
        <f>74*2</f>
        <v>148</v>
      </c>
      <c r="AK124" s="265">
        <f>74+58.7</f>
        <v>132.69999999999999</v>
      </c>
    </row>
    <row r="125" spans="1:37" x14ac:dyDescent="0.15">
      <c r="A125" s="238">
        <v>2</v>
      </c>
      <c r="B125" s="542" t="s">
        <v>827</v>
      </c>
      <c r="C125" s="543"/>
      <c r="D125" s="543"/>
      <c r="E125" s="544"/>
      <c r="F125" s="545" t="s">
        <v>135</v>
      </c>
      <c r="G125" s="547"/>
      <c r="H125" s="207" t="s">
        <v>1197</v>
      </c>
      <c r="I125" s="207" t="s">
        <v>1199</v>
      </c>
      <c r="J125" s="208">
        <f>IF(G77=55,M84-V125,IF(G77=551,M84-X125,IF(G77=60,M84-Z125,IF(G77=601,M84-AB125,IF(G77=65,M84-AD125,IF(G77=70,M84-AF125,IF(G77=75,M84-AH125,IF(G77=50,M84-AJ125))))))))</f>
        <v>377.2</v>
      </c>
      <c r="K125" s="239">
        <f>IF(G77=55,M82-W125,IF(G77=551,M82-Y125,IF(G77=60,M82-AA125,IF(G77=601,M82-AC125,IF(G77=65,M82-AE125,IF(G77=70,M82-AG125,IF(G77=75,M82-AI125,IF(G77=50,M82-AK125))))))))</f>
        <v>290.2</v>
      </c>
      <c r="L125" s="239">
        <v>1</v>
      </c>
      <c r="M125" s="46">
        <f>J125*K125*L125/1000000</f>
        <v>0.10946343999999998</v>
      </c>
      <c r="N125" s="208"/>
      <c r="O125" s="46">
        <f>N125*M125</f>
        <v>0</v>
      </c>
      <c r="P125" s="240"/>
      <c r="Q125" s="71"/>
      <c r="R125" s="209"/>
      <c r="S125" s="209"/>
      <c r="T125" s="462" t="s">
        <v>1618</v>
      </c>
      <c r="U125" s="374" t="s">
        <v>1620</v>
      </c>
      <c r="V125" s="259">
        <f>61.4*2</f>
        <v>122.8</v>
      </c>
      <c r="W125" s="259">
        <f>48.4+61.4</f>
        <v>109.8</v>
      </c>
      <c r="X125" s="286">
        <f>61.4*2</f>
        <v>122.8</v>
      </c>
      <c r="Y125" s="259">
        <f>48.4+61.4</f>
        <v>109.8</v>
      </c>
      <c r="Z125" s="286">
        <f>61.4*2</f>
        <v>122.8</v>
      </c>
      <c r="AA125" s="259">
        <f>48.4+61.4</f>
        <v>109.8</v>
      </c>
      <c r="AB125" s="286">
        <f>61.4*2</f>
        <v>122.8</v>
      </c>
      <c r="AC125" s="259">
        <f>48.4+61.4</f>
        <v>109.8</v>
      </c>
      <c r="AD125" s="286">
        <f>61.4*2</f>
        <v>122.8</v>
      </c>
      <c r="AE125" s="259">
        <f>48.4+61.4</f>
        <v>109.8</v>
      </c>
      <c r="AF125" s="494">
        <f>65.4*2</f>
        <v>130.80000000000001</v>
      </c>
      <c r="AG125" s="495">
        <f>50.4+65.4</f>
        <v>115.80000000000001</v>
      </c>
      <c r="AH125" s="494">
        <f>65.4*2</f>
        <v>130.80000000000001</v>
      </c>
      <c r="AI125" s="495">
        <f>50.4+65.4</f>
        <v>115.80000000000001</v>
      </c>
      <c r="AJ125" s="264">
        <f>55.7*2</f>
        <v>111.4</v>
      </c>
      <c r="AK125" s="265">
        <f>40.4+55.7</f>
        <v>96.1</v>
      </c>
    </row>
    <row r="126" spans="1:37" x14ac:dyDescent="0.15">
      <c r="A126" s="414"/>
      <c r="B126" s="446"/>
      <c r="C126" s="447"/>
      <c r="D126" s="447"/>
      <c r="E126" s="448"/>
      <c r="F126" s="434"/>
      <c r="G126" s="436"/>
      <c r="H126" s="207"/>
      <c r="I126" s="207"/>
      <c r="J126" s="208"/>
      <c r="K126" s="239"/>
      <c r="L126" s="239"/>
      <c r="M126" s="208"/>
      <c r="N126" s="208"/>
      <c r="O126" s="208"/>
      <c r="P126" s="240"/>
      <c r="Q126" s="240"/>
      <c r="R126" s="209"/>
      <c r="S126" s="209"/>
      <c r="T126" s="462"/>
      <c r="X126" s="286"/>
      <c r="Z126" s="286"/>
      <c r="AA126" s="259"/>
      <c r="AB126" s="286"/>
      <c r="AC126" s="259"/>
      <c r="AD126" s="286"/>
      <c r="AE126" s="259"/>
      <c r="AF126" s="286"/>
      <c r="AG126" s="288"/>
      <c r="AH126" s="286"/>
      <c r="AI126" s="288"/>
      <c r="AJ126" s="264"/>
      <c r="AK126" s="265"/>
    </row>
    <row r="127" spans="1:37" x14ac:dyDescent="0.15">
      <c r="A127" s="414"/>
      <c r="B127" s="446"/>
      <c r="C127" s="447"/>
      <c r="D127" s="447"/>
      <c r="E127" s="448"/>
      <c r="F127" s="434"/>
      <c r="G127" s="436"/>
      <c r="H127" s="207"/>
      <c r="I127" s="207"/>
      <c r="J127" s="208"/>
      <c r="K127" s="239"/>
      <c r="L127" s="239"/>
      <c r="M127" s="208"/>
      <c r="N127" s="208"/>
      <c r="O127" s="208"/>
      <c r="P127" s="240"/>
      <c r="Q127" s="240"/>
      <c r="R127" s="209"/>
      <c r="S127" s="209"/>
      <c r="T127" s="462"/>
      <c r="X127" s="286"/>
      <c r="Z127" s="286"/>
      <c r="AA127" s="259"/>
      <c r="AB127" s="286"/>
      <c r="AC127" s="259"/>
      <c r="AD127" s="286"/>
      <c r="AE127" s="259"/>
      <c r="AF127" s="286"/>
      <c r="AG127" s="288"/>
      <c r="AH127" s="286"/>
      <c r="AI127" s="288"/>
      <c r="AJ127" s="264"/>
      <c r="AK127" s="265"/>
    </row>
    <row r="128" spans="1:37" x14ac:dyDescent="0.15">
      <c r="A128" s="200"/>
      <c r="B128" s="542"/>
      <c r="C128" s="543"/>
      <c r="D128" s="543"/>
      <c r="E128" s="544"/>
      <c r="F128" s="545"/>
      <c r="G128" s="547"/>
      <c r="H128" s="45"/>
      <c r="I128" s="207"/>
      <c r="J128" s="45"/>
      <c r="K128" s="45"/>
      <c r="L128" s="70"/>
      <c r="M128" s="46"/>
      <c r="N128" s="46"/>
      <c r="O128" s="46"/>
      <c r="P128" s="71"/>
      <c r="Q128" s="71"/>
      <c r="R128" s="72"/>
      <c r="S128" s="72"/>
      <c r="T128" s="462"/>
      <c r="X128" s="264"/>
      <c r="Y128" s="265"/>
      <c r="Z128" s="264"/>
      <c r="AA128" s="265"/>
      <c r="AB128" s="264"/>
      <c r="AC128" s="265"/>
      <c r="AD128" s="264"/>
      <c r="AE128" s="265"/>
      <c r="AF128" s="264"/>
      <c r="AG128" s="265"/>
      <c r="AH128" s="264"/>
      <c r="AI128" s="265"/>
      <c r="AJ128" s="264"/>
      <c r="AK128" s="265"/>
    </row>
    <row r="129" spans="1:27" x14ac:dyDescent="0.15">
      <c r="A129" s="200"/>
      <c r="B129" s="542"/>
      <c r="C129" s="543"/>
      <c r="D129" s="543"/>
      <c r="E129" s="544"/>
      <c r="F129" s="545"/>
      <c r="G129" s="547"/>
      <c r="H129" s="45"/>
      <c r="I129" s="207"/>
      <c r="J129" s="46"/>
      <c r="K129" s="200"/>
      <c r="L129" s="70"/>
      <c r="M129" s="46"/>
      <c r="N129" s="46"/>
      <c r="O129" s="46"/>
      <c r="P129" s="48"/>
      <c r="Q129" s="48"/>
      <c r="R129" s="73"/>
      <c r="S129" s="73"/>
      <c r="T129" s="463"/>
      <c r="X129" s="264"/>
      <c r="Y129" s="265"/>
      <c r="Z129" s="264"/>
      <c r="AA129" s="265"/>
    </row>
    <row r="130" spans="1:27" x14ac:dyDescent="0.15">
      <c r="A130" s="74"/>
      <c r="B130" s="552"/>
      <c r="C130" s="557"/>
      <c r="D130" s="557"/>
      <c r="E130" s="553"/>
      <c r="F130" s="554" t="s">
        <v>56</v>
      </c>
      <c r="G130" s="554"/>
      <c r="H130" s="554"/>
      <c r="I130" s="579"/>
      <c r="J130" s="570"/>
      <c r="K130" s="570"/>
      <c r="L130" s="554"/>
      <c r="M130" s="62">
        <f>SUM(M124:M129)</f>
        <v>0.49174743999999998</v>
      </c>
      <c r="N130" s="197"/>
      <c r="O130" s="62">
        <f>SUM(O124:O129)</f>
        <v>0</v>
      </c>
      <c r="P130" s="63" t="s">
        <v>57</v>
      </c>
      <c r="Q130" s="337"/>
      <c r="R130" s="64"/>
      <c r="S130" s="64"/>
      <c r="T130" s="460"/>
    </row>
    <row r="131" spans="1:27" ht="24" x14ac:dyDescent="0.15">
      <c r="A131" s="65"/>
      <c r="B131" s="560" t="s">
        <v>58</v>
      </c>
      <c r="C131" s="561"/>
      <c r="D131" s="561"/>
      <c r="E131" s="562"/>
      <c r="F131" s="565" t="s">
        <v>26</v>
      </c>
      <c r="G131" s="566"/>
      <c r="H131" s="66" t="s">
        <v>59</v>
      </c>
      <c r="I131" s="351"/>
      <c r="J131" s="66" t="s">
        <v>60</v>
      </c>
      <c r="K131" s="66" t="s">
        <v>6</v>
      </c>
      <c r="L131" s="67" t="s">
        <v>61</v>
      </c>
      <c r="M131" s="66" t="s">
        <v>30</v>
      </c>
      <c r="N131" s="68" t="s">
        <v>62</v>
      </c>
      <c r="O131" s="68" t="s">
        <v>34</v>
      </c>
      <c r="P131" s="69" t="s">
        <v>57</v>
      </c>
      <c r="Q131" s="42"/>
      <c r="R131" s="67"/>
      <c r="S131" s="67"/>
      <c r="T131" s="461"/>
    </row>
    <row r="132" spans="1:27" ht="25.5" customHeight="1" x14ac:dyDescent="0.15">
      <c r="A132" s="200">
        <v>1</v>
      </c>
      <c r="B132" s="542"/>
      <c r="C132" s="543"/>
      <c r="D132" s="543"/>
      <c r="E132" s="544"/>
      <c r="F132" s="545" t="s">
        <v>843</v>
      </c>
      <c r="G132" s="547"/>
      <c r="H132" s="45"/>
      <c r="I132" s="207"/>
      <c r="J132" s="45"/>
      <c r="K132" s="46" t="str">
        <f>VLOOKUP($F:$F,材料单价表!$B$3:$G$42,4,0)</f>
        <v>套</v>
      </c>
      <c r="L132" s="72"/>
      <c r="M132" s="46">
        <v>1</v>
      </c>
      <c r="N132" s="46">
        <f>VLOOKUP($F:$F,材料单价表!$B$3:$G$42,5,0)</f>
        <v>0</v>
      </c>
      <c r="O132" s="46">
        <f t="shared" ref="O132" si="28">N132*M132</f>
        <v>0</v>
      </c>
      <c r="P132" s="48"/>
      <c r="Q132" s="48"/>
      <c r="R132" s="73"/>
      <c r="S132" s="73"/>
      <c r="T132" s="463"/>
    </row>
    <row r="133" spans="1:27" x14ac:dyDescent="0.15">
      <c r="A133" s="74"/>
      <c r="B133" s="552"/>
      <c r="C133" s="557"/>
      <c r="D133" s="557"/>
      <c r="E133" s="553"/>
      <c r="F133" s="554" t="s">
        <v>64</v>
      </c>
      <c r="G133" s="554"/>
      <c r="H133" s="554"/>
      <c r="I133" s="579"/>
      <c r="J133" s="570"/>
      <c r="K133" s="570"/>
      <c r="L133" s="554"/>
      <c r="M133" s="62">
        <f>M132</f>
        <v>1</v>
      </c>
      <c r="N133" s="197"/>
      <c r="O133" s="62">
        <f>SUM(O132:O132)</f>
        <v>0</v>
      </c>
      <c r="P133" s="63" t="s">
        <v>57</v>
      </c>
      <c r="Q133" s="337"/>
      <c r="R133" s="64"/>
      <c r="S133" s="64"/>
      <c r="T133" s="460"/>
    </row>
    <row r="134" spans="1:27" ht="24" x14ac:dyDescent="0.15">
      <c r="A134" s="65"/>
      <c r="B134" s="560" t="s">
        <v>65</v>
      </c>
      <c r="C134" s="561"/>
      <c r="D134" s="561"/>
      <c r="E134" s="562"/>
      <c r="F134" s="565" t="s">
        <v>26</v>
      </c>
      <c r="G134" s="566"/>
      <c r="H134" s="66" t="s">
        <v>59</v>
      </c>
      <c r="I134" s="351"/>
      <c r="J134" s="66" t="s">
        <v>60</v>
      </c>
      <c r="K134" s="66" t="s">
        <v>6</v>
      </c>
      <c r="L134" s="67" t="s">
        <v>61</v>
      </c>
      <c r="M134" s="66" t="s">
        <v>30</v>
      </c>
      <c r="N134" s="68" t="s">
        <v>62</v>
      </c>
      <c r="O134" s="68" t="s">
        <v>34</v>
      </c>
      <c r="P134" s="69" t="s">
        <v>57</v>
      </c>
      <c r="Q134" s="42"/>
      <c r="R134" s="67"/>
      <c r="S134" s="67"/>
      <c r="T134" s="461"/>
    </row>
    <row r="135" spans="1:27" ht="13.5" customHeight="1" x14ac:dyDescent="0.15">
      <c r="A135" s="76">
        <v>1</v>
      </c>
      <c r="B135" s="542"/>
      <c r="C135" s="543"/>
      <c r="D135" s="543"/>
      <c r="E135" s="544"/>
      <c r="F135" s="558" t="s">
        <v>66</v>
      </c>
      <c r="G135" s="559"/>
      <c r="H135" s="78"/>
      <c r="I135" s="352"/>
      <c r="J135" s="77"/>
      <c r="K135" s="46" t="str">
        <f>VLOOKUP($F:$F,材料单价表!$B$3:$G$42,4,0)</f>
        <v>m</v>
      </c>
      <c r="L135" s="46"/>
      <c r="M135" s="80">
        <f>M90</f>
        <v>4.8</v>
      </c>
      <c r="N135" s="46">
        <f>VLOOKUP($F:$F,材料单价表!$B$3:$G$42,5,0)</f>
        <v>0</v>
      </c>
      <c r="O135" s="46">
        <f>N135*M135</f>
        <v>0</v>
      </c>
      <c r="P135" s="48"/>
      <c r="Q135" s="59"/>
      <c r="R135" s="81"/>
      <c r="S135" s="79"/>
      <c r="T135" s="464"/>
    </row>
    <row r="136" spans="1:27" ht="15.75" customHeight="1" x14ac:dyDescent="0.15">
      <c r="A136" s="76">
        <v>2</v>
      </c>
      <c r="B136" s="542"/>
      <c r="C136" s="543"/>
      <c r="D136" s="543"/>
      <c r="E136" s="544"/>
      <c r="F136" s="558" t="s">
        <v>68</v>
      </c>
      <c r="G136" s="559"/>
      <c r="H136" s="78" t="s">
        <v>67</v>
      </c>
      <c r="I136" s="352"/>
      <c r="J136" s="77"/>
      <c r="K136" s="46" t="str">
        <f>VLOOKUP($F:$F,材料单价表!$B$3:$G$42,4,0)</f>
        <v>m</v>
      </c>
      <c r="L136" s="46"/>
      <c r="M136" s="80">
        <f>(J102*K102+J105*K105+J103*K103+J104*K104)/1000*2</f>
        <v>8.9535999999999998</v>
      </c>
      <c r="N136" s="46">
        <f>VLOOKUP($F:$F,材料单价表!$B$3:$G$42,5,0)</f>
        <v>0</v>
      </c>
      <c r="O136" s="46">
        <f t="shared" ref="O136:O141" si="29">N136*M136</f>
        <v>0</v>
      </c>
      <c r="P136" s="48"/>
      <c r="Q136" s="59"/>
      <c r="R136" s="81"/>
      <c r="S136" s="79"/>
      <c r="T136" s="464"/>
      <c r="V136" s="104"/>
      <c r="W136" s="104"/>
    </row>
    <row r="137" spans="1:27" ht="13.5" customHeight="1" x14ac:dyDescent="0.15">
      <c r="A137" s="76">
        <v>3</v>
      </c>
      <c r="B137" s="542"/>
      <c r="C137" s="543"/>
      <c r="D137" s="543"/>
      <c r="E137" s="544"/>
      <c r="F137" s="558" t="s">
        <v>68</v>
      </c>
      <c r="G137" s="559"/>
      <c r="H137" s="78" t="s">
        <v>69</v>
      </c>
      <c r="I137" s="352"/>
      <c r="J137" s="77"/>
      <c r="K137" s="46" t="str">
        <f>VLOOKUP($F:$F,材料单价表!$B$3:$G$42,4,0)</f>
        <v>m</v>
      </c>
      <c r="L137" s="46"/>
      <c r="M137" s="80">
        <f>M90</f>
        <v>4.8</v>
      </c>
      <c r="N137" s="46">
        <f>VLOOKUP($F:$F,材料单价表!$B$3:$G$42,5,0)</f>
        <v>0</v>
      </c>
      <c r="O137" s="46">
        <f t="shared" si="29"/>
        <v>0</v>
      </c>
      <c r="P137" s="48"/>
      <c r="Q137" s="59"/>
      <c r="R137" s="81"/>
      <c r="S137" s="79"/>
      <c r="T137" s="464"/>
      <c r="V137" s="104"/>
      <c r="W137" s="104"/>
    </row>
    <row r="138" spans="1:27" ht="13.5" customHeight="1" x14ac:dyDescent="0.15">
      <c r="A138" s="76">
        <v>4</v>
      </c>
      <c r="B138" s="542"/>
      <c r="C138" s="543"/>
      <c r="D138" s="543"/>
      <c r="E138" s="544"/>
      <c r="F138" s="558" t="s">
        <v>68</v>
      </c>
      <c r="G138" s="559"/>
      <c r="H138" s="78" t="s">
        <v>70</v>
      </c>
      <c r="I138" s="352"/>
      <c r="J138" s="77"/>
      <c r="K138" s="46" t="str">
        <f>VLOOKUP($F:$F,材料单价表!$B$3:$G$42,4,0)</f>
        <v>m</v>
      </c>
      <c r="L138" s="46"/>
      <c r="M138" s="80">
        <f>M90</f>
        <v>4.8</v>
      </c>
      <c r="N138" s="46">
        <f>VLOOKUP($F:$F,材料单价表!$B$3:$G$42,5,0)</f>
        <v>0</v>
      </c>
      <c r="O138" s="46">
        <f t="shared" si="29"/>
        <v>0</v>
      </c>
      <c r="P138" s="48"/>
      <c r="Q138" s="59"/>
      <c r="R138" s="81"/>
      <c r="S138" s="79"/>
      <c r="T138" s="464"/>
      <c r="V138" s="104"/>
      <c r="W138" s="104"/>
    </row>
    <row r="139" spans="1:27" ht="13.5" customHeight="1" x14ac:dyDescent="0.15">
      <c r="A139" s="76">
        <v>5</v>
      </c>
      <c r="B139" s="542"/>
      <c r="C139" s="543"/>
      <c r="D139" s="543"/>
      <c r="E139" s="544"/>
      <c r="F139" s="558" t="s">
        <v>71</v>
      </c>
      <c r="G139" s="559"/>
      <c r="H139" s="78"/>
      <c r="I139" s="352"/>
      <c r="J139" s="77"/>
      <c r="K139" s="46" t="str">
        <f>VLOOKUP($F:$F,材料单价表!$B$3:$G$42,4,0)</f>
        <v>个</v>
      </c>
      <c r="L139" s="79"/>
      <c r="M139" s="80">
        <f>SUM(K106:K108)</f>
        <v>10</v>
      </c>
      <c r="N139" s="46">
        <f>VLOOKUP($F:$F,材料单价表!$B$3:$G$42,5,0)</f>
        <v>0</v>
      </c>
      <c r="O139" s="46">
        <f t="shared" si="29"/>
        <v>0</v>
      </c>
      <c r="P139" s="48"/>
      <c r="Q139" s="59"/>
      <c r="R139" s="81"/>
      <c r="S139" s="79"/>
      <c r="T139" s="464"/>
    </row>
    <row r="140" spans="1:27" ht="13.5" customHeight="1" x14ac:dyDescent="0.15">
      <c r="A140" s="76">
        <v>6</v>
      </c>
      <c r="B140" s="542"/>
      <c r="C140" s="543"/>
      <c r="D140" s="543"/>
      <c r="E140" s="544"/>
      <c r="F140" s="558" t="s">
        <v>833</v>
      </c>
      <c r="G140" s="559"/>
      <c r="H140" s="78"/>
      <c r="I140" s="352"/>
      <c r="J140" s="77"/>
      <c r="K140" s="46" t="str">
        <f>VLOOKUP($F:$F,材料单价表!$B$3:$G$42,4,0)</f>
        <v>m</v>
      </c>
      <c r="L140" s="79"/>
      <c r="M140" s="80">
        <f>(J96*K96+J97*K97)/1000*2</f>
        <v>6.9320000000000004</v>
      </c>
      <c r="N140" s="46">
        <f>VLOOKUP($F:$F,材料单价表!$B$3:$G$42,5,0)</f>
        <v>0</v>
      </c>
      <c r="O140" s="46">
        <f t="shared" si="29"/>
        <v>0</v>
      </c>
      <c r="P140" s="48"/>
      <c r="Q140" s="59"/>
      <c r="R140" s="81"/>
      <c r="S140" s="46"/>
      <c r="T140" s="465"/>
    </row>
    <row r="141" spans="1:27" x14ac:dyDescent="0.15">
      <c r="A141" s="76">
        <v>7</v>
      </c>
      <c r="B141" s="542"/>
      <c r="C141" s="543"/>
      <c r="D141" s="543"/>
      <c r="E141" s="544"/>
      <c r="F141" s="558" t="s">
        <v>72</v>
      </c>
      <c r="G141" s="559"/>
      <c r="H141" s="45"/>
      <c r="I141" s="207"/>
      <c r="J141" s="45"/>
      <c r="K141" s="46" t="str">
        <f>VLOOKUP($F:$F,材料单价表!$B$3:$G$42,4,0)</f>
        <v>m2</v>
      </c>
      <c r="L141" s="72"/>
      <c r="M141" s="46">
        <f>M147</f>
        <v>1.08</v>
      </c>
      <c r="N141" s="46">
        <f>VLOOKUP($F:$F,材料单价表!$B$3:$G$42,5,0)</f>
        <v>0</v>
      </c>
      <c r="O141" s="46">
        <f t="shared" si="29"/>
        <v>0</v>
      </c>
      <c r="P141" s="48"/>
      <c r="Q141" s="48"/>
      <c r="R141" s="73"/>
      <c r="S141" s="73"/>
      <c r="T141" s="463"/>
    </row>
    <row r="142" spans="1:27" x14ac:dyDescent="0.15">
      <c r="A142" s="76">
        <v>8</v>
      </c>
      <c r="B142" s="542"/>
      <c r="C142" s="543"/>
      <c r="D142" s="543"/>
      <c r="E142" s="544"/>
      <c r="F142" s="198"/>
      <c r="G142" s="199"/>
      <c r="H142" s="207"/>
      <c r="I142" s="207"/>
      <c r="J142" s="207"/>
      <c r="K142" s="208"/>
      <c r="L142" s="209"/>
      <c r="M142" s="208"/>
      <c r="N142" s="208"/>
      <c r="O142" s="208"/>
      <c r="P142" s="211"/>
      <c r="Q142" s="48"/>
      <c r="R142" s="212"/>
      <c r="S142" s="212"/>
      <c r="T142" s="463"/>
    </row>
    <row r="143" spans="1:27" x14ac:dyDescent="0.15">
      <c r="A143" s="76">
        <v>9</v>
      </c>
      <c r="B143" s="542"/>
      <c r="C143" s="543"/>
      <c r="D143" s="543"/>
      <c r="E143" s="544"/>
      <c r="F143" s="558"/>
      <c r="G143" s="559"/>
      <c r="H143" s="45"/>
      <c r="I143" s="207"/>
      <c r="J143" s="45"/>
      <c r="K143" s="45"/>
      <c r="L143" s="72"/>
      <c r="M143" s="46"/>
      <c r="N143" s="46"/>
      <c r="O143" s="82"/>
      <c r="P143" s="48"/>
      <c r="Q143" s="48"/>
      <c r="R143" s="73"/>
      <c r="S143" s="73"/>
      <c r="T143" s="463"/>
    </row>
    <row r="144" spans="1:27" x14ac:dyDescent="0.15">
      <c r="A144" s="74"/>
      <c r="B144" s="552"/>
      <c r="C144" s="557"/>
      <c r="D144" s="557"/>
      <c r="E144" s="553"/>
      <c r="F144" s="552" t="s">
        <v>73</v>
      </c>
      <c r="G144" s="557"/>
      <c r="H144" s="557"/>
      <c r="I144" s="557"/>
      <c r="J144" s="557"/>
      <c r="K144" s="557"/>
      <c r="L144" s="557"/>
      <c r="M144" s="61"/>
      <c r="N144" s="61"/>
      <c r="O144" s="62">
        <f>SUM(O135:O143)</f>
        <v>0</v>
      </c>
      <c r="P144" s="63" t="s">
        <v>57</v>
      </c>
      <c r="Q144" s="337"/>
      <c r="R144" s="64"/>
      <c r="S144" s="64"/>
      <c r="T144" s="460"/>
    </row>
    <row r="145" spans="1:20" x14ac:dyDescent="0.15">
      <c r="A145" s="74"/>
      <c r="B145" s="552"/>
      <c r="C145" s="557"/>
      <c r="D145" s="557"/>
      <c r="E145" s="553"/>
      <c r="F145" s="552" t="s">
        <v>74</v>
      </c>
      <c r="G145" s="557"/>
      <c r="H145" s="557"/>
      <c r="I145" s="557"/>
      <c r="J145" s="557"/>
      <c r="K145" s="557"/>
      <c r="L145" s="557"/>
      <c r="M145" s="557"/>
      <c r="N145" s="553"/>
      <c r="O145" s="62">
        <f>O144+O133+O130+O122</f>
        <v>0</v>
      </c>
      <c r="P145" s="63" t="s">
        <v>57</v>
      </c>
      <c r="Q145" s="337"/>
      <c r="R145" s="64"/>
      <c r="S145" s="64"/>
      <c r="T145" s="460"/>
    </row>
    <row r="146" spans="1:20" ht="24" x14ac:dyDescent="0.15">
      <c r="A146" s="65"/>
      <c r="B146" s="560" t="s">
        <v>75</v>
      </c>
      <c r="C146" s="561"/>
      <c r="D146" s="561"/>
      <c r="E146" s="562"/>
      <c r="F146" s="565" t="s">
        <v>26</v>
      </c>
      <c r="G146" s="566"/>
      <c r="H146" s="66"/>
      <c r="I146" s="351"/>
      <c r="J146" s="66"/>
      <c r="K146" s="66" t="s">
        <v>6</v>
      </c>
      <c r="L146" s="83" t="s">
        <v>61</v>
      </c>
      <c r="M146" s="66" t="s">
        <v>76</v>
      </c>
      <c r="N146" s="68" t="s">
        <v>62</v>
      </c>
      <c r="O146" s="68" t="s">
        <v>34</v>
      </c>
      <c r="P146" s="84" t="s">
        <v>57</v>
      </c>
      <c r="Q146" s="84"/>
      <c r="R146" s="67"/>
      <c r="S146" s="67"/>
      <c r="T146" s="461"/>
    </row>
    <row r="147" spans="1:20" x14ac:dyDescent="0.15">
      <c r="A147" s="200">
        <v>1</v>
      </c>
      <c r="B147" s="542"/>
      <c r="C147" s="543"/>
      <c r="D147" s="543"/>
      <c r="E147" s="544"/>
      <c r="F147" s="545" t="s">
        <v>77</v>
      </c>
      <c r="G147" s="547"/>
      <c r="H147" s="45"/>
      <c r="I147" s="207"/>
      <c r="J147" s="46"/>
      <c r="K147" s="45" t="s">
        <v>78</v>
      </c>
      <c r="L147" s="72"/>
      <c r="M147" s="85">
        <f>O77</f>
        <v>1.08</v>
      </c>
      <c r="N147" s="46">
        <f>VLOOKUP($F:$F,材料单价表!$B$3:$G$42,5,0)</f>
        <v>0</v>
      </c>
      <c r="O147" s="46">
        <f>N147*M147</f>
        <v>0</v>
      </c>
      <c r="P147" s="48"/>
      <c r="Q147" s="48"/>
      <c r="R147" s="72"/>
      <c r="S147" s="72"/>
      <c r="T147" s="462"/>
    </row>
    <row r="148" spans="1:20" x14ac:dyDescent="0.15">
      <c r="A148" s="200">
        <v>2</v>
      </c>
      <c r="B148" s="542"/>
      <c r="C148" s="543"/>
      <c r="D148" s="543"/>
      <c r="E148" s="544"/>
      <c r="F148" s="545" t="s">
        <v>79</v>
      </c>
      <c r="G148" s="547"/>
      <c r="H148" s="45"/>
      <c r="I148" s="207"/>
      <c r="J148" s="46"/>
      <c r="K148" s="45" t="s">
        <v>78</v>
      </c>
      <c r="L148" s="72"/>
      <c r="M148" s="85">
        <f>M147</f>
        <v>1.08</v>
      </c>
      <c r="N148" s="46">
        <f>VLOOKUP($F:$F,材料单价表!$B$3:$G$42,5,0)</f>
        <v>0</v>
      </c>
      <c r="O148" s="46">
        <f>N148*M148</f>
        <v>0</v>
      </c>
      <c r="P148" s="48"/>
      <c r="Q148" s="48"/>
      <c r="R148" s="72"/>
      <c r="S148" s="72"/>
      <c r="T148" s="462"/>
    </row>
    <row r="149" spans="1:20" ht="24.75" customHeight="1" x14ac:dyDescent="0.15">
      <c r="A149" s="74"/>
      <c r="B149" s="552"/>
      <c r="C149" s="557"/>
      <c r="D149" s="557"/>
      <c r="E149" s="553"/>
      <c r="F149" s="552" t="s">
        <v>80</v>
      </c>
      <c r="G149" s="553"/>
      <c r="H149" s="194"/>
      <c r="I149" s="348"/>
      <c r="J149" s="554" t="s">
        <v>81</v>
      </c>
      <c r="K149" s="554"/>
      <c r="L149" s="554"/>
      <c r="M149" s="554"/>
      <c r="N149" s="87"/>
      <c r="O149" s="62">
        <f>O145+O147+O148</f>
        <v>0</v>
      </c>
      <c r="P149" s="63" t="s">
        <v>57</v>
      </c>
      <c r="Q149" s="337"/>
      <c r="R149" s="64"/>
      <c r="S149" s="64"/>
      <c r="T149" s="460"/>
    </row>
    <row r="150" spans="1:20" ht="24" customHeight="1" x14ac:dyDescent="0.15">
      <c r="A150" s="74"/>
      <c r="B150" s="552"/>
      <c r="C150" s="557"/>
      <c r="D150" s="557"/>
      <c r="E150" s="553"/>
      <c r="F150" s="555" t="s">
        <v>82</v>
      </c>
      <c r="G150" s="556"/>
      <c r="H150" s="193"/>
      <c r="I150" s="349"/>
      <c r="J150" s="552" t="s">
        <v>81</v>
      </c>
      <c r="K150" s="557"/>
      <c r="L150" s="557"/>
      <c r="M150" s="557"/>
      <c r="N150" s="62"/>
      <c r="O150" s="62">
        <f>O149/O77</f>
        <v>0</v>
      </c>
      <c r="P150" s="89" t="s">
        <v>57</v>
      </c>
      <c r="Q150" s="89"/>
      <c r="R150" s="90"/>
      <c r="S150" s="90"/>
      <c r="T150" s="466"/>
    </row>
    <row r="151" spans="1:20" ht="18.75" customHeight="1" x14ac:dyDescent="0.15">
      <c r="A151" s="549" t="s">
        <v>0</v>
      </c>
      <c r="B151" s="549"/>
      <c r="C151" s="549"/>
      <c r="D151" s="549"/>
      <c r="E151" s="549"/>
      <c r="F151" s="549"/>
      <c r="G151" s="549"/>
      <c r="H151" s="549"/>
      <c r="I151" s="549"/>
      <c r="J151" s="549"/>
      <c r="K151" s="549"/>
      <c r="L151" s="550"/>
      <c r="M151" s="549"/>
      <c r="N151" s="549"/>
      <c r="O151" s="549"/>
      <c r="P151" s="549"/>
      <c r="Q151" s="549"/>
      <c r="R151" s="551"/>
      <c r="S151" s="551"/>
      <c r="T151" s="415"/>
    </row>
    <row r="152" spans="1:20" ht="15" customHeight="1" x14ac:dyDescent="0.15">
      <c r="A152" s="2" t="s">
        <v>1</v>
      </c>
      <c r="B152" s="3" t="s">
        <v>1450</v>
      </c>
      <c r="C152" s="3">
        <v>3</v>
      </c>
      <c r="D152" s="3"/>
      <c r="E152" s="3"/>
      <c r="F152" s="4" t="s">
        <v>2</v>
      </c>
      <c r="G152" s="5">
        <v>55</v>
      </c>
      <c r="H152" s="106" t="s">
        <v>86</v>
      </c>
      <c r="I152" s="106"/>
      <c r="J152" s="4" t="s">
        <v>3</v>
      </c>
      <c r="K152" s="6">
        <f>L155</f>
        <v>600</v>
      </c>
      <c r="L152" s="7" t="s">
        <v>83</v>
      </c>
      <c r="M152" s="6">
        <f>L154</f>
        <v>1400</v>
      </c>
      <c r="N152" s="8" t="s">
        <v>4</v>
      </c>
      <c r="O152" s="9">
        <f>M164</f>
        <v>0.84</v>
      </c>
      <c r="P152" s="10"/>
      <c r="Q152" s="10"/>
      <c r="R152" s="10" t="s">
        <v>5</v>
      </c>
      <c r="S152" s="11"/>
      <c r="T152" s="457"/>
    </row>
    <row r="153" spans="1:20" ht="15" customHeight="1" x14ac:dyDescent="0.2">
      <c r="A153" s="12"/>
      <c r="B153" s="13"/>
      <c r="C153" s="13"/>
      <c r="D153" s="13"/>
      <c r="E153" s="13"/>
      <c r="F153" s="14"/>
      <c r="G153" s="14"/>
      <c r="H153" s="15"/>
      <c r="I153" s="15"/>
      <c r="J153" s="16"/>
      <c r="K153" s="16" t="s">
        <v>6</v>
      </c>
      <c r="L153" s="17" t="s">
        <v>7</v>
      </c>
      <c r="M153" s="16" t="s">
        <v>8</v>
      </c>
      <c r="N153" s="18"/>
      <c r="O153" s="548" t="s">
        <v>940</v>
      </c>
      <c r="P153" s="548"/>
      <c r="Q153" s="16" t="s">
        <v>1018</v>
      </c>
      <c r="R153" s="529" t="s">
        <v>1187</v>
      </c>
      <c r="S153" s="530" t="s">
        <v>1592</v>
      </c>
      <c r="T153" s="468"/>
    </row>
    <row r="154" spans="1:20" ht="15" customHeight="1" x14ac:dyDescent="0.2">
      <c r="A154" s="398" t="s">
        <v>918</v>
      </c>
      <c r="B154" s="406" t="s">
        <v>979</v>
      </c>
      <c r="C154" s="406"/>
      <c r="D154" s="406"/>
      <c r="E154" s="362"/>
      <c r="F154" s="23"/>
      <c r="G154" s="23"/>
      <c r="H154" s="107"/>
      <c r="I154" s="107"/>
      <c r="J154" s="24" t="s">
        <v>9</v>
      </c>
      <c r="K154" s="16" t="s">
        <v>10</v>
      </c>
      <c r="L154" s="25">
        <v>1400</v>
      </c>
      <c r="M154" s="113">
        <f>L154-M163*2</f>
        <v>1300</v>
      </c>
      <c r="N154" s="18"/>
      <c r="O154" s="356" t="s">
        <v>941</v>
      </c>
      <c r="P154" s="357"/>
      <c r="Q154" s="16" t="s">
        <v>1019</v>
      </c>
      <c r="R154" s="529"/>
      <c r="S154" s="530"/>
      <c r="T154" s="468"/>
    </row>
    <row r="155" spans="1:20" ht="15" customHeight="1" x14ac:dyDescent="0.2">
      <c r="A155" s="21"/>
      <c r="B155" s="22"/>
      <c r="C155" s="22"/>
      <c r="D155" s="22"/>
      <c r="E155" s="22"/>
      <c r="F155" s="23"/>
      <c r="G155" s="23"/>
      <c r="H155" s="18"/>
      <c r="I155" s="18"/>
      <c r="J155" s="24" t="s">
        <v>11</v>
      </c>
      <c r="K155" s="16" t="s">
        <v>10</v>
      </c>
      <c r="L155" s="25">
        <v>600</v>
      </c>
      <c r="M155" s="113">
        <f>L155-M163*2</f>
        <v>500</v>
      </c>
      <c r="N155" s="18"/>
      <c r="O155" s="356" t="s">
        <v>924</v>
      </c>
      <c r="P155" s="357"/>
      <c r="Q155" s="16" t="s">
        <v>1020</v>
      </c>
      <c r="R155" s="529" t="s">
        <v>1188</v>
      </c>
      <c r="S155" s="530" t="s">
        <v>1086</v>
      </c>
      <c r="T155" s="468"/>
    </row>
    <row r="156" spans="1:20" ht="15" customHeight="1" x14ac:dyDescent="0.2">
      <c r="A156" s="21"/>
      <c r="B156" s="22"/>
      <c r="C156" s="22"/>
      <c r="D156" s="22"/>
      <c r="E156" s="22"/>
      <c r="F156" s="23"/>
      <c r="G156" s="23"/>
      <c r="H156" s="18"/>
      <c r="I156" s="18"/>
      <c r="J156" s="24" t="s">
        <v>12</v>
      </c>
      <c r="K156" s="16" t="s">
        <v>10</v>
      </c>
      <c r="L156" s="26"/>
      <c r="M156" s="113">
        <f>M154</f>
        <v>1300</v>
      </c>
      <c r="N156" s="18"/>
      <c r="O156" s="356" t="s">
        <v>925</v>
      </c>
      <c r="P156" s="357"/>
      <c r="Q156" s="16" t="s">
        <v>1021</v>
      </c>
      <c r="R156" s="529"/>
      <c r="S156" s="530"/>
      <c r="T156" s="468"/>
    </row>
    <row r="157" spans="1:20" ht="15" customHeight="1" x14ac:dyDescent="0.2">
      <c r="A157" s="21"/>
      <c r="B157" s="22"/>
      <c r="C157" s="22"/>
      <c r="D157" s="22"/>
      <c r="E157" s="22"/>
      <c r="F157" s="23"/>
      <c r="G157" s="23"/>
      <c r="H157" s="18"/>
      <c r="I157" s="18"/>
      <c r="J157" s="24" t="s">
        <v>13</v>
      </c>
      <c r="K157" s="16" t="s">
        <v>10</v>
      </c>
      <c r="L157" s="26"/>
      <c r="M157" s="113"/>
      <c r="N157" s="18"/>
      <c r="O157" s="356" t="s">
        <v>926</v>
      </c>
      <c r="P157" s="357"/>
      <c r="Q157" s="16" t="s">
        <v>1022</v>
      </c>
      <c r="R157" s="27"/>
      <c r="S157" s="28"/>
      <c r="T157" s="27"/>
    </row>
    <row r="158" spans="1:20" ht="15" customHeight="1" x14ac:dyDescent="0.2">
      <c r="A158" s="21"/>
      <c r="B158" s="22"/>
      <c r="C158" s="22"/>
      <c r="D158" s="22"/>
      <c r="E158" s="22"/>
      <c r="F158" s="23"/>
      <c r="G158" s="23"/>
      <c r="H158" s="18"/>
      <c r="I158" s="18"/>
      <c r="J158" s="24" t="s">
        <v>14</v>
      </c>
      <c r="K158" s="16" t="s">
        <v>10</v>
      </c>
      <c r="L158" s="26"/>
      <c r="M158" s="113"/>
      <c r="N158" s="18"/>
      <c r="O158" s="356" t="s">
        <v>927</v>
      </c>
      <c r="P158" s="357"/>
      <c r="Q158" s="16" t="s">
        <v>1023</v>
      </c>
      <c r="R158" s="27"/>
      <c r="S158" s="28"/>
      <c r="T158" s="27"/>
    </row>
    <row r="159" spans="1:20" ht="15" customHeight="1" x14ac:dyDescent="0.2">
      <c r="A159" s="21"/>
      <c r="B159" s="22"/>
      <c r="C159" s="22"/>
      <c r="D159" s="22"/>
      <c r="E159" s="22"/>
      <c r="F159" s="23"/>
      <c r="G159" s="23"/>
      <c r="H159" s="18"/>
      <c r="I159" s="18"/>
      <c r="J159" s="24" t="s">
        <v>15</v>
      </c>
      <c r="K159" s="16" t="s">
        <v>10</v>
      </c>
      <c r="L159" s="26"/>
      <c r="M159" s="113">
        <f>M155</f>
        <v>500</v>
      </c>
      <c r="N159" s="18"/>
      <c r="O159" s="356" t="s">
        <v>928</v>
      </c>
      <c r="P159" s="357"/>
      <c r="Q159" s="16" t="s">
        <v>1005</v>
      </c>
      <c r="R159" s="27"/>
      <c r="S159" s="28"/>
      <c r="T159" s="27"/>
    </row>
    <row r="160" spans="1:20" ht="15" customHeight="1" x14ac:dyDescent="0.2">
      <c r="A160" s="21"/>
      <c r="B160" s="22"/>
      <c r="C160" s="22"/>
      <c r="D160" s="22"/>
      <c r="E160" s="22"/>
      <c r="F160" s="23"/>
      <c r="G160" s="23"/>
      <c r="H160" s="18"/>
      <c r="I160" s="18"/>
      <c r="J160" s="24" t="s">
        <v>16</v>
      </c>
      <c r="K160" s="16" t="s">
        <v>10</v>
      </c>
      <c r="L160" s="26"/>
      <c r="M160" s="113"/>
      <c r="N160" s="18"/>
      <c r="O160" s="356" t="s">
        <v>929</v>
      </c>
      <c r="P160" s="357"/>
      <c r="Q160" s="16" t="s">
        <v>1024</v>
      </c>
      <c r="R160" s="27"/>
      <c r="S160" s="28"/>
      <c r="T160" s="27"/>
    </row>
    <row r="161" spans="1:37" ht="15" customHeight="1" x14ac:dyDescent="0.2">
      <c r="A161" s="21"/>
      <c r="B161" s="22"/>
      <c r="C161" s="22"/>
      <c r="D161" s="22"/>
      <c r="E161" s="22"/>
      <c r="F161" s="23"/>
      <c r="G161" s="23"/>
      <c r="H161" s="18"/>
      <c r="I161" s="18"/>
      <c r="J161" s="24" t="s">
        <v>17</v>
      </c>
      <c r="K161" s="16" t="s">
        <v>10</v>
      </c>
      <c r="L161" s="26"/>
      <c r="M161" s="113"/>
      <c r="N161" s="18"/>
      <c r="O161" s="356" t="s">
        <v>930</v>
      </c>
      <c r="P161" s="357"/>
      <c r="Q161" s="16" t="s">
        <v>931</v>
      </c>
      <c r="R161" s="27"/>
      <c r="S161" s="28"/>
      <c r="T161" s="27"/>
    </row>
    <row r="162" spans="1:37" ht="15" customHeight="1" x14ac:dyDescent="0.2">
      <c r="A162" s="21"/>
      <c r="B162" s="22"/>
      <c r="C162" s="22"/>
      <c r="D162" s="22"/>
      <c r="E162" s="22"/>
      <c r="F162" s="23"/>
      <c r="G162" s="23"/>
      <c r="H162" s="18"/>
      <c r="I162" s="18"/>
      <c r="J162" s="24" t="s">
        <v>18</v>
      </c>
      <c r="K162" s="16" t="s">
        <v>10</v>
      </c>
      <c r="L162" s="26"/>
      <c r="M162" s="113"/>
      <c r="N162" s="18"/>
      <c r="O162" s="356" t="s">
        <v>932</v>
      </c>
      <c r="P162" s="357"/>
      <c r="Q162" s="16" t="s">
        <v>933</v>
      </c>
      <c r="R162" s="27"/>
      <c r="S162" s="28"/>
      <c r="T162" s="27"/>
    </row>
    <row r="163" spans="1:37" ht="15" customHeight="1" x14ac:dyDescent="0.2">
      <c r="A163" s="21"/>
      <c r="B163" s="22"/>
      <c r="C163" s="22"/>
      <c r="D163" s="22"/>
      <c r="E163" s="22"/>
      <c r="F163" s="23"/>
      <c r="G163" s="23"/>
      <c r="H163" s="18"/>
      <c r="I163" s="18"/>
      <c r="J163" s="24" t="s">
        <v>19</v>
      </c>
      <c r="K163" s="16" t="s">
        <v>10</v>
      </c>
      <c r="L163" s="26"/>
      <c r="M163" s="25">
        <v>50</v>
      </c>
      <c r="N163" s="18"/>
      <c r="O163" s="356" t="s">
        <v>934</v>
      </c>
      <c r="P163" s="357"/>
      <c r="Q163" s="16" t="s">
        <v>935</v>
      </c>
      <c r="R163" s="27"/>
      <c r="S163" s="28"/>
      <c r="T163" s="27"/>
    </row>
    <row r="164" spans="1:37" ht="15" customHeight="1" x14ac:dyDescent="0.2">
      <c r="A164" s="21"/>
      <c r="B164" s="22"/>
      <c r="C164" s="22"/>
      <c r="D164" s="22"/>
      <c r="E164" s="22"/>
      <c r="F164" s="23"/>
      <c r="G164" s="23"/>
      <c r="H164" s="18"/>
      <c r="I164" s="18"/>
      <c r="J164" s="29" t="s">
        <v>20</v>
      </c>
      <c r="K164" s="16" t="s">
        <v>21</v>
      </c>
      <c r="L164" s="30"/>
      <c r="M164" s="31">
        <f>L154*L155/1000000</f>
        <v>0.84</v>
      </c>
      <c r="N164" s="18"/>
      <c r="O164" s="356" t="s">
        <v>936</v>
      </c>
      <c r="P164" s="357"/>
      <c r="Q164" s="16" t="s">
        <v>937</v>
      </c>
      <c r="R164" s="27"/>
      <c r="S164" s="28"/>
      <c r="T164" s="27"/>
    </row>
    <row r="165" spans="1:37" ht="15" customHeight="1" x14ac:dyDescent="0.2">
      <c r="A165" s="32"/>
      <c r="B165" s="33"/>
      <c r="C165" s="33"/>
      <c r="D165" s="33"/>
      <c r="E165" s="33"/>
      <c r="F165" s="34"/>
      <c r="G165" s="34"/>
      <c r="H165" s="35"/>
      <c r="I165" s="35"/>
      <c r="J165" s="29" t="s">
        <v>22</v>
      </c>
      <c r="K165" s="16" t="s">
        <v>23</v>
      </c>
      <c r="L165" s="30"/>
      <c r="M165" s="36">
        <f>(L155+L154)*2/1000</f>
        <v>4</v>
      </c>
      <c r="N165" s="35"/>
      <c r="O165" s="356" t="s">
        <v>938</v>
      </c>
      <c r="P165" s="357"/>
      <c r="Q165" s="16" t="s">
        <v>939</v>
      </c>
      <c r="R165" s="37"/>
      <c r="S165" s="38"/>
      <c r="T165" s="27"/>
    </row>
    <row r="166" spans="1:37" ht="48.75" customHeight="1" x14ac:dyDescent="0.15">
      <c r="A166" s="39" t="s">
        <v>24</v>
      </c>
      <c r="B166" s="560" t="s">
        <v>25</v>
      </c>
      <c r="C166" s="561"/>
      <c r="D166" s="561"/>
      <c r="E166" s="562"/>
      <c r="F166" s="40" t="s">
        <v>26</v>
      </c>
      <c r="G166" s="40" t="s">
        <v>27</v>
      </c>
      <c r="H166" s="40" t="s">
        <v>28</v>
      </c>
      <c r="I166" s="40" t="s">
        <v>1166</v>
      </c>
      <c r="J166" s="40" t="s">
        <v>29</v>
      </c>
      <c r="K166" s="40" t="s">
        <v>30</v>
      </c>
      <c r="L166" s="41" t="s">
        <v>31</v>
      </c>
      <c r="M166" s="40" t="s">
        <v>32</v>
      </c>
      <c r="N166" s="40" t="s">
        <v>33</v>
      </c>
      <c r="O166" s="40" t="s">
        <v>34</v>
      </c>
      <c r="P166" s="42" t="s">
        <v>35</v>
      </c>
      <c r="Q166" s="359" t="s">
        <v>974</v>
      </c>
      <c r="R166" s="43" t="s">
        <v>36</v>
      </c>
      <c r="S166" s="43" t="s">
        <v>37</v>
      </c>
      <c r="T166" s="458"/>
      <c r="V166" s="261" t="s">
        <v>128</v>
      </c>
      <c r="W166" s="261"/>
      <c r="X166" s="262" t="s">
        <v>359</v>
      </c>
      <c r="Y166" s="263"/>
      <c r="Z166" s="262" t="s">
        <v>355</v>
      </c>
      <c r="AA166" s="263"/>
      <c r="AB166" s="262" t="s">
        <v>360</v>
      </c>
      <c r="AC166" s="263"/>
      <c r="AD166" s="262" t="s">
        <v>127</v>
      </c>
      <c r="AE166" s="263"/>
      <c r="AF166" s="262" t="s">
        <v>357</v>
      </c>
      <c r="AG166" s="263"/>
      <c r="AH166" s="262" t="s">
        <v>358</v>
      </c>
      <c r="AI166" s="263"/>
      <c r="AJ166" s="262" t="s">
        <v>840</v>
      </c>
      <c r="AK166" s="263"/>
    </row>
    <row r="167" spans="1:37" ht="13.5" customHeight="1" x14ac:dyDescent="0.15">
      <c r="A167" s="302">
        <v>1</v>
      </c>
      <c r="B167" s="531" t="s">
        <v>38</v>
      </c>
      <c r="C167" s="532"/>
      <c r="D167" s="532"/>
      <c r="E167" s="533"/>
      <c r="F167" s="47" t="str">
        <f>VLOOKUP($H:$H,型材表!$B$5:$I$448,2,0)</f>
        <v>边框</v>
      </c>
      <c r="G167" s="45" t="s">
        <v>39</v>
      </c>
      <c r="H167" s="45" t="str">
        <f>IF(G152=55,"SW55K001",IF(G152=551,"SW55BK001",IF(G152=60,"SW60K001",IF(G152=601,"SW60AK001",IF(G152=65,"SW65AK001",IF(G152=70,"SW70K001",IF(G152=75,"SW75K001",IF(G152=50,"SW50K002"))))))))</f>
        <v>SW55K001</v>
      </c>
      <c r="I167" s="207" t="s">
        <v>1169</v>
      </c>
      <c r="J167" s="46">
        <f>M154</f>
        <v>1300</v>
      </c>
      <c r="K167" s="45">
        <v>2</v>
      </c>
      <c r="L167" s="47">
        <f>VLOOKUP($H:$H,型材表!$B$5:$I$448,4,0)</f>
        <v>0.96699999999999997</v>
      </c>
      <c r="M167" s="46">
        <f>J167*K167*L167/1000</f>
        <v>2.5141999999999998</v>
      </c>
      <c r="N167" s="72">
        <f>VLOOKUP($H:$H,型材表!$B$5:$I$448,7,0)</f>
        <v>0</v>
      </c>
      <c r="O167" s="46">
        <f>N167*M167</f>
        <v>0</v>
      </c>
      <c r="P167" s="100">
        <f>VLOOKUP($H:$H,型材表!$B$5:$I$448,5,0)</f>
        <v>0.125</v>
      </c>
      <c r="Q167" s="100" t="str">
        <f>VLOOKUP($H:$H,型材表!$B$5:$I$448,6,0)</f>
        <v>断桥隔热铝型材</v>
      </c>
      <c r="R167" s="49"/>
      <c r="S167" s="50"/>
      <c r="T167" s="459"/>
      <c r="X167" s="264"/>
      <c r="Y167" s="265"/>
      <c r="Z167" s="264"/>
      <c r="AA167" s="265"/>
      <c r="AB167" s="264"/>
      <c r="AC167" s="265"/>
      <c r="AD167" s="264"/>
      <c r="AE167" s="265"/>
      <c r="AF167" s="264"/>
      <c r="AG167" s="265"/>
      <c r="AH167" s="264"/>
      <c r="AI167" s="265"/>
      <c r="AJ167" s="264"/>
      <c r="AK167" s="265"/>
    </row>
    <row r="168" spans="1:37" x14ac:dyDescent="0.15">
      <c r="A168" s="302">
        <v>2</v>
      </c>
      <c r="B168" s="534"/>
      <c r="C168" s="535"/>
      <c r="D168" s="535"/>
      <c r="E168" s="536"/>
      <c r="F168" s="47" t="str">
        <f>VLOOKUP($H:$H,型材表!$B$5:$I$448,2,0)</f>
        <v>边框</v>
      </c>
      <c r="G168" s="45" t="s">
        <v>144</v>
      </c>
      <c r="H168" s="45" t="str">
        <f>H167</f>
        <v>SW55K001</v>
      </c>
      <c r="I168" s="207" t="s">
        <v>1170</v>
      </c>
      <c r="J168" s="46">
        <f>M155</f>
        <v>500</v>
      </c>
      <c r="K168" s="45">
        <v>2</v>
      </c>
      <c r="L168" s="47">
        <f>VLOOKUP($H:$H,型材表!$B$5:$I$448,4,0)</f>
        <v>0.96699999999999997</v>
      </c>
      <c r="M168" s="46">
        <f t="shared" ref="M168" si="30">J168*K168*L168/1000</f>
        <v>0.96699999999999997</v>
      </c>
      <c r="N168" s="72">
        <f>VLOOKUP($H:$H,型材表!$B$5:$I$448,7,0)</f>
        <v>0</v>
      </c>
      <c r="O168" s="46">
        <f t="shared" ref="O168" si="31">N168*M168</f>
        <v>0</v>
      </c>
      <c r="P168" s="100">
        <f>VLOOKUP($H:$H,型材表!$B$5:$I$448,5,0)</f>
        <v>0.125</v>
      </c>
      <c r="Q168" s="100" t="str">
        <f>VLOOKUP($H:$H,型材表!$B$5:$I$448,6,0)</f>
        <v>断桥隔热铝型材</v>
      </c>
      <c r="R168" s="49"/>
      <c r="S168" s="50"/>
      <c r="T168" s="459"/>
      <c r="X168" s="264"/>
      <c r="Y168" s="265"/>
      <c r="Z168" s="264"/>
      <c r="AA168" s="265"/>
      <c r="AB168" s="264"/>
      <c r="AC168" s="265"/>
      <c r="AD168" s="264"/>
      <c r="AE168" s="265"/>
      <c r="AF168" s="264"/>
      <c r="AG168" s="265"/>
      <c r="AH168" s="264"/>
      <c r="AI168" s="265"/>
      <c r="AJ168" s="264"/>
      <c r="AK168" s="265"/>
    </row>
    <row r="169" spans="1:37" x14ac:dyDescent="0.15">
      <c r="A169" s="302">
        <v>3</v>
      </c>
      <c r="B169" s="534"/>
      <c r="C169" s="535"/>
      <c r="D169" s="535"/>
      <c r="E169" s="536"/>
      <c r="F169" s="47"/>
      <c r="G169" s="207"/>
      <c r="H169" s="207"/>
      <c r="I169" s="207"/>
      <c r="J169" s="208"/>
      <c r="K169" s="207"/>
      <c r="L169" s="47"/>
      <c r="M169" s="46"/>
      <c r="N169" s="72"/>
      <c r="O169" s="46"/>
      <c r="P169" s="100"/>
      <c r="Q169" s="100"/>
      <c r="R169" s="210"/>
      <c r="S169" s="50"/>
      <c r="T169" s="459"/>
      <c r="X169" s="264"/>
      <c r="Y169" s="265"/>
      <c r="Z169" s="264"/>
      <c r="AA169" s="265"/>
      <c r="AB169" s="264"/>
      <c r="AC169" s="265"/>
      <c r="AD169" s="264"/>
      <c r="AE169" s="265"/>
      <c r="AF169" s="264"/>
      <c r="AG169" s="265"/>
      <c r="AH169" s="264"/>
      <c r="AI169" s="265"/>
      <c r="AJ169" s="264"/>
      <c r="AK169" s="265"/>
    </row>
    <row r="170" spans="1:37" s="229" customFormat="1" x14ac:dyDescent="0.15">
      <c r="A170" s="302">
        <v>4</v>
      </c>
      <c r="B170" s="537"/>
      <c r="C170" s="538"/>
      <c r="D170" s="538"/>
      <c r="E170" s="539"/>
      <c r="F170" s="221"/>
      <c r="G170" s="222"/>
      <c r="H170" s="222"/>
      <c r="I170" s="222"/>
      <c r="J170" s="223"/>
      <c r="K170" s="222"/>
      <c r="L170" s="221"/>
      <c r="M170" s="224"/>
      <c r="N170" s="225"/>
      <c r="O170" s="224"/>
      <c r="P170" s="226"/>
      <c r="Q170" s="100"/>
      <c r="R170" s="227"/>
      <c r="S170" s="228"/>
      <c r="T170" s="467"/>
      <c r="U170" s="375"/>
      <c r="V170" s="266"/>
      <c r="W170" s="266"/>
      <c r="X170" s="267"/>
      <c r="Y170" s="268"/>
      <c r="Z170" s="267"/>
      <c r="AA170" s="268"/>
      <c r="AB170" s="267"/>
      <c r="AC170" s="268"/>
      <c r="AD170" s="267"/>
      <c r="AE170" s="268"/>
      <c r="AF170" s="267"/>
      <c r="AG170" s="268"/>
      <c r="AH170" s="267"/>
      <c r="AI170" s="268"/>
      <c r="AJ170" s="267"/>
      <c r="AK170" s="268"/>
    </row>
    <row r="171" spans="1:37" ht="13.5" customHeight="1" x14ac:dyDescent="0.15">
      <c r="A171" s="302">
        <v>5</v>
      </c>
      <c r="B171" s="531" t="s">
        <v>41</v>
      </c>
      <c r="C171" s="532"/>
      <c r="D171" s="532"/>
      <c r="E171" s="533"/>
      <c r="F171" s="47" t="str">
        <f>VLOOKUP($H:$H,型材表!$B$5:$I$448,2,0)</f>
        <v>外开扇</v>
      </c>
      <c r="G171" s="45" t="s">
        <v>39</v>
      </c>
      <c r="H171" s="45" t="str">
        <f>IF(G152=55,"SW55S002",IF(G152=551,"SW55BS002",IF(G152=60,"SW60S002",IF(G152=601,"SW60AS002",IF(G152=65,"SW65AS002",IF(G152=70,"SW70S002",IF(G152=75,"SW75S002",IF(G152=50,"SW50S001"))))))))</f>
        <v>SW55S002</v>
      </c>
      <c r="I171" s="207" t="s">
        <v>1200</v>
      </c>
      <c r="J171" s="46">
        <f>IF(G152=55,M156-V171,IF(G152=551,M156-X171,IF(G152=60,M156-Z171,IF(G152=601,M156-AB171,IF(G152=65,M156-AD171,IF(G152=70,M156-AF171,IF(G152=75,M156-AH171,IF(G152=50,M156-AJ171))))))))</f>
        <v>1256</v>
      </c>
      <c r="K171" s="45">
        <v>2</v>
      </c>
      <c r="L171" s="47">
        <f>VLOOKUP($H:$H,型材表!$B$5:$I$448,4,0)</f>
        <v>1.4390000000000001</v>
      </c>
      <c r="M171" s="46">
        <f t="shared" ref="M171:M172" si="32">J171*K171*L171/1000</f>
        <v>3.6147680000000002</v>
      </c>
      <c r="N171" s="72">
        <f>VLOOKUP($H:$H,型材表!$B$5:$I$448,7,0)</f>
        <v>0</v>
      </c>
      <c r="O171" s="46">
        <f t="shared" ref="O171:O172" si="33">N171*M171</f>
        <v>0</v>
      </c>
      <c r="P171" s="100">
        <f>VLOOKUP($H:$H,型材表!$B$5:$I$448,5,0)</f>
        <v>0.125</v>
      </c>
      <c r="Q171" s="100" t="str">
        <f>VLOOKUP($H:$H,型材表!$B$5:$I$448,6,0)</f>
        <v>断桥隔热铝型材</v>
      </c>
      <c r="R171" s="49"/>
      <c r="S171" s="50"/>
      <c r="T171" s="459"/>
      <c r="U171" s="374" t="s">
        <v>1229</v>
      </c>
      <c r="V171" s="259">
        <f>22*2</f>
        <v>44</v>
      </c>
      <c r="X171" s="286">
        <f>22*2</f>
        <v>44</v>
      </c>
      <c r="Y171" s="265"/>
      <c r="Z171" s="286">
        <f>22*2</f>
        <v>44</v>
      </c>
      <c r="AA171" s="265"/>
      <c r="AB171" s="286">
        <f>22*2</f>
        <v>44</v>
      </c>
      <c r="AC171" s="265"/>
      <c r="AD171" s="286">
        <f>22*2</f>
        <v>44</v>
      </c>
      <c r="AE171" s="265"/>
      <c r="AF171" s="286">
        <f>22*2</f>
        <v>44</v>
      </c>
      <c r="AG171" s="265"/>
      <c r="AH171" s="286">
        <f>22*2</f>
        <v>44</v>
      </c>
      <c r="AI171" s="265"/>
      <c r="AJ171" s="264">
        <f>21.3*2</f>
        <v>42.6</v>
      </c>
      <c r="AK171" s="265"/>
    </row>
    <row r="172" spans="1:37" x14ac:dyDescent="0.15">
      <c r="A172" s="302">
        <v>6</v>
      </c>
      <c r="B172" s="534"/>
      <c r="C172" s="535"/>
      <c r="D172" s="535"/>
      <c r="E172" s="536"/>
      <c r="F172" s="47" t="str">
        <f>VLOOKUP($H:$H,型材表!$B$5:$I$448,2,0)</f>
        <v>外开扇</v>
      </c>
      <c r="G172" s="45" t="s">
        <v>144</v>
      </c>
      <c r="H172" s="207" t="str">
        <f>H171</f>
        <v>SW55S002</v>
      </c>
      <c r="I172" s="207" t="s">
        <v>1201</v>
      </c>
      <c r="J172" s="208">
        <f>IF(G152=55,M159-V172,IF(G152=551,M159-X172,IF(G152=60,M159-Z172,IF(G152=601,M159-AB172,IF(G152=65,M159-AD172,IF(G152=70,M159-AF172,IF(G152=75,M159-AH172,IF(G152=50,M159-AJ172))))))))</f>
        <v>456</v>
      </c>
      <c r="K172" s="207">
        <v>2</v>
      </c>
      <c r="L172" s="47">
        <f>VLOOKUP($H:$H,型材表!$B$5:$I$448,4,0)</f>
        <v>1.4390000000000001</v>
      </c>
      <c r="M172" s="46">
        <f t="shared" si="32"/>
        <v>1.312368</v>
      </c>
      <c r="N172" s="72">
        <f>VLOOKUP($H:$H,型材表!$B$5:$I$448,7,0)</f>
        <v>0</v>
      </c>
      <c r="O172" s="46">
        <f t="shared" si="33"/>
        <v>0</v>
      </c>
      <c r="P172" s="100">
        <f>VLOOKUP($H:$H,型材表!$B$5:$I$448,5,0)</f>
        <v>0.125</v>
      </c>
      <c r="Q172" s="100" t="str">
        <f>VLOOKUP($H:$H,型材表!$B$5:$I$448,6,0)</f>
        <v>断桥隔热铝型材</v>
      </c>
      <c r="R172" s="210"/>
      <c r="S172" s="50"/>
      <c r="T172" s="459"/>
      <c r="U172" s="374" t="s">
        <v>1230</v>
      </c>
      <c r="V172" s="259">
        <f>22*2</f>
        <v>44</v>
      </c>
      <c r="X172" s="286">
        <f>22*2</f>
        <v>44</v>
      </c>
      <c r="Y172" s="265"/>
      <c r="Z172" s="286">
        <f>22*2</f>
        <v>44</v>
      </c>
      <c r="AA172" s="265"/>
      <c r="AB172" s="286">
        <f>22*2</f>
        <v>44</v>
      </c>
      <c r="AC172" s="265"/>
      <c r="AD172" s="286">
        <f>22*2</f>
        <v>44</v>
      </c>
      <c r="AE172" s="265"/>
      <c r="AF172" s="286">
        <f>22*2</f>
        <v>44</v>
      </c>
      <c r="AG172" s="265"/>
      <c r="AH172" s="286">
        <f>22*2</f>
        <v>44</v>
      </c>
      <c r="AI172" s="265"/>
      <c r="AJ172" s="264">
        <f>21.3*2</f>
        <v>42.6</v>
      </c>
      <c r="AK172" s="265"/>
    </row>
    <row r="173" spans="1:37" x14ac:dyDescent="0.15">
      <c r="A173" s="302">
        <v>7</v>
      </c>
      <c r="B173" s="534"/>
      <c r="C173" s="535"/>
      <c r="D173" s="535"/>
      <c r="E173" s="536"/>
      <c r="F173" s="47"/>
      <c r="G173" s="45"/>
      <c r="H173" s="45"/>
      <c r="I173" s="207"/>
      <c r="J173" s="46"/>
      <c r="K173" s="45"/>
      <c r="L173" s="47"/>
      <c r="M173" s="46"/>
      <c r="N173" s="72"/>
      <c r="O173" s="46"/>
      <c r="P173" s="100"/>
      <c r="Q173" s="100"/>
      <c r="R173" s="49"/>
      <c r="S173" s="50"/>
      <c r="T173" s="459"/>
      <c r="X173" s="264"/>
      <c r="Y173" s="265"/>
      <c r="Z173" s="264"/>
      <c r="AA173" s="265"/>
      <c r="AB173" s="264"/>
      <c r="AC173" s="265"/>
      <c r="AD173" s="264"/>
      <c r="AE173" s="265"/>
      <c r="AF173" s="264"/>
      <c r="AG173" s="265"/>
      <c r="AH173" s="264"/>
      <c r="AI173" s="265"/>
      <c r="AJ173" s="264"/>
      <c r="AK173" s="265"/>
    </row>
    <row r="174" spans="1:37" s="315" customFormat="1" x14ac:dyDescent="0.15">
      <c r="A174" s="327">
        <v>8</v>
      </c>
      <c r="B174" s="534"/>
      <c r="C174" s="535"/>
      <c r="D174" s="535"/>
      <c r="E174" s="536"/>
      <c r="F174" s="310"/>
      <c r="G174" s="116"/>
      <c r="H174" s="116"/>
      <c r="I174" s="207"/>
      <c r="J174" s="147"/>
      <c r="K174" s="116"/>
      <c r="L174" s="310"/>
      <c r="M174" s="147"/>
      <c r="N174" s="311"/>
      <c r="O174" s="147"/>
      <c r="P174" s="312"/>
      <c r="Q174" s="100"/>
      <c r="R174" s="313"/>
      <c r="S174" s="314"/>
      <c r="T174" s="469"/>
      <c r="U174" s="376"/>
      <c r="V174" s="316"/>
      <c r="W174" s="316"/>
      <c r="X174" s="317"/>
      <c r="Y174" s="318"/>
      <c r="Z174" s="317"/>
      <c r="AA174" s="318"/>
      <c r="AB174" s="317"/>
      <c r="AC174" s="318"/>
      <c r="AD174" s="317"/>
      <c r="AE174" s="318"/>
      <c r="AF174" s="317"/>
      <c r="AG174" s="318"/>
      <c r="AH174" s="317"/>
      <c r="AI174" s="318"/>
      <c r="AJ174" s="317"/>
      <c r="AK174" s="318"/>
    </row>
    <row r="175" spans="1:37" s="315" customFormat="1" x14ac:dyDescent="0.15">
      <c r="A175" s="327">
        <v>9</v>
      </c>
      <c r="B175" s="534"/>
      <c r="C175" s="535"/>
      <c r="D175" s="535"/>
      <c r="E175" s="536"/>
      <c r="F175" s="310"/>
      <c r="G175" s="116"/>
      <c r="H175" s="328"/>
      <c r="I175" s="207"/>
      <c r="J175" s="329"/>
      <c r="K175" s="328"/>
      <c r="L175" s="310"/>
      <c r="M175" s="147"/>
      <c r="N175" s="311"/>
      <c r="O175" s="147"/>
      <c r="P175" s="312"/>
      <c r="Q175" s="100"/>
      <c r="R175" s="330"/>
      <c r="S175" s="314"/>
      <c r="T175" s="469"/>
      <c r="U175" s="376"/>
      <c r="V175" s="316"/>
      <c r="W175" s="316"/>
      <c r="X175" s="317"/>
      <c r="Y175" s="318"/>
      <c r="Z175" s="317"/>
      <c r="AA175" s="318"/>
      <c r="AB175" s="317"/>
      <c r="AC175" s="318"/>
      <c r="AD175" s="317"/>
      <c r="AE175" s="318"/>
      <c r="AF175" s="317"/>
      <c r="AG175" s="318"/>
      <c r="AH175" s="317"/>
      <c r="AI175" s="318"/>
      <c r="AJ175" s="317"/>
      <c r="AK175" s="318"/>
    </row>
    <row r="176" spans="1:37" x14ac:dyDescent="0.15">
      <c r="A176" s="302">
        <v>10</v>
      </c>
      <c r="B176" s="537"/>
      <c r="C176" s="538"/>
      <c r="D176" s="538"/>
      <c r="E176" s="539"/>
      <c r="F176" s="47"/>
      <c r="G176" s="45"/>
      <c r="H176" s="45"/>
      <c r="I176" s="207"/>
      <c r="J176" s="46"/>
      <c r="K176" s="45"/>
      <c r="L176" s="47"/>
      <c r="M176" s="46"/>
      <c r="N176" s="72"/>
      <c r="O176" s="46"/>
      <c r="P176" s="100"/>
      <c r="Q176" s="100"/>
      <c r="R176" s="49"/>
      <c r="S176" s="50"/>
      <c r="T176" s="459"/>
      <c r="X176" s="264"/>
      <c r="Y176" s="265"/>
      <c r="Z176" s="264"/>
      <c r="AA176" s="265"/>
      <c r="AB176" s="264"/>
      <c r="AC176" s="265"/>
      <c r="AD176" s="264"/>
      <c r="AE176" s="265"/>
      <c r="AF176" s="264"/>
      <c r="AG176" s="265"/>
      <c r="AH176" s="264"/>
      <c r="AI176" s="265"/>
      <c r="AJ176" s="264"/>
      <c r="AK176" s="265"/>
    </row>
    <row r="177" spans="1:37" ht="13.5" customHeight="1" x14ac:dyDescent="0.15">
      <c r="A177" s="302">
        <v>11</v>
      </c>
      <c r="B177" s="531" t="s">
        <v>44</v>
      </c>
      <c r="C177" s="532"/>
      <c r="D177" s="532"/>
      <c r="E177" s="533"/>
      <c r="F177" s="47" t="str">
        <f>VLOOKUP($H:$H,型材表!$B$5:$I$448,2,0)</f>
        <v>压线</v>
      </c>
      <c r="G177" s="45" t="s">
        <v>39</v>
      </c>
      <c r="H177" s="45" t="str">
        <f>IF(G152=55,"SN55Y001",IF(G152=551,"SW55BY001",IF(G152=60,"SN60Y001",IF(G152=601,"SW60AY001",IF(G152=65,"SN65AY001",IF(G152=70,"SN70Y001",IF(G152=75,"SN75Y001",IF(G152=50,"SW50Y001"))))))))</f>
        <v>SN55Y001</v>
      </c>
      <c r="I177" s="207" t="s">
        <v>1173</v>
      </c>
      <c r="J177" s="52">
        <f>IF(G152=55,M156-V177,IF(G152=551,M156-X177,IF(G152=60,M156-Z177,IF(G152=601,M156-AB177,IF(G152=65,M156-AD177,IF(G152=70,M156-AF177,IF(G152=75,M156-AH177,IF(G152=50,M156-AJ177))))))))</f>
        <v>1157</v>
      </c>
      <c r="K177" s="45">
        <f>K172</f>
        <v>2</v>
      </c>
      <c r="L177" s="47">
        <f>VLOOKUP($H:$H,型材表!$B$5:$I$448,4,0)</f>
        <v>0.214</v>
      </c>
      <c r="M177" s="46">
        <f t="shared" ref="M177:M180" si="34">J177*K177*L177/1000</f>
        <v>0.49519599999999997</v>
      </c>
      <c r="N177" s="72">
        <f>VLOOKUP($H:$H,型材表!$B$5:$I$448,7,0)</f>
        <v>0</v>
      </c>
      <c r="O177" s="46">
        <f t="shared" ref="O177:O180" si="35">N177*M177</f>
        <v>0</v>
      </c>
      <c r="P177" s="100">
        <f>VLOOKUP($H:$H,型材表!$B$5:$I$448,5,0)</f>
        <v>0.125</v>
      </c>
      <c r="Q177" s="100" t="str">
        <f>VLOOKUP($H:$H,型材表!$B$5:$I$448,6,0)</f>
        <v>非断桥隔热铝型材</v>
      </c>
      <c r="R177" s="49"/>
      <c r="S177" s="50"/>
      <c r="T177" s="459"/>
      <c r="U177" s="374" t="s">
        <v>1231</v>
      </c>
      <c r="V177" s="269">
        <f>71.5*2</f>
        <v>143</v>
      </c>
      <c r="X177" s="279">
        <f>71.5*2</f>
        <v>143</v>
      </c>
      <c r="Y177" s="265"/>
      <c r="Z177" s="279">
        <f>71.5*2</f>
        <v>143</v>
      </c>
      <c r="AA177" s="265"/>
      <c r="AB177" s="279">
        <f>71.5*2</f>
        <v>143</v>
      </c>
      <c r="AC177" s="265"/>
      <c r="AD177" s="279">
        <f>71.5*2</f>
        <v>143</v>
      </c>
      <c r="AE177" s="265"/>
      <c r="AF177" s="279">
        <f>75*2</f>
        <v>150</v>
      </c>
      <c r="AG177" s="265"/>
      <c r="AH177" s="279">
        <f>75*2</f>
        <v>150</v>
      </c>
      <c r="AI177" s="265"/>
      <c r="AJ177" s="279">
        <f>66*2</f>
        <v>132</v>
      </c>
      <c r="AK177" s="265"/>
    </row>
    <row r="178" spans="1:37" x14ac:dyDescent="0.15">
      <c r="A178" s="302">
        <v>12</v>
      </c>
      <c r="B178" s="534"/>
      <c r="C178" s="535"/>
      <c r="D178" s="535"/>
      <c r="E178" s="536"/>
      <c r="F178" s="47" t="str">
        <f>VLOOKUP($H:$H,型材表!$B$5:$I$448,2,0)</f>
        <v>压线</v>
      </c>
      <c r="G178" s="45" t="s">
        <v>144</v>
      </c>
      <c r="H178" s="207" t="str">
        <f>H177</f>
        <v>SN55Y001</v>
      </c>
      <c r="I178" s="207" t="s">
        <v>1174</v>
      </c>
      <c r="J178" s="214">
        <f>IF(G152=55,M159-V178,IF(G152=551,M159-X178,IF(G152=60,M159-Z178,IF(G152=601,M159-AB178,IF(G152=65,M159-AD178,IF(G152=70,M159-AF178,IF(G152=75,M159-AH178,IF(G152=50,M159-AJ178))))))))</f>
        <v>357</v>
      </c>
      <c r="K178" s="207">
        <v>2</v>
      </c>
      <c r="L178" s="47">
        <f>VLOOKUP($H:$H,型材表!$B$5:$I$448,4,0)</f>
        <v>0.214</v>
      </c>
      <c r="M178" s="46">
        <f t="shared" si="34"/>
        <v>0.15279599999999999</v>
      </c>
      <c r="N178" s="72">
        <f>VLOOKUP($H:$H,型材表!$B$5:$I$448,7,0)</f>
        <v>0</v>
      </c>
      <c r="O178" s="46">
        <f t="shared" si="35"/>
        <v>0</v>
      </c>
      <c r="P178" s="100">
        <f>VLOOKUP($H:$H,型材表!$B$5:$I$448,5,0)</f>
        <v>0.125</v>
      </c>
      <c r="Q178" s="100" t="str">
        <f>VLOOKUP($H:$H,型材表!$B$5:$I$448,6,0)</f>
        <v>非断桥隔热铝型材</v>
      </c>
      <c r="R178" s="210"/>
      <c r="S178" s="50"/>
      <c r="T178" s="459"/>
      <c r="U178" s="374" t="s">
        <v>1208</v>
      </c>
      <c r="V178" s="259">
        <f>71.5*2</f>
        <v>143</v>
      </c>
      <c r="X178" s="286">
        <f>71.5*2</f>
        <v>143</v>
      </c>
      <c r="Y178" s="265"/>
      <c r="Z178" s="286">
        <f>71.5*2</f>
        <v>143</v>
      </c>
      <c r="AA178" s="265"/>
      <c r="AB178" s="286">
        <f>71.5*2</f>
        <v>143</v>
      </c>
      <c r="AC178" s="265"/>
      <c r="AD178" s="286">
        <f>71.5*2</f>
        <v>143</v>
      </c>
      <c r="AE178" s="265"/>
      <c r="AF178" s="264">
        <f>75*2</f>
        <v>150</v>
      </c>
      <c r="AG178" s="265"/>
      <c r="AH178" s="264">
        <f>75*2</f>
        <v>150</v>
      </c>
      <c r="AI178" s="265"/>
      <c r="AJ178" s="264">
        <f>66*2</f>
        <v>132</v>
      </c>
      <c r="AK178" s="265"/>
    </row>
    <row r="179" spans="1:37" x14ac:dyDescent="0.15">
      <c r="A179" s="302">
        <v>13</v>
      </c>
      <c r="B179" s="534"/>
      <c r="C179" s="535"/>
      <c r="D179" s="535"/>
      <c r="E179" s="536"/>
      <c r="F179" s="47" t="str">
        <f>VLOOKUP($H:$H,型材表!$B$5:$I$448,2,0)</f>
        <v>角码</v>
      </c>
      <c r="G179" s="213" t="s">
        <v>446</v>
      </c>
      <c r="H179" s="207" t="str">
        <f>IF(G152=70,"SN55F003",IF(G152=75,"SN55F003",IF(G152=50,"SW50F002","SW55F001")))</f>
        <v>SW55F001</v>
      </c>
      <c r="I179" s="207" t="s">
        <v>931</v>
      </c>
      <c r="J179" s="214">
        <f>IF(G152=55,V179,IF(G152=551,X179,IF(G152=60,Z179,IF(G152=601,AB179,IF(G152=65,AD179,IF(G152=70,AF179,IF(G152=75,AH179,IF(G152=50,AJ179))))))))</f>
        <v>32.200000000000003</v>
      </c>
      <c r="K179" s="207">
        <v>4</v>
      </c>
      <c r="L179" s="47">
        <f>VLOOKUP($H:$H,型材表!$B$5:$I$448,4,0)</f>
        <v>2.0950000000000002</v>
      </c>
      <c r="M179" s="46">
        <f t="shared" si="34"/>
        <v>0.26983600000000008</v>
      </c>
      <c r="N179" s="72">
        <f>VLOOKUP($H:$H,型材表!$B$5:$I$448,7,0)</f>
        <v>0</v>
      </c>
      <c r="O179" s="46">
        <f t="shared" si="35"/>
        <v>0</v>
      </c>
      <c r="P179" s="100">
        <f>VLOOKUP($H:$H,型材表!$B$5:$I$448,5,0)</f>
        <v>0.125</v>
      </c>
      <c r="Q179" s="100" t="str">
        <f>VLOOKUP($H:$H,型材表!$B$5:$I$448,6,0)</f>
        <v>阳极氧化铝型材</v>
      </c>
      <c r="R179" s="210"/>
      <c r="S179" s="50"/>
      <c r="T179" s="459"/>
      <c r="U179" s="374" t="s">
        <v>1210</v>
      </c>
      <c r="V179" s="259">
        <f>19.5-1+14.7-1</f>
        <v>32.200000000000003</v>
      </c>
      <c r="X179" s="264">
        <f>19.5-1+10.9-1</f>
        <v>28.4</v>
      </c>
      <c r="Y179" s="265"/>
      <c r="Z179" s="264">
        <f>19.5-1+14.7-1</f>
        <v>32.200000000000003</v>
      </c>
      <c r="AA179" s="265"/>
      <c r="AB179" s="264">
        <f>19.5-1+10.9-1</f>
        <v>28.4</v>
      </c>
      <c r="AC179" s="265"/>
      <c r="AD179" s="264">
        <f>19.5-1+14.7-1</f>
        <v>32.200000000000003</v>
      </c>
      <c r="AE179" s="265"/>
      <c r="AF179" s="264">
        <f>19.5-1+14.7-1</f>
        <v>32.200000000000003</v>
      </c>
      <c r="AG179" s="265"/>
      <c r="AH179" s="264">
        <f>19.5-1+14.7-1</f>
        <v>32.200000000000003</v>
      </c>
      <c r="AI179" s="265"/>
      <c r="AJ179" s="264">
        <f>15-1</f>
        <v>14</v>
      </c>
      <c r="AK179" s="265"/>
    </row>
    <row r="180" spans="1:37" s="229" customFormat="1" x14ac:dyDescent="0.15">
      <c r="A180" s="302">
        <v>14</v>
      </c>
      <c r="B180" s="534"/>
      <c r="C180" s="535"/>
      <c r="D180" s="535"/>
      <c r="E180" s="536"/>
      <c r="F180" s="47" t="str">
        <f>VLOOKUP($H:$H,型材表!$B$5:$I$448,2,0)</f>
        <v>角码</v>
      </c>
      <c r="G180" s="230" t="s">
        <v>447</v>
      </c>
      <c r="H180" s="222" t="str">
        <f>IF(G152=70,"SW70F001",IF(G152=75,"SW70F001",IF(G152=50,"SW50F003","SN55MF004")))</f>
        <v>SN55MF004</v>
      </c>
      <c r="I180" s="222" t="s">
        <v>933</v>
      </c>
      <c r="J180" s="214">
        <f>IF(G152=55,V180,IF(G152=551,X180,IF(G152=60,Z180,IF(G152=601,AB180,IF(G152=65,AD180,IF(G152=70,AF180,IF(G152=75,AH180,IF(G152=50,AJ180))))))))</f>
        <v>30.2</v>
      </c>
      <c r="K180" s="207">
        <v>4</v>
      </c>
      <c r="L180" s="47">
        <f>VLOOKUP($H:$H,型材表!$B$5:$I$448,4,0)</f>
        <v>2.996</v>
      </c>
      <c r="M180" s="46">
        <f t="shared" si="34"/>
        <v>0.36191679999999998</v>
      </c>
      <c r="N180" s="72">
        <f>VLOOKUP($H:$H,型材表!$B$5:$I$448,7,0)</f>
        <v>0</v>
      </c>
      <c r="O180" s="46">
        <f t="shared" si="35"/>
        <v>0</v>
      </c>
      <c r="P180" s="100">
        <f>VLOOKUP($H:$H,型材表!$B$5:$I$448,5,0)</f>
        <v>0.125</v>
      </c>
      <c r="Q180" s="100" t="str">
        <f>VLOOKUP($H:$H,型材表!$B$5:$I$448,6,0)</f>
        <v>阳极氧化铝型材</v>
      </c>
      <c r="R180" s="227"/>
      <c r="S180" s="228"/>
      <c r="T180" s="467"/>
      <c r="U180" s="375" t="s">
        <v>1219</v>
      </c>
      <c r="V180" s="266">
        <f>8-1+24.2-1</f>
        <v>30.2</v>
      </c>
      <c r="W180" s="266"/>
      <c r="X180" s="267">
        <f>4.2-1+24.2-1</f>
        <v>26.4</v>
      </c>
      <c r="Y180" s="268"/>
      <c r="Z180" s="267">
        <f>8-1+24.2-1</f>
        <v>30.2</v>
      </c>
      <c r="AA180" s="268"/>
      <c r="AB180" s="267">
        <f>4.2-1+24.2-1</f>
        <v>26.4</v>
      </c>
      <c r="AC180" s="268"/>
      <c r="AD180" s="267">
        <f>8-1+24.2-1</f>
        <v>30.2</v>
      </c>
      <c r="AE180" s="268"/>
      <c r="AF180" s="267">
        <f>7.3-1+24-1</f>
        <v>29.3</v>
      </c>
      <c r="AG180" s="268"/>
      <c r="AH180" s="267">
        <f>7.3-1+24-1</f>
        <v>29.3</v>
      </c>
      <c r="AI180" s="268"/>
      <c r="AJ180" s="267">
        <f>18.9-1</f>
        <v>17.899999999999999</v>
      </c>
      <c r="AK180" s="268"/>
    </row>
    <row r="181" spans="1:37" x14ac:dyDescent="0.15">
      <c r="A181" s="302">
        <v>15</v>
      </c>
      <c r="B181" s="534"/>
      <c r="C181" s="535"/>
      <c r="D181" s="535"/>
      <c r="E181" s="536"/>
      <c r="F181" s="47"/>
      <c r="G181" s="51"/>
      <c r="H181" s="45"/>
      <c r="I181" s="207"/>
      <c r="J181" s="52"/>
      <c r="K181" s="45"/>
      <c r="L181" s="47"/>
      <c r="M181" s="46"/>
      <c r="N181" s="72"/>
      <c r="O181" s="46"/>
      <c r="P181" s="100"/>
      <c r="Q181" s="100"/>
      <c r="R181" s="49"/>
      <c r="S181" s="50"/>
      <c r="T181" s="459"/>
      <c r="X181" s="264"/>
      <c r="Y181" s="265"/>
      <c r="Z181" s="286"/>
      <c r="AA181" s="265"/>
      <c r="AB181" s="264"/>
      <c r="AC181" s="265"/>
      <c r="AD181" s="286"/>
      <c r="AE181" s="265"/>
      <c r="AF181" s="286"/>
      <c r="AG181" s="265"/>
      <c r="AH181" s="286"/>
      <c r="AI181" s="265"/>
      <c r="AJ181" s="264"/>
      <c r="AK181" s="265"/>
    </row>
    <row r="182" spans="1:37" x14ac:dyDescent="0.15">
      <c r="A182" s="302">
        <v>16</v>
      </c>
      <c r="B182" s="534"/>
      <c r="C182" s="535"/>
      <c r="D182" s="535"/>
      <c r="E182" s="536"/>
      <c r="F182" s="47"/>
      <c r="G182" s="213"/>
      <c r="H182" s="207"/>
      <c r="I182" s="207"/>
      <c r="J182" s="214"/>
      <c r="K182" s="207"/>
      <c r="L182" s="47"/>
      <c r="M182" s="46"/>
      <c r="N182" s="72"/>
      <c r="O182" s="46"/>
      <c r="P182" s="100"/>
      <c r="Q182" s="100"/>
      <c r="R182" s="210"/>
      <c r="S182" s="50"/>
      <c r="T182" s="459"/>
      <c r="X182" s="264"/>
      <c r="Y182" s="265"/>
      <c r="Z182" s="286"/>
      <c r="AA182" s="265"/>
      <c r="AB182" s="264"/>
      <c r="AC182" s="265"/>
      <c r="AD182" s="286"/>
      <c r="AE182" s="265"/>
      <c r="AF182" s="286"/>
      <c r="AG182" s="265"/>
      <c r="AH182" s="286"/>
      <c r="AI182" s="265"/>
      <c r="AJ182" s="264"/>
      <c r="AK182" s="265"/>
    </row>
    <row r="183" spans="1:37" x14ac:dyDescent="0.15">
      <c r="A183" s="302">
        <v>17</v>
      </c>
      <c r="B183" s="534"/>
      <c r="C183" s="535"/>
      <c r="D183" s="535"/>
      <c r="E183" s="536"/>
      <c r="F183" s="306"/>
      <c r="G183" s="213"/>
      <c r="H183" s="207"/>
      <c r="I183" s="207"/>
      <c r="J183" s="214"/>
      <c r="K183" s="207"/>
      <c r="L183" s="306"/>
      <c r="M183" s="208"/>
      <c r="N183" s="209"/>
      <c r="O183" s="208"/>
      <c r="P183" s="307"/>
      <c r="Q183" s="100"/>
      <c r="R183" s="210"/>
      <c r="S183" s="50"/>
      <c r="T183" s="459"/>
      <c r="X183" s="264"/>
      <c r="Y183" s="265"/>
      <c r="Z183" s="264"/>
      <c r="AA183" s="265"/>
      <c r="AB183" s="264"/>
      <c r="AC183" s="265"/>
      <c r="AD183" s="264"/>
      <c r="AE183" s="265"/>
      <c r="AF183" s="264"/>
      <c r="AG183" s="265"/>
      <c r="AH183" s="264"/>
      <c r="AI183" s="265"/>
      <c r="AJ183" s="264"/>
      <c r="AK183" s="265"/>
    </row>
    <row r="184" spans="1:37" x14ac:dyDescent="0.15">
      <c r="A184" s="302">
        <v>18</v>
      </c>
      <c r="B184" s="534"/>
      <c r="C184" s="535"/>
      <c r="D184" s="535"/>
      <c r="E184" s="536"/>
      <c r="F184" s="306"/>
      <c r="G184" s="213"/>
      <c r="H184" s="207"/>
      <c r="I184" s="207"/>
      <c r="J184" s="214"/>
      <c r="K184" s="207"/>
      <c r="L184" s="306"/>
      <c r="M184" s="208"/>
      <c r="N184" s="209"/>
      <c r="O184" s="208"/>
      <c r="P184" s="307"/>
      <c r="Q184" s="100"/>
      <c r="R184" s="210"/>
      <c r="S184" s="50"/>
      <c r="T184" s="459"/>
      <c r="X184" s="264"/>
      <c r="Y184" s="265"/>
      <c r="Z184" s="264"/>
      <c r="AA184" s="265"/>
      <c r="AB184" s="264"/>
      <c r="AC184" s="265"/>
      <c r="AD184" s="264"/>
      <c r="AE184" s="265"/>
      <c r="AF184" s="264"/>
      <c r="AG184" s="265"/>
      <c r="AH184" s="264"/>
      <c r="AI184" s="265"/>
      <c r="AJ184" s="264"/>
      <c r="AK184" s="265"/>
    </row>
    <row r="185" spans="1:37" x14ac:dyDescent="0.15">
      <c r="A185" s="302">
        <v>19</v>
      </c>
      <c r="B185" s="534"/>
      <c r="C185" s="535"/>
      <c r="D185" s="535"/>
      <c r="E185" s="536"/>
      <c r="F185" s="306"/>
      <c r="G185" s="213"/>
      <c r="H185" s="207"/>
      <c r="I185" s="207"/>
      <c r="J185" s="214"/>
      <c r="K185" s="207"/>
      <c r="L185" s="306"/>
      <c r="M185" s="208"/>
      <c r="N185" s="209"/>
      <c r="O185" s="208"/>
      <c r="P185" s="307"/>
      <c r="Q185" s="100"/>
      <c r="R185" s="210"/>
      <c r="S185" s="50"/>
      <c r="T185" s="459"/>
      <c r="X185" s="264"/>
      <c r="Y185" s="265"/>
      <c r="Z185" s="264"/>
      <c r="AA185" s="265"/>
      <c r="AB185" s="264"/>
      <c r="AC185" s="265"/>
      <c r="AD185" s="264"/>
      <c r="AE185" s="265"/>
      <c r="AF185" s="264"/>
      <c r="AG185" s="265"/>
      <c r="AH185" s="264"/>
      <c r="AI185" s="265"/>
      <c r="AJ185" s="264"/>
      <c r="AK185" s="265"/>
    </row>
    <row r="186" spans="1:37" x14ac:dyDescent="0.15">
      <c r="A186" s="413">
        <v>20</v>
      </c>
      <c r="B186" s="534"/>
      <c r="C186" s="535"/>
      <c r="D186" s="535"/>
      <c r="E186" s="536"/>
      <c r="F186" s="306"/>
      <c r="G186" s="213"/>
      <c r="H186" s="207"/>
      <c r="I186" s="207"/>
      <c r="J186" s="214"/>
      <c r="K186" s="207"/>
      <c r="L186" s="306"/>
      <c r="M186" s="208"/>
      <c r="N186" s="209"/>
      <c r="O186" s="208"/>
      <c r="P186" s="307"/>
      <c r="Q186" s="307"/>
      <c r="R186" s="210"/>
      <c r="S186" s="50"/>
      <c r="T186" s="459"/>
      <c r="X186" s="264"/>
      <c r="Y186" s="265"/>
      <c r="Z186" s="264"/>
      <c r="AA186" s="265"/>
      <c r="AB186" s="264"/>
      <c r="AC186" s="265"/>
      <c r="AD186" s="264"/>
      <c r="AE186" s="265"/>
      <c r="AF186" s="264"/>
      <c r="AG186" s="265"/>
      <c r="AH186" s="264"/>
      <c r="AI186" s="265"/>
      <c r="AJ186" s="264"/>
      <c r="AK186" s="265"/>
    </row>
    <row r="187" spans="1:37" x14ac:dyDescent="0.15">
      <c r="A187" s="413">
        <v>21</v>
      </c>
      <c r="B187" s="534"/>
      <c r="C187" s="535"/>
      <c r="D187" s="535"/>
      <c r="E187" s="536"/>
      <c r="F187" s="306"/>
      <c r="G187" s="213"/>
      <c r="H187" s="207"/>
      <c r="I187" s="207"/>
      <c r="J187" s="214"/>
      <c r="K187" s="207"/>
      <c r="L187" s="306"/>
      <c r="M187" s="208"/>
      <c r="N187" s="209"/>
      <c r="O187" s="208"/>
      <c r="P187" s="307"/>
      <c r="Q187" s="307"/>
      <c r="R187" s="210"/>
      <c r="S187" s="50"/>
      <c r="T187" s="459"/>
      <c r="X187" s="264"/>
      <c r="Y187" s="265"/>
      <c r="Z187" s="264"/>
      <c r="AA187" s="265"/>
      <c r="AB187" s="264"/>
      <c r="AC187" s="265"/>
      <c r="AD187" s="264"/>
      <c r="AE187" s="265"/>
      <c r="AF187" s="264"/>
      <c r="AG187" s="265"/>
      <c r="AH187" s="264"/>
      <c r="AI187" s="265"/>
      <c r="AJ187" s="264"/>
      <c r="AK187" s="265"/>
    </row>
    <row r="188" spans="1:37" x14ac:dyDescent="0.15">
      <c r="A188" s="413">
        <v>22</v>
      </c>
      <c r="B188" s="534"/>
      <c r="C188" s="535"/>
      <c r="D188" s="535"/>
      <c r="E188" s="536"/>
      <c r="F188" s="306"/>
      <c r="G188" s="213"/>
      <c r="H188" s="207"/>
      <c r="I188" s="207"/>
      <c r="J188" s="214"/>
      <c r="K188" s="207"/>
      <c r="L188" s="306"/>
      <c r="M188" s="208"/>
      <c r="N188" s="209"/>
      <c r="O188" s="208"/>
      <c r="P188" s="307"/>
      <c r="Q188" s="307"/>
      <c r="R188" s="210"/>
      <c r="S188" s="50"/>
      <c r="T188" s="459"/>
      <c r="X188" s="264"/>
      <c r="Y188" s="265"/>
      <c r="Z188" s="264"/>
      <c r="AA188" s="265"/>
      <c r="AB188" s="264"/>
      <c r="AC188" s="265"/>
      <c r="AD188" s="264"/>
      <c r="AE188" s="265"/>
      <c r="AF188" s="264"/>
      <c r="AG188" s="265"/>
      <c r="AH188" s="264"/>
      <c r="AI188" s="265"/>
      <c r="AJ188" s="264"/>
      <c r="AK188" s="265"/>
    </row>
    <row r="189" spans="1:37" x14ac:dyDescent="0.15">
      <c r="A189" s="413">
        <v>23</v>
      </c>
      <c r="B189" s="534"/>
      <c r="C189" s="535"/>
      <c r="D189" s="535"/>
      <c r="E189" s="536"/>
      <c r="F189" s="306"/>
      <c r="G189" s="213"/>
      <c r="H189" s="207"/>
      <c r="I189" s="207"/>
      <c r="J189" s="214"/>
      <c r="K189" s="207"/>
      <c r="L189" s="306"/>
      <c r="M189" s="208"/>
      <c r="N189" s="209"/>
      <c r="O189" s="208"/>
      <c r="P189" s="307"/>
      <c r="Q189" s="307"/>
      <c r="R189" s="210"/>
      <c r="S189" s="50"/>
      <c r="T189" s="459"/>
      <c r="X189" s="264"/>
      <c r="Y189" s="265"/>
      <c r="Z189" s="264"/>
      <c r="AA189" s="265"/>
      <c r="AB189" s="264"/>
      <c r="AC189" s="265"/>
      <c r="AD189" s="264"/>
      <c r="AE189" s="265"/>
      <c r="AF189" s="264"/>
      <c r="AG189" s="265"/>
      <c r="AH189" s="264"/>
      <c r="AI189" s="265"/>
      <c r="AJ189" s="264"/>
      <c r="AK189" s="265"/>
    </row>
    <row r="190" spans="1:37" x14ac:dyDescent="0.15">
      <c r="A190" s="413">
        <v>24</v>
      </c>
      <c r="B190" s="534"/>
      <c r="C190" s="535"/>
      <c r="D190" s="535"/>
      <c r="E190" s="536"/>
      <c r="F190" s="306"/>
      <c r="G190" s="213"/>
      <c r="H190" s="207"/>
      <c r="I190" s="207"/>
      <c r="J190" s="214"/>
      <c r="K190" s="207"/>
      <c r="L190" s="306"/>
      <c r="M190" s="208"/>
      <c r="N190" s="209"/>
      <c r="O190" s="208"/>
      <c r="P190" s="307"/>
      <c r="Q190" s="100"/>
      <c r="R190" s="210"/>
      <c r="S190" s="50"/>
      <c r="T190" s="459"/>
      <c r="X190" s="264"/>
      <c r="Y190" s="265"/>
      <c r="Z190" s="264"/>
      <c r="AA190" s="265"/>
      <c r="AB190" s="264"/>
      <c r="AC190" s="265"/>
      <c r="AD190" s="264"/>
      <c r="AE190" s="265"/>
      <c r="AF190" s="264"/>
      <c r="AG190" s="265"/>
      <c r="AH190" s="264"/>
      <c r="AI190" s="265"/>
      <c r="AJ190" s="264"/>
      <c r="AK190" s="265"/>
    </row>
    <row r="191" spans="1:37" x14ac:dyDescent="0.15">
      <c r="A191" s="413">
        <v>25</v>
      </c>
      <c r="B191" s="534"/>
      <c r="C191" s="535"/>
      <c r="D191" s="535"/>
      <c r="E191" s="536"/>
      <c r="F191" s="306"/>
      <c r="G191" s="213"/>
      <c r="H191" s="207"/>
      <c r="I191" s="207"/>
      <c r="J191" s="214"/>
      <c r="K191" s="207"/>
      <c r="L191" s="306"/>
      <c r="M191" s="208"/>
      <c r="N191" s="209"/>
      <c r="O191" s="208"/>
      <c r="P191" s="307"/>
      <c r="Q191" s="100"/>
      <c r="R191" s="210"/>
      <c r="S191" s="50"/>
      <c r="T191" s="459"/>
      <c r="X191" s="264"/>
      <c r="Y191" s="265"/>
      <c r="Z191" s="264"/>
      <c r="AA191" s="265"/>
      <c r="AB191" s="264"/>
      <c r="AC191" s="265"/>
      <c r="AD191" s="264"/>
      <c r="AE191" s="265"/>
      <c r="AF191" s="264"/>
      <c r="AG191" s="265"/>
      <c r="AH191" s="264"/>
      <c r="AI191" s="265"/>
      <c r="AJ191" s="264"/>
      <c r="AK191" s="265"/>
    </row>
    <row r="192" spans="1:37" x14ac:dyDescent="0.15">
      <c r="A192" s="413">
        <v>26</v>
      </c>
      <c r="B192" s="534"/>
      <c r="C192" s="535"/>
      <c r="D192" s="535"/>
      <c r="E192" s="536"/>
      <c r="F192" s="47"/>
      <c r="G192" s="213"/>
      <c r="H192" s="207"/>
      <c r="I192" s="207"/>
      <c r="J192" s="214"/>
      <c r="K192" s="207"/>
      <c r="L192" s="47"/>
      <c r="M192" s="46"/>
      <c r="N192" s="72"/>
      <c r="O192" s="46"/>
      <c r="P192" s="100"/>
      <c r="Q192" s="100"/>
      <c r="R192" s="210"/>
      <c r="S192" s="50"/>
      <c r="T192" s="459"/>
      <c r="X192" s="264"/>
      <c r="Y192" s="265"/>
      <c r="Z192" s="264"/>
      <c r="AA192" s="265"/>
      <c r="AB192" s="264"/>
      <c r="AC192" s="265"/>
      <c r="AD192" s="264"/>
      <c r="AE192" s="265"/>
      <c r="AF192" s="264"/>
      <c r="AG192" s="265"/>
      <c r="AH192" s="264"/>
      <c r="AI192" s="265"/>
      <c r="AJ192" s="264"/>
      <c r="AK192" s="265"/>
    </row>
    <row r="193" spans="1:37" s="229" customFormat="1" x14ac:dyDescent="0.15">
      <c r="A193" s="413">
        <v>27</v>
      </c>
      <c r="B193" s="537"/>
      <c r="C193" s="538"/>
      <c r="D193" s="538"/>
      <c r="E193" s="539"/>
      <c r="F193" s="221"/>
      <c r="G193" s="232"/>
      <c r="H193" s="233"/>
      <c r="I193" s="222"/>
      <c r="J193" s="234"/>
      <c r="K193" s="233"/>
      <c r="L193" s="221"/>
      <c r="M193" s="224"/>
      <c r="N193" s="225"/>
      <c r="O193" s="224"/>
      <c r="P193" s="226"/>
      <c r="Q193" s="226"/>
      <c r="R193" s="235"/>
      <c r="S193" s="228"/>
      <c r="T193" s="467"/>
      <c r="U193" s="375"/>
      <c r="V193" s="266"/>
      <c r="W193" s="266"/>
      <c r="X193" s="267"/>
      <c r="Y193" s="268"/>
      <c r="Z193" s="267"/>
      <c r="AA193" s="268"/>
      <c r="AB193" s="267"/>
      <c r="AC193" s="268"/>
      <c r="AD193" s="267"/>
      <c r="AE193" s="268"/>
      <c r="AF193" s="267"/>
      <c r="AG193" s="268"/>
      <c r="AH193" s="267"/>
      <c r="AI193" s="268"/>
      <c r="AJ193" s="267"/>
      <c r="AK193" s="268"/>
    </row>
    <row r="194" spans="1:37" s="229" customFormat="1" ht="13.5" customHeight="1" x14ac:dyDescent="0.15">
      <c r="A194" s="542" t="s">
        <v>975</v>
      </c>
      <c r="B194" s="543"/>
      <c r="C194" s="543"/>
      <c r="D194" s="543"/>
      <c r="E194" s="543"/>
      <c r="F194" s="543"/>
      <c r="G194" s="543"/>
      <c r="H194" s="543"/>
      <c r="I194" s="543"/>
      <c r="J194" s="543"/>
      <c r="K194" s="543"/>
      <c r="L194" s="544"/>
      <c r="M194" s="224">
        <f>SUMIF($Q$167:$Q$193,A194,$M$167:$M$193)</f>
        <v>8.4083360000000003</v>
      </c>
      <c r="N194" s="353"/>
      <c r="O194" s="224"/>
      <c r="P194" s="354"/>
      <c r="Q194" s="355"/>
      <c r="R194" s="296"/>
      <c r="S194" s="228"/>
      <c r="T194" s="467"/>
      <c r="U194" s="375"/>
      <c r="V194" s="266"/>
      <c r="W194" s="266"/>
      <c r="X194" s="267"/>
      <c r="Y194" s="268"/>
      <c r="Z194" s="267"/>
      <c r="AA194" s="268"/>
      <c r="AB194" s="267"/>
      <c r="AC194" s="268"/>
      <c r="AD194" s="267"/>
      <c r="AE194" s="268"/>
      <c r="AF194" s="267"/>
      <c r="AG194" s="268"/>
      <c r="AH194" s="267"/>
      <c r="AI194" s="268"/>
      <c r="AJ194" s="267"/>
      <c r="AK194" s="268"/>
    </row>
    <row r="195" spans="1:37" s="229" customFormat="1" ht="13.5" customHeight="1" x14ac:dyDescent="0.15">
      <c r="A195" s="542" t="s">
        <v>976</v>
      </c>
      <c r="B195" s="543"/>
      <c r="C195" s="543"/>
      <c r="D195" s="543"/>
      <c r="E195" s="543"/>
      <c r="F195" s="543"/>
      <c r="G195" s="543"/>
      <c r="H195" s="543"/>
      <c r="I195" s="543"/>
      <c r="J195" s="543"/>
      <c r="K195" s="543"/>
      <c r="L195" s="544"/>
      <c r="M195" s="224">
        <f>SUMIF($Q$167:$Q$193,A195,$M$167:$M$193)</f>
        <v>0.6479919999999999</v>
      </c>
      <c r="N195" s="353"/>
      <c r="O195" s="224"/>
      <c r="P195" s="354"/>
      <c r="Q195" s="355"/>
      <c r="R195" s="296"/>
      <c r="S195" s="228"/>
      <c r="T195" s="467"/>
      <c r="U195" s="375"/>
      <c r="V195" s="266"/>
      <c r="W195" s="266"/>
      <c r="X195" s="267"/>
      <c r="Y195" s="268"/>
      <c r="Z195" s="267"/>
      <c r="AA195" s="268"/>
      <c r="AB195" s="267"/>
      <c r="AC195" s="268"/>
      <c r="AD195" s="267"/>
      <c r="AE195" s="268"/>
      <c r="AF195" s="267"/>
      <c r="AG195" s="268"/>
      <c r="AH195" s="267"/>
      <c r="AI195" s="268"/>
      <c r="AJ195" s="267"/>
      <c r="AK195" s="268"/>
    </row>
    <row r="196" spans="1:37" s="229" customFormat="1" ht="13.5" customHeight="1" x14ac:dyDescent="0.15">
      <c r="A196" s="542" t="s">
        <v>977</v>
      </c>
      <c r="B196" s="543"/>
      <c r="C196" s="543"/>
      <c r="D196" s="543"/>
      <c r="E196" s="543"/>
      <c r="F196" s="543"/>
      <c r="G196" s="543"/>
      <c r="H196" s="543"/>
      <c r="I196" s="543"/>
      <c r="J196" s="543"/>
      <c r="K196" s="543"/>
      <c r="L196" s="544"/>
      <c r="M196" s="224">
        <f>SUMIF($Q$167:$Q$193,A196,$M$167:$M$193)</f>
        <v>0.63175280000000011</v>
      </c>
      <c r="N196" s="353"/>
      <c r="O196" s="224"/>
      <c r="P196" s="354"/>
      <c r="Q196" s="355"/>
      <c r="R196" s="296"/>
      <c r="S196" s="228"/>
      <c r="T196" s="467"/>
      <c r="U196" s="375"/>
      <c r="V196" s="266"/>
      <c r="W196" s="266"/>
      <c r="X196" s="267"/>
      <c r="Y196" s="268"/>
      <c r="Z196" s="267"/>
      <c r="AA196" s="268"/>
      <c r="AB196" s="267"/>
      <c r="AC196" s="268"/>
      <c r="AD196" s="267"/>
      <c r="AE196" s="268"/>
      <c r="AF196" s="267"/>
      <c r="AG196" s="268"/>
      <c r="AH196" s="267"/>
      <c r="AI196" s="268"/>
      <c r="AJ196" s="267"/>
      <c r="AK196" s="268"/>
    </row>
    <row r="197" spans="1:37" ht="13.5" customHeight="1" x14ac:dyDescent="0.15">
      <c r="A197" s="552"/>
      <c r="B197" s="557"/>
      <c r="C197" s="557"/>
      <c r="D197" s="553"/>
      <c r="E197" s="552" t="s">
        <v>48</v>
      </c>
      <c r="F197" s="557"/>
      <c r="G197" s="557"/>
      <c r="H197" s="557"/>
      <c r="I197" s="557"/>
      <c r="J197" s="557"/>
      <c r="K197" s="553"/>
      <c r="L197" s="62"/>
      <c r="M197" s="62">
        <f>SUM(M194:M196)</f>
        <v>9.6880808000000016</v>
      </c>
      <c r="N197" s="63"/>
      <c r="O197" s="62">
        <f>SUM(O167:O193)</f>
        <v>0</v>
      </c>
      <c r="P197" s="63"/>
      <c r="Q197" s="337"/>
      <c r="R197" s="64"/>
      <c r="S197" s="64"/>
      <c r="T197" s="460"/>
      <c r="X197" s="264"/>
      <c r="Y197" s="265"/>
      <c r="Z197" s="264"/>
      <c r="AA197" s="265"/>
      <c r="AB197" s="264"/>
      <c r="AC197" s="265"/>
      <c r="AD197" s="264"/>
      <c r="AE197" s="265"/>
      <c r="AF197" s="264"/>
      <c r="AG197" s="265"/>
      <c r="AH197" s="264"/>
      <c r="AI197" s="265"/>
      <c r="AJ197" s="264"/>
      <c r="AK197" s="265"/>
    </row>
    <row r="198" spans="1:37" ht="24" x14ac:dyDescent="0.15">
      <c r="A198" s="65"/>
      <c r="B198" s="560" t="s">
        <v>49</v>
      </c>
      <c r="C198" s="561"/>
      <c r="D198" s="561"/>
      <c r="E198" s="562"/>
      <c r="F198" s="565" t="s">
        <v>26</v>
      </c>
      <c r="G198" s="566"/>
      <c r="H198" s="66" t="s">
        <v>1167</v>
      </c>
      <c r="I198" s="351" t="s">
        <v>1168</v>
      </c>
      <c r="J198" s="66" t="s">
        <v>50</v>
      </c>
      <c r="K198" s="66" t="s">
        <v>51</v>
      </c>
      <c r="L198" s="67" t="s">
        <v>30</v>
      </c>
      <c r="M198" s="66" t="s">
        <v>52</v>
      </c>
      <c r="N198" s="68" t="s">
        <v>53</v>
      </c>
      <c r="O198" s="68" t="s">
        <v>34</v>
      </c>
      <c r="P198" s="69" t="s">
        <v>35</v>
      </c>
      <c r="Q198" s="42"/>
      <c r="R198" s="67"/>
      <c r="S198" s="67"/>
      <c r="T198" s="461"/>
      <c r="V198" s="270" t="s">
        <v>352</v>
      </c>
      <c r="W198" s="270" t="s">
        <v>353</v>
      </c>
      <c r="X198" s="271" t="s">
        <v>352</v>
      </c>
      <c r="Y198" s="272" t="s">
        <v>353</v>
      </c>
      <c r="Z198" s="271" t="s">
        <v>352</v>
      </c>
      <c r="AA198" s="272" t="s">
        <v>353</v>
      </c>
      <c r="AB198" s="271" t="s">
        <v>352</v>
      </c>
      <c r="AC198" s="272" t="s">
        <v>353</v>
      </c>
      <c r="AD198" s="271" t="s">
        <v>352</v>
      </c>
      <c r="AE198" s="272" t="s">
        <v>353</v>
      </c>
      <c r="AF198" s="271" t="s">
        <v>352</v>
      </c>
      <c r="AG198" s="272" t="s">
        <v>353</v>
      </c>
      <c r="AH198" s="271" t="s">
        <v>352</v>
      </c>
      <c r="AI198" s="272" t="s">
        <v>353</v>
      </c>
      <c r="AJ198" s="271" t="s">
        <v>352</v>
      </c>
      <c r="AK198" s="272" t="s">
        <v>353</v>
      </c>
    </row>
    <row r="199" spans="1:37" x14ac:dyDescent="0.15">
      <c r="A199" s="302">
        <v>1</v>
      </c>
      <c r="B199" s="542" t="s">
        <v>133</v>
      </c>
      <c r="C199" s="543"/>
      <c r="D199" s="543"/>
      <c r="E199" s="544"/>
      <c r="F199" s="545" t="s">
        <v>55</v>
      </c>
      <c r="G199" s="547"/>
      <c r="H199" s="45" t="s">
        <v>1220</v>
      </c>
      <c r="I199" s="207" t="s">
        <v>1232</v>
      </c>
      <c r="J199" s="46">
        <f>IF(G152=55,M159-V199,IF(G152=551,M159-X199,IF(G152=60,M159-Z199,IF(G152=601,M159-AB199,IF(G152=65,M159-AD199,IF(G152=70,M159-AF199,IF(G152=75,M159-AH199,IF(G152=50,M159-AJ199))))))))</f>
        <v>333</v>
      </c>
      <c r="K199" s="70">
        <f>IF(G152=55,M156-W199,IF(G152=551,M156-Y199,IF(G152=60,M156-AA199,IF(G152=601,M156-AC199,IF(G152=65,M156-AE199,IF(G152=70,M156-AG199,IF(G152=75,M156-AI199,IF(G152=50,M156-AK199))))))))</f>
        <v>1133</v>
      </c>
      <c r="L199" s="70">
        <v>1</v>
      </c>
      <c r="M199" s="46">
        <f>J199*K199*L199/1000000</f>
        <v>0.37728899999999999</v>
      </c>
      <c r="N199" s="46"/>
      <c r="O199" s="46">
        <f>N199*M199</f>
        <v>0</v>
      </c>
      <c r="P199" s="71"/>
      <c r="Q199" s="71"/>
      <c r="R199" s="72"/>
      <c r="S199" s="72"/>
      <c r="T199" s="462" t="s">
        <v>1616</v>
      </c>
      <c r="U199" s="374" t="s">
        <v>1617</v>
      </c>
      <c r="V199" s="259">
        <f t="shared" ref="V199:AE199" si="36">83.5*2</f>
        <v>167</v>
      </c>
      <c r="W199" s="259">
        <f t="shared" si="36"/>
        <v>167</v>
      </c>
      <c r="X199" s="286">
        <f t="shared" si="36"/>
        <v>167</v>
      </c>
      <c r="Y199" s="304">
        <f t="shared" si="36"/>
        <v>167</v>
      </c>
      <c r="Z199" s="286">
        <f t="shared" si="36"/>
        <v>167</v>
      </c>
      <c r="AA199" s="304">
        <f t="shared" si="36"/>
        <v>167</v>
      </c>
      <c r="AB199" s="286">
        <f t="shared" si="36"/>
        <v>167</v>
      </c>
      <c r="AC199" s="304">
        <f t="shared" si="36"/>
        <v>167</v>
      </c>
      <c r="AD199" s="286">
        <f t="shared" si="36"/>
        <v>167</v>
      </c>
      <c r="AE199" s="304">
        <f t="shared" si="36"/>
        <v>167</v>
      </c>
      <c r="AF199" s="286">
        <f>87*2</f>
        <v>174</v>
      </c>
      <c r="AG199" s="304">
        <f>87*2</f>
        <v>174</v>
      </c>
      <c r="AH199" s="286">
        <f>87*2</f>
        <v>174</v>
      </c>
      <c r="AI199" s="304">
        <f>87*2</f>
        <v>174</v>
      </c>
      <c r="AJ199" s="264">
        <f>74*2</f>
        <v>148</v>
      </c>
      <c r="AK199" s="265">
        <f>74*2</f>
        <v>148</v>
      </c>
    </row>
    <row r="200" spans="1:37" x14ac:dyDescent="0.15">
      <c r="A200" s="238"/>
      <c r="B200" s="542"/>
      <c r="C200" s="543"/>
      <c r="D200" s="543"/>
      <c r="E200" s="544"/>
      <c r="F200" s="545"/>
      <c r="G200" s="547"/>
      <c r="H200" s="207"/>
      <c r="I200" s="207"/>
      <c r="J200" s="208"/>
      <c r="K200" s="239"/>
      <c r="L200" s="239"/>
      <c r="M200" s="46"/>
      <c r="N200" s="208"/>
      <c r="O200" s="46"/>
      <c r="P200" s="240"/>
      <c r="Q200" s="71"/>
      <c r="R200" s="209"/>
      <c r="S200" s="209"/>
      <c r="T200" s="462"/>
      <c r="X200" s="286"/>
      <c r="Y200" s="304"/>
      <c r="Z200" s="286"/>
      <c r="AA200" s="304"/>
      <c r="AB200" s="286"/>
      <c r="AC200" s="304"/>
      <c r="AD200" s="286"/>
      <c r="AE200" s="304"/>
      <c r="AF200" s="286"/>
      <c r="AG200" s="304"/>
      <c r="AH200" s="286"/>
      <c r="AI200" s="304"/>
      <c r="AJ200" s="264"/>
      <c r="AK200" s="265"/>
    </row>
    <row r="201" spans="1:37" x14ac:dyDescent="0.15">
      <c r="A201" s="414"/>
      <c r="B201" s="446"/>
      <c r="C201" s="447"/>
      <c r="D201" s="447"/>
      <c r="E201" s="448"/>
      <c r="F201" s="434"/>
      <c r="G201" s="436"/>
      <c r="H201" s="207"/>
      <c r="I201" s="207"/>
      <c r="J201" s="208"/>
      <c r="K201" s="239"/>
      <c r="L201" s="239"/>
      <c r="M201" s="208"/>
      <c r="N201" s="208"/>
      <c r="O201" s="208"/>
      <c r="P201" s="240"/>
      <c r="Q201" s="240"/>
      <c r="R201" s="209"/>
      <c r="S201" s="209"/>
      <c r="T201" s="462"/>
      <c r="X201" s="286"/>
      <c r="Y201" s="288"/>
      <c r="Z201" s="286"/>
      <c r="AA201" s="288"/>
      <c r="AB201" s="286"/>
      <c r="AC201" s="288"/>
      <c r="AD201" s="286"/>
      <c r="AE201" s="288"/>
      <c r="AF201" s="286"/>
      <c r="AG201" s="288"/>
      <c r="AH201" s="286"/>
      <c r="AI201" s="288"/>
      <c r="AJ201" s="264"/>
      <c r="AK201" s="265"/>
    </row>
    <row r="202" spans="1:37" x14ac:dyDescent="0.15">
      <c r="A202" s="414"/>
      <c r="B202" s="446"/>
      <c r="C202" s="447"/>
      <c r="D202" s="447"/>
      <c r="E202" s="448"/>
      <c r="F202" s="434"/>
      <c r="G202" s="436"/>
      <c r="H202" s="207"/>
      <c r="I202" s="207"/>
      <c r="J202" s="208"/>
      <c r="K202" s="239"/>
      <c r="L202" s="239"/>
      <c r="M202" s="208"/>
      <c r="N202" s="208"/>
      <c r="O202" s="208"/>
      <c r="P202" s="240"/>
      <c r="Q202" s="240"/>
      <c r="R202" s="209"/>
      <c r="S202" s="209"/>
      <c r="T202" s="462"/>
      <c r="X202" s="286"/>
      <c r="Y202" s="288"/>
      <c r="Z202" s="286"/>
      <c r="AA202" s="288"/>
      <c r="AB202" s="286"/>
      <c r="AC202" s="288"/>
      <c r="AD202" s="286"/>
      <c r="AE202" s="288"/>
      <c r="AF202" s="286"/>
      <c r="AG202" s="288"/>
      <c r="AH202" s="286"/>
      <c r="AI202" s="288"/>
      <c r="AJ202" s="264"/>
      <c r="AK202" s="265"/>
    </row>
    <row r="203" spans="1:37" x14ac:dyDescent="0.15">
      <c r="A203" s="302"/>
      <c r="B203" s="542"/>
      <c r="C203" s="543"/>
      <c r="D203" s="543"/>
      <c r="E203" s="544"/>
      <c r="F203" s="545"/>
      <c r="G203" s="547"/>
      <c r="H203" s="45"/>
      <c r="I203" s="207"/>
      <c r="J203" s="45"/>
      <c r="K203" s="45"/>
      <c r="L203" s="70"/>
      <c r="M203" s="46"/>
      <c r="N203" s="46"/>
      <c r="O203" s="46"/>
      <c r="P203" s="71"/>
      <c r="Q203" s="71"/>
      <c r="R203" s="72"/>
      <c r="S203" s="72"/>
      <c r="T203" s="462"/>
      <c r="X203" s="264"/>
      <c r="Y203" s="265"/>
      <c r="Z203" s="264"/>
      <c r="AA203" s="265"/>
      <c r="AB203" s="264"/>
      <c r="AC203" s="265"/>
      <c r="AD203" s="264"/>
      <c r="AE203" s="265"/>
      <c r="AF203" s="264"/>
      <c r="AG203" s="265"/>
      <c r="AH203" s="264"/>
      <c r="AI203" s="265"/>
      <c r="AJ203" s="264"/>
      <c r="AK203" s="265"/>
    </row>
    <row r="204" spans="1:37" x14ac:dyDescent="0.15">
      <c r="A204" s="302"/>
      <c r="B204" s="542"/>
      <c r="C204" s="543"/>
      <c r="D204" s="543"/>
      <c r="E204" s="544"/>
      <c r="F204" s="545"/>
      <c r="G204" s="547"/>
      <c r="H204" s="45"/>
      <c r="I204" s="207"/>
      <c r="J204" s="46"/>
      <c r="K204" s="302"/>
      <c r="L204" s="70"/>
      <c r="M204" s="46"/>
      <c r="N204" s="46"/>
      <c r="O204" s="46"/>
      <c r="P204" s="48"/>
      <c r="Q204" s="48"/>
      <c r="R204" s="73"/>
      <c r="S204" s="73"/>
      <c r="T204" s="463"/>
      <c r="X204" s="264"/>
      <c r="Y204" s="265"/>
      <c r="Z204" s="264"/>
      <c r="AA204" s="265"/>
    </row>
    <row r="205" spans="1:37" x14ac:dyDescent="0.15">
      <c r="A205" s="74"/>
      <c r="B205" s="552"/>
      <c r="C205" s="557"/>
      <c r="D205" s="557"/>
      <c r="E205" s="553"/>
      <c r="F205" s="554" t="s">
        <v>56</v>
      </c>
      <c r="G205" s="554"/>
      <c r="H205" s="554"/>
      <c r="I205" s="579"/>
      <c r="J205" s="570"/>
      <c r="K205" s="570"/>
      <c r="L205" s="554"/>
      <c r="M205" s="62">
        <f>SUM(M199:M204)</f>
        <v>0.37728899999999999</v>
      </c>
      <c r="N205" s="300"/>
      <c r="O205" s="62">
        <f>SUM(O199:O204)</f>
        <v>0</v>
      </c>
      <c r="P205" s="63" t="s">
        <v>57</v>
      </c>
      <c r="Q205" s="337"/>
      <c r="R205" s="64"/>
      <c r="S205" s="64"/>
      <c r="T205" s="460"/>
    </row>
    <row r="206" spans="1:37" ht="24" x14ac:dyDescent="0.15">
      <c r="A206" s="65"/>
      <c r="B206" s="560" t="s">
        <v>58</v>
      </c>
      <c r="C206" s="561"/>
      <c r="D206" s="561"/>
      <c r="E206" s="562"/>
      <c r="F206" s="565" t="s">
        <v>26</v>
      </c>
      <c r="G206" s="566"/>
      <c r="H206" s="66" t="s">
        <v>59</v>
      </c>
      <c r="I206" s="351"/>
      <c r="J206" s="66" t="s">
        <v>60</v>
      </c>
      <c r="K206" s="66" t="s">
        <v>6</v>
      </c>
      <c r="L206" s="67" t="s">
        <v>61</v>
      </c>
      <c r="M206" s="66" t="s">
        <v>30</v>
      </c>
      <c r="N206" s="68" t="s">
        <v>62</v>
      </c>
      <c r="O206" s="68" t="s">
        <v>34</v>
      </c>
      <c r="P206" s="69" t="s">
        <v>57</v>
      </c>
      <c r="Q206" s="42"/>
      <c r="R206" s="67"/>
      <c r="S206" s="67"/>
      <c r="T206" s="461"/>
    </row>
    <row r="207" spans="1:37" ht="25.5" customHeight="1" x14ac:dyDescent="0.15">
      <c r="A207" s="302">
        <v>1</v>
      </c>
      <c r="B207" s="542"/>
      <c r="C207" s="543"/>
      <c r="D207" s="543"/>
      <c r="E207" s="544"/>
      <c r="F207" s="545" t="s">
        <v>872</v>
      </c>
      <c r="G207" s="547"/>
      <c r="H207" s="45"/>
      <c r="I207" s="207"/>
      <c r="J207" s="45"/>
      <c r="K207" s="46" t="str">
        <f>VLOOKUP($F:$F,材料单价表!$B$3:$G$42,4,0)</f>
        <v>套</v>
      </c>
      <c r="L207" s="72"/>
      <c r="M207" s="46">
        <v>1</v>
      </c>
      <c r="N207" s="46">
        <f>VLOOKUP($F:$F,材料单价表!$B$3:$G$42,5,0)</f>
        <v>0</v>
      </c>
      <c r="O207" s="46">
        <f t="shared" ref="O207" si="37">N207*M207</f>
        <v>0</v>
      </c>
      <c r="P207" s="48"/>
      <c r="Q207" s="48"/>
      <c r="R207" s="73"/>
      <c r="S207" s="73"/>
      <c r="T207" s="463"/>
    </row>
    <row r="208" spans="1:37" x14ac:dyDescent="0.15">
      <c r="A208" s="74"/>
      <c r="B208" s="552"/>
      <c r="C208" s="557"/>
      <c r="D208" s="557"/>
      <c r="E208" s="553"/>
      <c r="F208" s="554" t="s">
        <v>64</v>
      </c>
      <c r="G208" s="554"/>
      <c r="H208" s="554"/>
      <c r="I208" s="579"/>
      <c r="J208" s="570"/>
      <c r="K208" s="570"/>
      <c r="L208" s="554"/>
      <c r="M208" s="62">
        <f>M207</f>
        <v>1</v>
      </c>
      <c r="N208" s="300"/>
      <c r="O208" s="62">
        <f>SUM(O207:O207)</f>
        <v>0</v>
      </c>
      <c r="P208" s="63" t="s">
        <v>57</v>
      </c>
      <c r="Q208" s="337"/>
      <c r="R208" s="64"/>
      <c r="S208" s="64"/>
      <c r="T208" s="460"/>
    </row>
    <row r="209" spans="1:23" ht="24" customHeight="1" x14ac:dyDescent="0.15">
      <c r="A209" s="65"/>
      <c r="B209" s="560" t="s">
        <v>65</v>
      </c>
      <c r="C209" s="561"/>
      <c r="D209" s="561"/>
      <c r="E209" s="562"/>
      <c r="F209" s="560" t="s">
        <v>26</v>
      </c>
      <c r="G209" s="561"/>
      <c r="H209" s="66" t="s">
        <v>59</v>
      </c>
      <c r="I209" s="351"/>
      <c r="J209" s="66" t="s">
        <v>60</v>
      </c>
      <c r="K209" s="66" t="s">
        <v>6</v>
      </c>
      <c r="L209" s="67" t="s">
        <v>61</v>
      </c>
      <c r="M209" s="66" t="s">
        <v>30</v>
      </c>
      <c r="N209" s="68" t="s">
        <v>62</v>
      </c>
      <c r="O209" s="68" t="s">
        <v>34</v>
      </c>
      <c r="P209" s="69" t="s">
        <v>57</v>
      </c>
      <c r="Q209" s="42"/>
      <c r="R209" s="67"/>
      <c r="S209" s="67"/>
      <c r="T209" s="461"/>
    </row>
    <row r="210" spans="1:23" ht="13.5" customHeight="1" x14ac:dyDescent="0.15">
      <c r="A210" s="76">
        <v>1</v>
      </c>
      <c r="B210" s="542"/>
      <c r="C210" s="543"/>
      <c r="D210" s="543"/>
      <c r="E210" s="544"/>
      <c r="F210" s="558" t="s">
        <v>66</v>
      </c>
      <c r="G210" s="559"/>
      <c r="H210" s="78"/>
      <c r="I210" s="352"/>
      <c r="J210" s="77"/>
      <c r="K210" s="46" t="str">
        <f>VLOOKUP($F:$F,材料单价表!$B$3:$G$42,4,0)</f>
        <v>m</v>
      </c>
      <c r="L210" s="46"/>
      <c r="M210" s="80">
        <f>M165</f>
        <v>4</v>
      </c>
      <c r="N210" s="46">
        <f>VLOOKUP($F:$F,材料单价表!$B$3:$G$42,5,0)</f>
        <v>0</v>
      </c>
      <c r="O210" s="46">
        <f>N210*M210</f>
        <v>0</v>
      </c>
      <c r="P210" s="48"/>
      <c r="Q210" s="59"/>
      <c r="R210" s="81"/>
      <c r="S210" s="79"/>
      <c r="T210" s="464"/>
    </row>
    <row r="211" spans="1:23" ht="15.75" customHeight="1" x14ac:dyDescent="0.15">
      <c r="A211" s="76">
        <v>2</v>
      </c>
      <c r="B211" s="542"/>
      <c r="C211" s="543"/>
      <c r="D211" s="543"/>
      <c r="E211" s="544"/>
      <c r="F211" s="558" t="s">
        <v>68</v>
      </c>
      <c r="G211" s="559"/>
      <c r="H211" s="78" t="s">
        <v>67</v>
      </c>
      <c r="I211" s="352"/>
      <c r="J211" s="77"/>
      <c r="K211" s="46" t="str">
        <f>VLOOKUP($F:$F,材料单价表!$B$3:$G$42,4,0)</f>
        <v>m</v>
      </c>
      <c r="L211" s="46"/>
      <c r="M211" s="80">
        <f>(J177*K177+J178*K178)/1000*2</f>
        <v>6.056</v>
      </c>
      <c r="N211" s="46">
        <f>VLOOKUP($F:$F,材料单价表!$B$3:$G$42,5,0)</f>
        <v>0</v>
      </c>
      <c r="O211" s="46">
        <f t="shared" ref="O211:O216" si="38">N211*M211</f>
        <v>0</v>
      </c>
      <c r="P211" s="48"/>
      <c r="Q211" s="59"/>
      <c r="R211" s="81"/>
      <c r="S211" s="79"/>
      <c r="T211" s="464"/>
      <c r="V211" s="104"/>
      <c r="W211" s="104"/>
    </row>
    <row r="212" spans="1:23" ht="13.5" customHeight="1" x14ac:dyDescent="0.15">
      <c r="A212" s="76">
        <v>3</v>
      </c>
      <c r="B212" s="542"/>
      <c r="C212" s="543"/>
      <c r="D212" s="543"/>
      <c r="E212" s="544"/>
      <c r="F212" s="558" t="s">
        <v>68</v>
      </c>
      <c r="G212" s="559"/>
      <c r="H212" s="78" t="s">
        <v>69</v>
      </c>
      <c r="I212" s="352"/>
      <c r="J212" s="77"/>
      <c r="K212" s="46" t="str">
        <f>VLOOKUP($F:$F,材料单价表!$B$3:$G$42,4,0)</f>
        <v>m</v>
      </c>
      <c r="L212" s="46"/>
      <c r="M212" s="80">
        <f>M165</f>
        <v>4</v>
      </c>
      <c r="N212" s="46">
        <f>VLOOKUP($F:$F,材料单价表!$B$3:$G$42,5,0)</f>
        <v>0</v>
      </c>
      <c r="O212" s="46">
        <f t="shared" si="38"/>
        <v>0</v>
      </c>
      <c r="P212" s="48"/>
      <c r="Q212" s="59"/>
      <c r="R212" s="81"/>
      <c r="S212" s="79"/>
      <c r="T212" s="464"/>
      <c r="V212" s="104"/>
      <c r="W212" s="104"/>
    </row>
    <row r="213" spans="1:23" ht="13.5" customHeight="1" x14ac:dyDescent="0.15">
      <c r="A213" s="76">
        <v>4</v>
      </c>
      <c r="B213" s="542"/>
      <c r="C213" s="543"/>
      <c r="D213" s="543"/>
      <c r="E213" s="544"/>
      <c r="F213" s="558" t="s">
        <v>68</v>
      </c>
      <c r="G213" s="559"/>
      <c r="H213" s="78" t="s">
        <v>70</v>
      </c>
      <c r="I213" s="352"/>
      <c r="J213" s="77"/>
      <c r="K213" s="46" t="str">
        <f>VLOOKUP($F:$F,材料单价表!$B$3:$G$42,4,0)</f>
        <v>m</v>
      </c>
      <c r="L213" s="46"/>
      <c r="M213" s="80">
        <f>M165</f>
        <v>4</v>
      </c>
      <c r="N213" s="46">
        <f>VLOOKUP($F:$F,材料单价表!$B$3:$G$42,5,0)</f>
        <v>0</v>
      </c>
      <c r="O213" s="46">
        <f t="shared" si="38"/>
        <v>0</v>
      </c>
      <c r="P213" s="48"/>
      <c r="Q213" s="59"/>
      <c r="R213" s="81"/>
      <c r="S213" s="79"/>
      <c r="T213" s="464"/>
      <c r="V213" s="104"/>
      <c r="W213" s="104"/>
    </row>
    <row r="214" spans="1:23" ht="13.5" customHeight="1" x14ac:dyDescent="0.15">
      <c r="A214" s="76">
        <v>5</v>
      </c>
      <c r="B214" s="542"/>
      <c r="C214" s="543"/>
      <c r="D214" s="543"/>
      <c r="E214" s="544"/>
      <c r="F214" s="558" t="s">
        <v>71</v>
      </c>
      <c r="G214" s="559"/>
      <c r="H214" s="78"/>
      <c r="I214" s="352"/>
      <c r="J214" s="77"/>
      <c r="K214" s="46" t="str">
        <f>VLOOKUP($F:$F,材料单价表!$B$3:$G$42,4,0)</f>
        <v>个</v>
      </c>
      <c r="L214" s="79"/>
      <c r="M214" s="80">
        <f>SUM(K179:K181)</f>
        <v>8</v>
      </c>
      <c r="N214" s="46">
        <f>VLOOKUP($F:$F,材料单价表!$B$3:$G$42,5,0)</f>
        <v>0</v>
      </c>
      <c r="O214" s="46">
        <f t="shared" si="38"/>
        <v>0</v>
      </c>
      <c r="P214" s="48"/>
      <c r="Q214" s="59"/>
      <c r="R214" s="81"/>
      <c r="S214" s="79"/>
      <c r="T214" s="464"/>
    </row>
    <row r="215" spans="1:23" ht="13.5" customHeight="1" x14ac:dyDescent="0.15">
      <c r="A215" s="76">
        <v>6</v>
      </c>
      <c r="B215" s="542"/>
      <c r="C215" s="543"/>
      <c r="D215" s="543"/>
      <c r="E215" s="544"/>
      <c r="F215" s="558" t="s">
        <v>833</v>
      </c>
      <c r="G215" s="559"/>
      <c r="H215" s="78"/>
      <c r="I215" s="352"/>
      <c r="J215" s="77"/>
      <c r="K215" s="46" t="str">
        <f>VLOOKUP($F:$F,材料单价表!$B$3:$G$42,4,0)</f>
        <v>m</v>
      </c>
      <c r="L215" s="79"/>
      <c r="M215" s="80">
        <f>(J171*K171+J172*K172)/1000*2</f>
        <v>6.8479999999999999</v>
      </c>
      <c r="N215" s="46">
        <f>VLOOKUP($F:$F,材料单价表!$B$3:$G$42,5,0)</f>
        <v>0</v>
      </c>
      <c r="O215" s="46">
        <f t="shared" si="38"/>
        <v>0</v>
      </c>
      <c r="P215" s="48"/>
      <c r="Q215" s="59"/>
      <c r="R215" s="81"/>
      <c r="S215" s="46"/>
      <c r="T215" s="465"/>
    </row>
    <row r="216" spans="1:23" x14ac:dyDescent="0.15">
      <c r="A216" s="76">
        <v>7</v>
      </c>
      <c r="B216" s="542"/>
      <c r="C216" s="543"/>
      <c r="D216" s="543"/>
      <c r="E216" s="544"/>
      <c r="F216" s="558" t="s">
        <v>72</v>
      </c>
      <c r="G216" s="559"/>
      <c r="H216" s="45"/>
      <c r="I216" s="207"/>
      <c r="J216" s="45"/>
      <c r="K216" s="46" t="str">
        <f>VLOOKUP($F:$F,材料单价表!$B$3:$G$42,4,0)</f>
        <v>m2</v>
      </c>
      <c r="L216" s="72"/>
      <c r="M216" s="46">
        <f>M222</f>
        <v>0.84</v>
      </c>
      <c r="N216" s="46">
        <f>VLOOKUP($F:$F,材料单价表!$B$3:$G$42,5,0)</f>
        <v>0</v>
      </c>
      <c r="O216" s="46">
        <f t="shared" si="38"/>
        <v>0</v>
      </c>
      <c r="P216" s="48"/>
      <c r="Q216" s="48"/>
      <c r="R216" s="73"/>
      <c r="S216" s="73"/>
      <c r="T216" s="463"/>
    </row>
    <row r="217" spans="1:23" x14ac:dyDescent="0.15">
      <c r="A217" s="76">
        <v>8</v>
      </c>
      <c r="B217" s="542"/>
      <c r="C217" s="543"/>
      <c r="D217" s="543"/>
      <c r="E217" s="544"/>
      <c r="F217" s="297"/>
      <c r="G217" s="298"/>
      <c r="H217" s="207"/>
      <c r="I217" s="207"/>
      <c r="J217" s="207"/>
      <c r="K217" s="208"/>
      <c r="L217" s="209"/>
      <c r="M217" s="208"/>
      <c r="N217" s="208"/>
      <c r="O217" s="208"/>
      <c r="P217" s="211"/>
      <c r="Q217" s="48"/>
      <c r="R217" s="212"/>
      <c r="S217" s="212"/>
      <c r="T217" s="463"/>
    </row>
    <row r="218" spans="1:23" x14ac:dyDescent="0.15">
      <c r="A218" s="76">
        <v>9</v>
      </c>
      <c r="B218" s="542"/>
      <c r="C218" s="543"/>
      <c r="D218" s="543"/>
      <c r="E218" s="544"/>
      <c r="F218" s="558"/>
      <c r="G218" s="559"/>
      <c r="H218" s="45"/>
      <c r="I218" s="207"/>
      <c r="J218" s="45"/>
      <c r="K218" s="45"/>
      <c r="L218" s="72"/>
      <c r="M218" s="46"/>
      <c r="N218" s="46"/>
      <c r="O218" s="82"/>
      <c r="P218" s="48"/>
      <c r="Q218" s="48"/>
      <c r="R218" s="73"/>
      <c r="S218" s="73"/>
      <c r="T218" s="463"/>
    </row>
    <row r="219" spans="1:23" x14ac:dyDescent="0.15">
      <c r="A219" s="74"/>
      <c r="B219" s="552"/>
      <c r="C219" s="557"/>
      <c r="D219" s="557"/>
      <c r="E219" s="553"/>
      <c r="F219" s="552" t="s">
        <v>73</v>
      </c>
      <c r="G219" s="557"/>
      <c r="H219" s="557"/>
      <c r="I219" s="557"/>
      <c r="J219" s="557"/>
      <c r="K219" s="557"/>
      <c r="L219" s="557"/>
      <c r="M219" s="61"/>
      <c r="N219" s="61"/>
      <c r="O219" s="62">
        <f>SUM(O210:O218)</f>
        <v>0</v>
      </c>
      <c r="P219" s="63" t="s">
        <v>57</v>
      </c>
      <c r="Q219" s="337"/>
      <c r="R219" s="64"/>
      <c r="S219" s="64"/>
      <c r="T219" s="460"/>
    </row>
    <row r="220" spans="1:23" x14ac:dyDescent="0.15">
      <c r="A220" s="74"/>
      <c r="B220" s="552"/>
      <c r="C220" s="557"/>
      <c r="D220" s="557"/>
      <c r="E220" s="553"/>
      <c r="F220" s="552" t="s">
        <v>74</v>
      </c>
      <c r="G220" s="557"/>
      <c r="H220" s="557"/>
      <c r="I220" s="557"/>
      <c r="J220" s="557"/>
      <c r="K220" s="557"/>
      <c r="L220" s="557"/>
      <c r="M220" s="557"/>
      <c r="N220" s="553"/>
      <c r="O220" s="62">
        <f>O219+O208+O205+O197</f>
        <v>0</v>
      </c>
      <c r="P220" s="63" t="s">
        <v>57</v>
      </c>
      <c r="Q220" s="337"/>
      <c r="R220" s="64"/>
      <c r="S220" s="64"/>
      <c r="T220" s="460"/>
    </row>
    <row r="221" spans="1:23" ht="24" x14ac:dyDescent="0.15">
      <c r="A221" s="65"/>
      <c r="B221" s="560" t="s">
        <v>75</v>
      </c>
      <c r="C221" s="561"/>
      <c r="D221" s="561"/>
      <c r="E221" s="562"/>
      <c r="F221" s="565" t="s">
        <v>26</v>
      </c>
      <c r="G221" s="566"/>
      <c r="H221" s="66"/>
      <c r="I221" s="351"/>
      <c r="J221" s="66"/>
      <c r="K221" s="66" t="s">
        <v>6</v>
      </c>
      <c r="L221" s="83" t="s">
        <v>61</v>
      </c>
      <c r="M221" s="66" t="s">
        <v>76</v>
      </c>
      <c r="N221" s="68" t="s">
        <v>62</v>
      </c>
      <c r="O221" s="68" t="s">
        <v>34</v>
      </c>
      <c r="P221" s="84" t="s">
        <v>57</v>
      </c>
      <c r="Q221" s="84"/>
      <c r="R221" s="67"/>
      <c r="S221" s="67"/>
      <c r="T221" s="461"/>
    </row>
    <row r="222" spans="1:23" x14ac:dyDescent="0.15">
      <c r="A222" s="302">
        <v>1</v>
      </c>
      <c r="B222" s="542"/>
      <c r="C222" s="543"/>
      <c r="D222" s="543"/>
      <c r="E222" s="544"/>
      <c r="F222" s="545" t="s">
        <v>77</v>
      </c>
      <c r="G222" s="547"/>
      <c r="H222" s="45"/>
      <c r="I222" s="207"/>
      <c r="J222" s="46"/>
      <c r="K222" s="45" t="s">
        <v>78</v>
      </c>
      <c r="L222" s="72"/>
      <c r="M222" s="85">
        <f>O152</f>
        <v>0.84</v>
      </c>
      <c r="N222" s="46">
        <f>VLOOKUP($F:$F,材料单价表!$B$3:$G$42,5,0)</f>
        <v>0</v>
      </c>
      <c r="O222" s="46">
        <f>N222*M222</f>
        <v>0</v>
      </c>
      <c r="P222" s="48"/>
      <c r="Q222" s="48"/>
      <c r="R222" s="72"/>
      <c r="S222" s="72"/>
      <c r="T222" s="462"/>
    </row>
    <row r="223" spans="1:23" x14ac:dyDescent="0.15">
      <c r="A223" s="302">
        <v>2</v>
      </c>
      <c r="B223" s="542"/>
      <c r="C223" s="543"/>
      <c r="D223" s="543"/>
      <c r="E223" s="544"/>
      <c r="F223" s="545" t="s">
        <v>79</v>
      </c>
      <c r="G223" s="547"/>
      <c r="H223" s="45"/>
      <c r="I223" s="207"/>
      <c r="J223" s="46"/>
      <c r="K223" s="45" t="s">
        <v>78</v>
      </c>
      <c r="L223" s="72"/>
      <c r="M223" s="85">
        <f>M222</f>
        <v>0.84</v>
      </c>
      <c r="N223" s="46">
        <f>VLOOKUP($F:$F,材料单价表!$B$3:$G$42,5,0)</f>
        <v>0</v>
      </c>
      <c r="O223" s="46">
        <f>N223*M223</f>
        <v>0</v>
      </c>
      <c r="P223" s="48"/>
      <c r="Q223" s="48"/>
      <c r="R223" s="72"/>
      <c r="S223" s="72"/>
      <c r="T223" s="462"/>
    </row>
    <row r="224" spans="1:23" ht="24.75" customHeight="1" x14ac:dyDescent="0.15">
      <c r="A224" s="74"/>
      <c r="B224" s="552"/>
      <c r="C224" s="557"/>
      <c r="D224" s="557"/>
      <c r="E224" s="553"/>
      <c r="F224" s="552" t="s">
        <v>80</v>
      </c>
      <c r="G224" s="553"/>
      <c r="H224" s="299"/>
      <c r="I224" s="348"/>
      <c r="J224" s="554" t="s">
        <v>81</v>
      </c>
      <c r="K224" s="554"/>
      <c r="L224" s="554"/>
      <c r="M224" s="554"/>
      <c r="N224" s="87"/>
      <c r="O224" s="62">
        <f>O220+O222+O223</f>
        <v>0</v>
      </c>
      <c r="P224" s="63" t="s">
        <v>57</v>
      </c>
      <c r="Q224" s="337"/>
      <c r="R224" s="64"/>
      <c r="S224" s="64"/>
      <c r="T224" s="460"/>
    </row>
    <row r="225" spans="1:20" ht="24" customHeight="1" x14ac:dyDescent="0.15">
      <c r="A225" s="74"/>
      <c r="B225" s="552"/>
      <c r="C225" s="557"/>
      <c r="D225" s="557"/>
      <c r="E225" s="553"/>
      <c r="F225" s="555" t="s">
        <v>82</v>
      </c>
      <c r="G225" s="556"/>
      <c r="H225" s="301"/>
      <c r="I225" s="349"/>
      <c r="J225" s="552" t="s">
        <v>81</v>
      </c>
      <c r="K225" s="557"/>
      <c r="L225" s="557"/>
      <c r="M225" s="557"/>
      <c r="N225" s="62"/>
      <c r="O225" s="62">
        <f>O224/O152</f>
        <v>0</v>
      </c>
      <c r="P225" s="89" t="s">
        <v>57</v>
      </c>
      <c r="Q225" s="89"/>
      <c r="R225" s="90"/>
      <c r="S225" s="90"/>
      <c r="T225" s="466"/>
    </row>
    <row r="226" spans="1:20" ht="18.75" customHeight="1" x14ac:dyDescent="0.15">
      <c r="A226" s="549" t="s">
        <v>0</v>
      </c>
      <c r="B226" s="549"/>
      <c r="C226" s="549"/>
      <c r="D226" s="549"/>
      <c r="E226" s="549"/>
      <c r="F226" s="549"/>
      <c r="G226" s="549"/>
      <c r="H226" s="549"/>
      <c r="I226" s="549"/>
      <c r="J226" s="549"/>
      <c r="K226" s="549"/>
      <c r="L226" s="550"/>
      <c r="M226" s="549"/>
      <c r="N226" s="549"/>
      <c r="O226" s="549"/>
      <c r="P226" s="549"/>
      <c r="Q226" s="549"/>
      <c r="R226" s="551"/>
      <c r="S226" s="551"/>
      <c r="T226" s="415"/>
    </row>
    <row r="227" spans="1:20" ht="15" customHeight="1" x14ac:dyDescent="0.15">
      <c r="A227" s="2" t="s">
        <v>1</v>
      </c>
      <c r="B227" s="3" t="str">
        <f>$B$152</f>
        <v>WC</v>
      </c>
      <c r="C227" s="3">
        <v>4</v>
      </c>
      <c r="D227" s="3"/>
      <c r="E227" s="3"/>
      <c r="F227" s="4"/>
      <c r="G227" s="5">
        <v>55</v>
      </c>
      <c r="H227" s="106" t="s">
        <v>86</v>
      </c>
      <c r="I227" s="106"/>
      <c r="J227" s="4" t="s">
        <v>3</v>
      </c>
      <c r="K227" s="6">
        <f>L230</f>
        <v>600</v>
      </c>
      <c r="L227" s="7" t="s">
        <v>83</v>
      </c>
      <c r="M227" s="6">
        <f>L229</f>
        <v>1800</v>
      </c>
      <c r="N227" s="8" t="s">
        <v>4</v>
      </c>
      <c r="O227" s="9">
        <f>M239</f>
        <v>1.08</v>
      </c>
      <c r="P227" s="10"/>
      <c r="Q227" s="10"/>
      <c r="R227" s="10" t="s">
        <v>5</v>
      </c>
      <c r="S227" s="11"/>
      <c r="T227" s="457"/>
    </row>
    <row r="228" spans="1:20" ht="15" customHeight="1" x14ac:dyDescent="0.2">
      <c r="A228" s="12"/>
      <c r="B228" s="13"/>
      <c r="C228" s="13"/>
      <c r="D228" s="13"/>
      <c r="E228" s="13"/>
      <c r="F228" s="14"/>
      <c r="G228" s="14"/>
      <c r="H228" s="15"/>
      <c r="I228" s="15"/>
      <c r="J228" s="16"/>
      <c r="K228" s="16" t="s">
        <v>6</v>
      </c>
      <c r="L228" s="17" t="s">
        <v>7</v>
      </c>
      <c r="M228" s="16" t="s">
        <v>8</v>
      </c>
      <c r="N228" s="18"/>
      <c r="O228" s="548" t="s">
        <v>940</v>
      </c>
      <c r="P228" s="548"/>
      <c r="Q228" s="16" t="s">
        <v>1018</v>
      </c>
      <c r="R228" s="529" t="s">
        <v>1187</v>
      </c>
      <c r="S228" s="530" t="s">
        <v>1592</v>
      </c>
      <c r="T228" s="468"/>
    </row>
    <row r="229" spans="1:20" ht="15" customHeight="1" x14ac:dyDescent="0.2">
      <c r="A229" s="398" t="s">
        <v>918</v>
      </c>
      <c r="B229" s="406" t="s">
        <v>980</v>
      </c>
      <c r="C229" s="362"/>
      <c r="D229" s="362"/>
      <c r="E229" s="362"/>
      <c r="F229" s="23"/>
      <c r="G229" s="23"/>
      <c r="H229" s="107"/>
      <c r="I229" s="107"/>
      <c r="J229" s="24" t="s">
        <v>9</v>
      </c>
      <c r="K229" s="16" t="s">
        <v>10</v>
      </c>
      <c r="L229" s="25">
        <v>1800</v>
      </c>
      <c r="M229" s="113">
        <f>L229-M238*2</f>
        <v>1700</v>
      </c>
      <c r="N229" s="18"/>
      <c r="O229" s="356" t="s">
        <v>941</v>
      </c>
      <c r="P229" s="357"/>
      <c r="Q229" s="16" t="s">
        <v>1019</v>
      </c>
      <c r="R229" s="529"/>
      <c r="S229" s="530"/>
      <c r="T229" s="468"/>
    </row>
    <row r="230" spans="1:20" ht="15" customHeight="1" x14ac:dyDescent="0.2">
      <c r="A230" s="21"/>
      <c r="B230" s="22"/>
      <c r="C230" s="22"/>
      <c r="D230" s="22"/>
      <c r="E230" s="22"/>
      <c r="F230" s="23"/>
      <c r="G230" s="23"/>
      <c r="H230" s="18"/>
      <c r="I230" s="18"/>
      <c r="J230" s="24" t="s">
        <v>11</v>
      </c>
      <c r="K230" s="16" t="s">
        <v>10</v>
      </c>
      <c r="L230" s="25">
        <v>600</v>
      </c>
      <c r="M230" s="113">
        <f>L230-M238*2</f>
        <v>500</v>
      </c>
      <c r="N230" s="18"/>
      <c r="O230" s="356" t="s">
        <v>924</v>
      </c>
      <c r="P230" s="357"/>
      <c r="Q230" s="16" t="s">
        <v>1020</v>
      </c>
      <c r="R230" s="529" t="s">
        <v>1188</v>
      </c>
      <c r="S230" s="530" t="s">
        <v>1086</v>
      </c>
      <c r="T230" s="468"/>
    </row>
    <row r="231" spans="1:20" ht="15" customHeight="1" x14ac:dyDescent="0.2">
      <c r="A231" s="21"/>
      <c r="B231" s="22"/>
      <c r="C231" s="22"/>
      <c r="D231" s="22"/>
      <c r="E231" s="22"/>
      <c r="F231" s="23"/>
      <c r="G231" s="23"/>
      <c r="H231" s="18"/>
      <c r="I231" s="18"/>
      <c r="J231" s="24" t="s">
        <v>12</v>
      </c>
      <c r="K231" s="16" t="s">
        <v>10</v>
      </c>
      <c r="L231" s="26"/>
      <c r="M231" s="113">
        <f>M229-M232</f>
        <v>1300</v>
      </c>
      <c r="N231" s="18"/>
      <c r="O231" s="356" t="s">
        <v>925</v>
      </c>
      <c r="P231" s="357"/>
      <c r="Q231" s="16" t="s">
        <v>1021</v>
      </c>
      <c r="R231" s="529"/>
      <c r="S231" s="530"/>
      <c r="T231" s="468"/>
    </row>
    <row r="232" spans="1:20" ht="15" customHeight="1" x14ac:dyDescent="0.2">
      <c r="A232" s="21"/>
      <c r="B232" s="22"/>
      <c r="C232" s="22"/>
      <c r="D232" s="22"/>
      <c r="E232" s="22"/>
      <c r="F232" s="23"/>
      <c r="G232" s="23"/>
      <c r="H232" s="18"/>
      <c r="I232" s="18"/>
      <c r="J232" s="24" t="s">
        <v>13</v>
      </c>
      <c r="K232" s="16" t="s">
        <v>10</v>
      </c>
      <c r="L232" s="26"/>
      <c r="M232" s="113">
        <v>400</v>
      </c>
      <c r="N232" s="18"/>
      <c r="O232" s="356" t="s">
        <v>926</v>
      </c>
      <c r="P232" s="357"/>
      <c r="Q232" s="16" t="s">
        <v>1022</v>
      </c>
      <c r="R232" s="27"/>
      <c r="S232" s="28"/>
      <c r="T232" s="27"/>
    </row>
    <row r="233" spans="1:20" ht="15" customHeight="1" x14ac:dyDescent="0.2">
      <c r="A233" s="21"/>
      <c r="B233" s="22"/>
      <c r="C233" s="22"/>
      <c r="D233" s="22"/>
      <c r="E233" s="22"/>
      <c r="F233" s="23"/>
      <c r="G233" s="23"/>
      <c r="H233" s="18"/>
      <c r="I233" s="18"/>
      <c r="J233" s="24" t="s">
        <v>14</v>
      </c>
      <c r="K233" s="16" t="s">
        <v>10</v>
      </c>
      <c r="L233" s="26"/>
      <c r="M233" s="113"/>
      <c r="N233" s="18"/>
      <c r="O233" s="356" t="s">
        <v>927</v>
      </c>
      <c r="P233" s="357"/>
      <c r="Q233" s="16" t="s">
        <v>1023</v>
      </c>
      <c r="R233" s="27"/>
      <c r="S233" s="28"/>
      <c r="T233" s="27"/>
    </row>
    <row r="234" spans="1:20" ht="15" customHeight="1" x14ac:dyDescent="0.2">
      <c r="A234" s="21"/>
      <c r="B234" s="22"/>
      <c r="C234" s="22"/>
      <c r="D234" s="22"/>
      <c r="E234" s="22"/>
      <c r="F234" s="23"/>
      <c r="G234" s="23"/>
      <c r="H234" s="18"/>
      <c r="I234" s="18"/>
      <c r="J234" s="24" t="s">
        <v>15</v>
      </c>
      <c r="K234" s="16" t="s">
        <v>10</v>
      </c>
      <c r="L234" s="26"/>
      <c r="M234" s="113">
        <f>M230</f>
        <v>500</v>
      </c>
      <c r="N234" s="18"/>
      <c r="O234" s="356" t="s">
        <v>928</v>
      </c>
      <c r="P234" s="357"/>
      <c r="Q234" s="16" t="s">
        <v>1005</v>
      </c>
      <c r="R234" s="27"/>
      <c r="S234" s="28"/>
      <c r="T234" s="27"/>
    </row>
    <row r="235" spans="1:20" ht="15" customHeight="1" x14ac:dyDescent="0.2">
      <c r="A235" s="21"/>
      <c r="B235" s="22"/>
      <c r="C235" s="22"/>
      <c r="D235" s="22"/>
      <c r="E235" s="22"/>
      <c r="F235" s="23"/>
      <c r="G235" s="23"/>
      <c r="H235" s="18"/>
      <c r="I235" s="18"/>
      <c r="J235" s="24" t="s">
        <v>16</v>
      </c>
      <c r="K235" s="16" t="s">
        <v>10</v>
      </c>
      <c r="L235" s="26"/>
      <c r="M235" s="113"/>
      <c r="N235" s="18"/>
      <c r="O235" s="356" t="s">
        <v>929</v>
      </c>
      <c r="P235" s="357"/>
      <c r="Q235" s="16" t="s">
        <v>1024</v>
      </c>
      <c r="R235" s="27"/>
      <c r="S235" s="28"/>
      <c r="T235" s="27"/>
    </row>
    <row r="236" spans="1:20" ht="15" customHeight="1" x14ac:dyDescent="0.2">
      <c r="A236" s="21"/>
      <c r="B236" s="22"/>
      <c r="C236" s="22"/>
      <c r="D236" s="22"/>
      <c r="E236" s="22"/>
      <c r="F236" s="23"/>
      <c r="G236" s="23"/>
      <c r="H236" s="18"/>
      <c r="I236" s="18"/>
      <c r="J236" s="24" t="s">
        <v>17</v>
      </c>
      <c r="K236" s="16" t="s">
        <v>10</v>
      </c>
      <c r="L236" s="26"/>
      <c r="M236" s="113"/>
      <c r="N236" s="18"/>
      <c r="O236" s="356" t="s">
        <v>930</v>
      </c>
      <c r="P236" s="357"/>
      <c r="Q236" s="16" t="s">
        <v>931</v>
      </c>
      <c r="R236" s="27"/>
      <c r="S236" s="28"/>
      <c r="T236" s="27"/>
    </row>
    <row r="237" spans="1:20" ht="15" customHeight="1" x14ac:dyDescent="0.2">
      <c r="A237" s="21"/>
      <c r="B237" s="22"/>
      <c r="C237" s="22"/>
      <c r="D237" s="22"/>
      <c r="E237" s="22"/>
      <c r="F237" s="23"/>
      <c r="G237" s="23"/>
      <c r="H237" s="18"/>
      <c r="I237" s="18"/>
      <c r="J237" s="24" t="s">
        <v>18</v>
      </c>
      <c r="K237" s="16" t="s">
        <v>10</v>
      </c>
      <c r="L237" s="26"/>
      <c r="M237" s="113"/>
      <c r="N237" s="18"/>
      <c r="O237" s="356" t="s">
        <v>932</v>
      </c>
      <c r="P237" s="357"/>
      <c r="Q237" s="16" t="s">
        <v>933</v>
      </c>
      <c r="R237" s="27"/>
      <c r="S237" s="28"/>
      <c r="T237" s="27"/>
    </row>
    <row r="238" spans="1:20" ht="15" customHeight="1" x14ac:dyDescent="0.2">
      <c r="A238" s="21"/>
      <c r="B238" s="22"/>
      <c r="C238" s="22"/>
      <c r="D238" s="22"/>
      <c r="E238" s="22"/>
      <c r="F238" s="23"/>
      <c r="G238" s="23"/>
      <c r="H238" s="18"/>
      <c r="I238" s="18"/>
      <c r="J238" s="24" t="s">
        <v>19</v>
      </c>
      <c r="K238" s="16" t="s">
        <v>10</v>
      </c>
      <c r="L238" s="26"/>
      <c r="M238" s="25">
        <v>50</v>
      </c>
      <c r="N238" s="18"/>
      <c r="O238" s="356" t="s">
        <v>934</v>
      </c>
      <c r="P238" s="357"/>
      <c r="Q238" s="16" t="s">
        <v>935</v>
      </c>
      <c r="R238" s="27"/>
      <c r="S238" s="28"/>
      <c r="T238" s="27"/>
    </row>
    <row r="239" spans="1:20" ht="15" customHeight="1" x14ac:dyDescent="0.2">
      <c r="A239" s="21"/>
      <c r="B239" s="22"/>
      <c r="C239" s="22"/>
      <c r="D239" s="22"/>
      <c r="E239" s="22"/>
      <c r="F239" s="23"/>
      <c r="G239" s="23"/>
      <c r="H239" s="18"/>
      <c r="I239" s="18"/>
      <c r="J239" s="29" t="s">
        <v>20</v>
      </c>
      <c r="K239" s="16" t="s">
        <v>21</v>
      </c>
      <c r="L239" s="30"/>
      <c r="M239" s="31">
        <f>L229*L230/1000000</f>
        <v>1.08</v>
      </c>
      <c r="N239" s="18"/>
      <c r="O239" s="356" t="s">
        <v>936</v>
      </c>
      <c r="P239" s="357"/>
      <c r="Q239" s="16" t="s">
        <v>937</v>
      </c>
      <c r="R239" s="27"/>
      <c r="S239" s="28"/>
      <c r="T239" s="27"/>
    </row>
    <row r="240" spans="1:20" ht="15" customHeight="1" x14ac:dyDescent="0.2">
      <c r="A240" s="32"/>
      <c r="B240" s="33"/>
      <c r="C240" s="33"/>
      <c r="D240" s="33"/>
      <c r="E240" s="33"/>
      <c r="F240" s="34"/>
      <c r="G240" s="34"/>
      <c r="H240" s="35"/>
      <c r="I240" s="35"/>
      <c r="J240" s="29" t="s">
        <v>22</v>
      </c>
      <c r="K240" s="16" t="s">
        <v>23</v>
      </c>
      <c r="L240" s="30"/>
      <c r="M240" s="36">
        <f>(L230+L229)*2/1000</f>
        <v>4.8</v>
      </c>
      <c r="N240" s="35"/>
      <c r="O240" s="356" t="s">
        <v>938</v>
      </c>
      <c r="P240" s="357"/>
      <c r="Q240" s="16" t="s">
        <v>939</v>
      </c>
      <c r="R240" s="37"/>
      <c r="S240" s="38"/>
      <c r="T240" s="27"/>
    </row>
    <row r="241" spans="1:37" ht="48.75" customHeight="1" x14ac:dyDescent="0.15">
      <c r="A241" s="39" t="s">
        <v>24</v>
      </c>
      <c r="B241" s="560" t="s">
        <v>25</v>
      </c>
      <c r="C241" s="561"/>
      <c r="D241" s="561"/>
      <c r="E241" s="562"/>
      <c r="F241" s="40" t="s">
        <v>26</v>
      </c>
      <c r="G241" s="40" t="s">
        <v>27</v>
      </c>
      <c r="H241" s="40" t="s">
        <v>28</v>
      </c>
      <c r="I241" s="40" t="s">
        <v>1166</v>
      </c>
      <c r="J241" s="40" t="s">
        <v>29</v>
      </c>
      <c r="K241" s="40" t="s">
        <v>30</v>
      </c>
      <c r="L241" s="41" t="s">
        <v>31</v>
      </c>
      <c r="M241" s="40" t="s">
        <v>32</v>
      </c>
      <c r="N241" s="40" t="s">
        <v>33</v>
      </c>
      <c r="O241" s="40" t="s">
        <v>34</v>
      </c>
      <c r="P241" s="42" t="s">
        <v>35</v>
      </c>
      <c r="Q241" s="359" t="s">
        <v>974</v>
      </c>
      <c r="R241" s="43" t="s">
        <v>36</v>
      </c>
      <c r="S241" s="43" t="s">
        <v>37</v>
      </c>
      <c r="T241" s="458"/>
      <c r="V241" s="261" t="s">
        <v>128</v>
      </c>
      <c r="W241" s="261"/>
      <c r="X241" s="262" t="s">
        <v>359</v>
      </c>
      <c r="Y241" s="263"/>
      <c r="Z241" s="262" t="s">
        <v>355</v>
      </c>
      <c r="AA241" s="263"/>
      <c r="AB241" s="262" t="s">
        <v>360</v>
      </c>
      <c r="AC241" s="263"/>
      <c r="AD241" s="262" t="s">
        <v>127</v>
      </c>
      <c r="AE241" s="263"/>
      <c r="AF241" s="262" t="s">
        <v>357</v>
      </c>
      <c r="AG241" s="263"/>
      <c r="AH241" s="262" t="s">
        <v>358</v>
      </c>
      <c r="AI241" s="263"/>
      <c r="AJ241" s="262" t="s">
        <v>840</v>
      </c>
      <c r="AK241" s="263"/>
    </row>
    <row r="242" spans="1:37" ht="13.5" customHeight="1" x14ac:dyDescent="0.15">
      <c r="A242" s="302">
        <v>1</v>
      </c>
      <c r="B242" s="531" t="s">
        <v>38</v>
      </c>
      <c r="C242" s="532"/>
      <c r="D242" s="532"/>
      <c r="E242" s="533"/>
      <c r="F242" s="47" t="str">
        <f>VLOOKUP($H:$H,型材表!$B$5:$I$448,2,0)</f>
        <v>边框</v>
      </c>
      <c r="G242" s="45" t="s">
        <v>39</v>
      </c>
      <c r="H242" s="45" t="str">
        <f>IF(G227=55,"SW55K001",IF(G227=551,"SW55BK001",IF(G227=60,"SW60K001",IF(G227=601,"SW60AK001",IF(G227=65,"SW65AK001",IF(G227=70,"SW70K001",IF(G227=75,"SW75K001",IF(G227=50,"SW50K002"))))))))</f>
        <v>SW55K001</v>
      </c>
      <c r="I242" s="207" t="s">
        <v>1169</v>
      </c>
      <c r="J242" s="46">
        <f>M229</f>
        <v>1700</v>
      </c>
      <c r="K242" s="45">
        <v>2</v>
      </c>
      <c r="L242" s="47">
        <f>VLOOKUP($H:$H,型材表!$B$5:$I$448,4,0)</f>
        <v>0.96699999999999997</v>
      </c>
      <c r="M242" s="46">
        <f>J242*K242*L242/1000</f>
        <v>3.2877999999999998</v>
      </c>
      <c r="N242" s="72">
        <f>VLOOKUP($H:$H,型材表!$B$5:$I$448,7,0)</f>
        <v>0</v>
      </c>
      <c r="O242" s="46">
        <f>N242*M242</f>
        <v>0</v>
      </c>
      <c r="P242" s="100">
        <f>VLOOKUP($H:$H,型材表!$B$5:$I$448,5,0)</f>
        <v>0.125</v>
      </c>
      <c r="Q242" s="100" t="str">
        <f>VLOOKUP($H:$H,型材表!$B$5:$I$448,6,0)</f>
        <v>断桥隔热铝型材</v>
      </c>
      <c r="R242" s="49"/>
      <c r="S242" s="50"/>
      <c r="T242" s="459"/>
      <c r="X242" s="264"/>
      <c r="Y242" s="265"/>
      <c r="Z242" s="264"/>
      <c r="AA242" s="265"/>
      <c r="AB242" s="264"/>
      <c r="AC242" s="265"/>
      <c r="AD242" s="264"/>
      <c r="AE242" s="265"/>
      <c r="AF242" s="264"/>
      <c r="AG242" s="265"/>
      <c r="AH242" s="264"/>
      <c r="AI242" s="265"/>
      <c r="AJ242" s="264"/>
      <c r="AK242" s="265"/>
    </row>
    <row r="243" spans="1:37" x14ac:dyDescent="0.15">
      <c r="A243" s="302">
        <v>2</v>
      </c>
      <c r="B243" s="534"/>
      <c r="C243" s="535"/>
      <c r="D243" s="535"/>
      <c r="E243" s="536"/>
      <c r="F243" s="47" t="str">
        <f>VLOOKUP($H:$H,型材表!$B$5:$I$448,2,0)</f>
        <v>边框</v>
      </c>
      <c r="G243" s="45" t="s">
        <v>144</v>
      </c>
      <c r="H243" s="45" t="str">
        <f>H242</f>
        <v>SW55K001</v>
      </c>
      <c r="I243" s="207" t="s">
        <v>1170</v>
      </c>
      <c r="J243" s="46">
        <f>M230</f>
        <v>500</v>
      </c>
      <c r="K243" s="45">
        <v>2</v>
      </c>
      <c r="L243" s="47">
        <f>VLOOKUP($H:$H,型材表!$B$5:$I$448,4,0)</f>
        <v>0.96699999999999997</v>
      </c>
      <c r="M243" s="46">
        <f t="shared" ref="M243" si="39">J243*K243*L243/1000</f>
        <v>0.96699999999999997</v>
      </c>
      <c r="N243" s="72">
        <f>VLOOKUP($H:$H,型材表!$B$5:$I$448,7,0)</f>
        <v>0</v>
      </c>
      <c r="O243" s="46">
        <f t="shared" ref="O243" si="40">N243*M243</f>
        <v>0</v>
      </c>
      <c r="P243" s="100">
        <f>VLOOKUP($H:$H,型材表!$B$5:$I$448,5,0)</f>
        <v>0.125</v>
      </c>
      <c r="Q243" s="100" t="str">
        <f>VLOOKUP($H:$H,型材表!$B$5:$I$448,6,0)</f>
        <v>断桥隔热铝型材</v>
      </c>
      <c r="R243" s="49"/>
      <c r="S243" s="50"/>
      <c r="T243" s="459"/>
      <c r="X243" s="264"/>
      <c r="Y243" s="265"/>
      <c r="Z243" s="264"/>
      <c r="AA243" s="265"/>
      <c r="AB243" s="264"/>
      <c r="AC243" s="265"/>
      <c r="AD243" s="264"/>
      <c r="AE243" s="265"/>
      <c r="AF243" s="264"/>
      <c r="AG243" s="265"/>
      <c r="AH243" s="264"/>
      <c r="AI243" s="265"/>
      <c r="AJ243" s="264"/>
      <c r="AK243" s="265"/>
    </row>
    <row r="244" spans="1:37" x14ac:dyDescent="0.15">
      <c r="A244" s="413">
        <v>3</v>
      </c>
      <c r="B244" s="534"/>
      <c r="C244" s="535"/>
      <c r="D244" s="535"/>
      <c r="E244" s="536"/>
      <c r="F244" s="47"/>
      <c r="G244" s="207"/>
      <c r="H244" s="207"/>
      <c r="I244" s="207"/>
      <c r="J244" s="208"/>
      <c r="K244" s="207"/>
      <c r="L244" s="47"/>
      <c r="M244" s="46"/>
      <c r="N244" s="72"/>
      <c r="O244" s="46"/>
      <c r="P244" s="100"/>
      <c r="Q244" s="100"/>
      <c r="R244" s="210"/>
      <c r="S244" s="50"/>
      <c r="T244" s="459"/>
      <c r="X244" s="264"/>
      <c r="Y244" s="265"/>
      <c r="Z244" s="264"/>
      <c r="AA244" s="265"/>
      <c r="AB244" s="264"/>
      <c r="AC244" s="265"/>
      <c r="AD244" s="264"/>
      <c r="AE244" s="265"/>
      <c r="AF244" s="264"/>
      <c r="AG244" s="265"/>
      <c r="AH244" s="264"/>
      <c r="AI244" s="265"/>
      <c r="AJ244" s="264"/>
      <c r="AK244" s="265"/>
    </row>
    <row r="245" spans="1:37" s="229" customFormat="1" x14ac:dyDescent="0.15">
      <c r="A245" s="413">
        <v>4</v>
      </c>
      <c r="B245" s="537"/>
      <c r="C245" s="538"/>
      <c r="D245" s="538"/>
      <c r="E245" s="539"/>
      <c r="F245" s="221"/>
      <c r="G245" s="222"/>
      <c r="H245" s="222"/>
      <c r="I245" s="222"/>
      <c r="J245" s="223"/>
      <c r="K245" s="222"/>
      <c r="L245" s="221"/>
      <c r="M245" s="224"/>
      <c r="N245" s="225"/>
      <c r="O245" s="224"/>
      <c r="P245" s="226"/>
      <c r="Q245" s="100"/>
      <c r="R245" s="227"/>
      <c r="S245" s="228"/>
      <c r="T245" s="467"/>
      <c r="U245" s="375"/>
      <c r="V245" s="266"/>
      <c r="W245" s="266"/>
      <c r="X245" s="267"/>
      <c r="Y245" s="268"/>
      <c r="Z245" s="267"/>
      <c r="AA245" s="268"/>
      <c r="AB245" s="267"/>
      <c r="AC245" s="268"/>
      <c r="AD245" s="267"/>
      <c r="AE245" s="268"/>
      <c r="AF245" s="267"/>
      <c r="AG245" s="268"/>
      <c r="AH245" s="267"/>
      <c r="AI245" s="268"/>
      <c r="AJ245" s="267"/>
      <c r="AK245" s="268"/>
    </row>
    <row r="246" spans="1:37" ht="13.5" customHeight="1" x14ac:dyDescent="0.15">
      <c r="A246" s="413">
        <v>5</v>
      </c>
      <c r="B246" s="531" t="s">
        <v>41</v>
      </c>
      <c r="C246" s="532"/>
      <c r="D246" s="532"/>
      <c r="E246" s="533"/>
      <c r="F246" s="47" t="str">
        <f>VLOOKUP($H:$H,型材表!$B$5:$I$448,2,0)</f>
        <v>外开扇</v>
      </c>
      <c r="G246" s="45" t="s">
        <v>39</v>
      </c>
      <c r="H246" s="45" t="str">
        <f>IF(G227=55,"SW55S002",IF(G227=551,"SW55BS002",IF(G227=60,"SW60S002",IF(G227=601,"SW60AS002",IF(G227=65,"SW65AS002",IF(G227=70,"SW70S002",IF(G227=75,"SW75S002",IF(G227=50,"SW50S001"))))))))</f>
        <v>SW55S002</v>
      </c>
      <c r="I246" s="207" t="s">
        <v>1183</v>
      </c>
      <c r="J246" s="46">
        <f>IF(G227=55,M231-V246,IF(G227=551,M231-X246,IF(G227=60,M231-Z246,IF(G227=601,M231-AB246,IF(G227=65,M231-AD246,IF(G227=70,M231-AF246,IF(G227=75,M231-AH246,IF(G227=50,M231-AJ246))))))))</f>
        <v>1274</v>
      </c>
      <c r="K246" s="45">
        <v>2</v>
      </c>
      <c r="L246" s="47">
        <f>VLOOKUP($H:$H,型材表!$B$5:$I$448,4,0)</f>
        <v>1.4390000000000001</v>
      </c>
      <c r="M246" s="46">
        <f t="shared" ref="M246:M250" si="41">J246*K246*L246/1000</f>
        <v>3.6665719999999999</v>
      </c>
      <c r="N246" s="72">
        <f>VLOOKUP($H:$H,型材表!$B$5:$I$448,7,0)</f>
        <v>0</v>
      </c>
      <c r="O246" s="46">
        <f t="shared" ref="O246:O250" si="42">N246*M246</f>
        <v>0</v>
      </c>
      <c r="P246" s="100">
        <f>VLOOKUP($H:$H,型材表!$B$5:$I$448,5,0)</f>
        <v>0.125</v>
      </c>
      <c r="Q246" s="100" t="str">
        <f>VLOOKUP($H:$H,型材表!$B$5:$I$448,6,0)</f>
        <v>断桥隔热铝型材</v>
      </c>
      <c r="R246" s="49"/>
      <c r="S246" s="50"/>
      <c r="T246" s="459"/>
      <c r="U246" s="374" t="s">
        <v>1202</v>
      </c>
      <c r="V246" s="259">
        <f>20.5+5.5</f>
        <v>26</v>
      </c>
      <c r="X246" s="264">
        <f>20.5+5.5</f>
        <v>26</v>
      </c>
      <c r="Y246" s="265"/>
      <c r="Z246" s="264">
        <f>20.5+5.5</f>
        <v>26</v>
      </c>
      <c r="AA246" s="265"/>
      <c r="AB246" s="264">
        <f>20.5+5.5</f>
        <v>26</v>
      </c>
      <c r="AC246" s="265"/>
      <c r="AD246" s="264">
        <f>20.5+5.5</f>
        <v>26</v>
      </c>
      <c r="AE246" s="265"/>
      <c r="AF246" s="264">
        <f>20.5+5.5</f>
        <v>26</v>
      </c>
      <c r="AG246" s="265"/>
      <c r="AH246" s="264">
        <f>20.5+5.5</f>
        <v>26</v>
      </c>
      <c r="AI246" s="265"/>
      <c r="AJ246" s="264">
        <f>21.3+6</f>
        <v>27.3</v>
      </c>
      <c r="AK246" s="265"/>
    </row>
    <row r="247" spans="1:37" x14ac:dyDescent="0.15">
      <c r="A247" s="413">
        <v>6</v>
      </c>
      <c r="B247" s="534"/>
      <c r="C247" s="535"/>
      <c r="D247" s="535"/>
      <c r="E247" s="536"/>
      <c r="F247" s="47" t="str">
        <f>VLOOKUP($H:$H,型材表!$B$5:$I$448,2,0)</f>
        <v>外开扇</v>
      </c>
      <c r="G247" s="45" t="s">
        <v>144</v>
      </c>
      <c r="H247" s="207" t="str">
        <f>H246</f>
        <v>SW55S002</v>
      </c>
      <c r="I247" s="207" t="s">
        <v>1172</v>
      </c>
      <c r="J247" s="208">
        <f>IF(G227=55,M234-V247,IF(G227=551,M234-X247,IF(G227=60,M234-Z247,IF(G227=601,M234-AB247,IF(G227=65,M234-AD247,IF(G227=70,M234-AF247,IF(G227=75,M234-AH247,IF(G227=50,M234-AJ247))))))))</f>
        <v>459</v>
      </c>
      <c r="K247" s="207">
        <v>2</v>
      </c>
      <c r="L247" s="47">
        <f>VLOOKUP($H:$H,型材表!$B$5:$I$448,4,0)</f>
        <v>1.4390000000000001</v>
      </c>
      <c r="M247" s="46">
        <f t="shared" si="41"/>
        <v>1.321002</v>
      </c>
      <c r="N247" s="72">
        <f>VLOOKUP($H:$H,型材表!$B$5:$I$448,7,0)</f>
        <v>0</v>
      </c>
      <c r="O247" s="46">
        <f t="shared" si="42"/>
        <v>0</v>
      </c>
      <c r="P247" s="100">
        <f>VLOOKUP($H:$H,型材表!$B$5:$I$448,5,0)</f>
        <v>0.125</v>
      </c>
      <c r="Q247" s="100" t="str">
        <f>VLOOKUP($H:$H,型材表!$B$5:$I$448,6,0)</f>
        <v>断桥隔热铝型材</v>
      </c>
      <c r="R247" s="210"/>
      <c r="S247" s="50"/>
      <c r="T247" s="459"/>
      <c r="U247" s="374" t="s">
        <v>1203</v>
      </c>
      <c r="V247" s="259">
        <f>20.5*2</f>
        <v>41</v>
      </c>
      <c r="X247" s="264">
        <f>20.5*2</f>
        <v>41</v>
      </c>
      <c r="Y247" s="265"/>
      <c r="Z247" s="264">
        <f>20.5*2</f>
        <v>41</v>
      </c>
      <c r="AA247" s="265"/>
      <c r="AB247" s="264">
        <f>20.5*2</f>
        <v>41</v>
      </c>
      <c r="AC247" s="265"/>
      <c r="AD247" s="264">
        <f>20.5*2</f>
        <v>41</v>
      </c>
      <c r="AE247" s="265"/>
      <c r="AF247" s="264">
        <f>20.5*2</f>
        <v>41</v>
      </c>
      <c r="AG247" s="265"/>
      <c r="AH247" s="264">
        <f>20.5*2</f>
        <v>41</v>
      </c>
      <c r="AI247" s="265"/>
      <c r="AJ247" s="264">
        <f>21.3*2</f>
        <v>42.6</v>
      </c>
      <c r="AK247" s="265"/>
    </row>
    <row r="248" spans="1:37" x14ac:dyDescent="0.15">
      <c r="A248" s="413">
        <v>7</v>
      </c>
      <c r="B248" s="534"/>
      <c r="C248" s="535"/>
      <c r="D248" s="535"/>
      <c r="E248" s="536"/>
      <c r="F248" s="47" t="str">
        <f>VLOOKUP($H:$H,型材表!$B$5:$I$448,2,0)</f>
        <v>中梃</v>
      </c>
      <c r="G248" s="45"/>
      <c r="H248" s="45" t="str">
        <f>IF(G227=55,"SW55T001",IF(G227=551,"SW55BT001",IF(G227=60,"SW60T001",IF(G227=601,"SW60AT001",IF(G227=65,"SW65AT001",IF(G227=70,"SW70T001",IF(G227=75,"SW75T001",IF(G227=50,"SW50Z001"))))))))</f>
        <v>SW55T001</v>
      </c>
      <c r="I248" s="207" t="s">
        <v>1185</v>
      </c>
      <c r="J248" s="46">
        <f>IF(G227=55,M234-V248,IF(G227=551,M234-X248,IF(G227=60,M234-Z248,IF(G227=601,M234-AB248,IF(G227=65,M234-AD248,IF(G227=70,M234-AF248,IF(G227=75,M234-AH248,IF(G227=50,M234-AJ248))))))))</f>
        <v>454</v>
      </c>
      <c r="K248" s="45">
        <v>1</v>
      </c>
      <c r="L248" s="47">
        <f>VLOOKUP($H:$H,型材表!$B$5:$I$448,4,0)</f>
        <v>1.113</v>
      </c>
      <c r="M248" s="46">
        <f t="shared" si="41"/>
        <v>0.50530200000000003</v>
      </c>
      <c r="N248" s="72">
        <f>VLOOKUP($H:$H,型材表!$B$5:$I$448,7,0)</f>
        <v>0</v>
      </c>
      <c r="O248" s="46">
        <f t="shared" si="42"/>
        <v>0</v>
      </c>
      <c r="P248" s="100">
        <f>VLOOKUP($H:$H,型材表!$B$5:$I$448,5,0)</f>
        <v>0.125</v>
      </c>
      <c r="Q248" s="100" t="str">
        <f>VLOOKUP($H:$H,型材表!$B$5:$I$448,6,0)</f>
        <v>断桥隔热铝型材</v>
      </c>
      <c r="R248" s="49"/>
      <c r="S248" s="50"/>
      <c r="T248" s="459"/>
      <c r="U248" s="374" t="s">
        <v>1204</v>
      </c>
      <c r="V248" s="259">
        <f>23*2</f>
        <v>46</v>
      </c>
      <c r="X248" s="264">
        <f>23*2</f>
        <v>46</v>
      </c>
      <c r="Y248" s="265"/>
      <c r="Z248" s="264">
        <f>23*2</f>
        <v>46</v>
      </c>
      <c r="AA248" s="265"/>
      <c r="AB248" s="264">
        <f>23*2</f>
        <v>46</v>
      </c>
      <c r="AC248" s="265"/>
      <c r="AD248" s="264">
        <f>23*2</f>
        <v>46</v>
      </c>
      <c r="AE248" s="265"/>
      <c r="AF248" s="264">
        <f>23*2</f>
        <v>46</v>
      </c>
      <c r="AG248" s="265"/>
      <c r="AH248" s="264">
        <f>23*2</f>
        <v>46</v>
      </c>
      <c r="AI248" s="265"/>
      <c r="AJ248" s="264">
        <f>23.3*2</f>
        <v>46.6</v>
      </c>
      <c r="AK248" s="265"/>
    </row>
    <row r="249" spans="1:37" s="315" customFormat="1" x14ac:dyDescent="0.15">
      <c r="A249" s="413">
        <v>8</v>
      </c>
      <c r="B249" s="534"/>
      <c r="C249" s="535"/>
      <c r="D249" s="535"/>
      <c r="E249" s="536"/>
      <c r="F249" s="310" t="str">
        <f>VLOOKUP($H:$H,型材表!$B$5:$I$448,2,0)</f>
        <v>转向框</v>
      </c>
      <c r="G249" s="116" t="s">
        <v>39</v>
      </c>
      <c r="H249" s="116" t="str">
        <f>IF(G227=55,"SW55K101",IF(G227=551,"SW55BK101",IF(G227=60,"SW60K101",IF(G227=601,"SW60AK101",IF(G227=65,"SW65AK101",IF(G227=70,"SW70K101",IF(G227=75,"SW75K101",IF(G227=50,"SW50K102"))))))))</f>
        <v>SW55K101</v>
      </c>
      <c r="I249" s="328" t="s">
        <v>1574</v>
      </c>
      <c r="J249" s="147">
        <f>IF(G227=55,M232-V249,IF(G227=551,M232-X249,IF(G227=60,M232-Z249,IF(G227=601,M232-AB249,IF(G227=65,M232-AD249,IF(G227=70,M232-AF249,IF(G227=75,M232-AH249,IF(G227=50,M232-AJ249))))))))</f>
        <v>361.7</v>
      </c>
      <c r="K249" s="116">
        <v>2</v>
      </c>
      <c r="L249" s="310">
        <f>VLOOKUP($H:$H,型材表!$B$5:$I$448,4,0)</f>
        <v>0.95399999999999996</v>
      </c>
      <c r="M249" s="147">
        <f t="shared" si="41"/>
        <v>0.69012359999999995</v>
      </c>
      <c r="N249" s="311">
        <f>VLOOKUP($H:$H,型材表!$B$5:$I$448,7,0)</f>
        <v>0</v>
      </c>
      <c r="O249" s="147">
        <f t="shared" si="42"/>
        <v>0</v>
      </c>
      <c r="P249" s="312">
        <f>VLOOKUP($H:$H,型材表!$B$5:$I$448,5,0)</f>
        <v>0.125</v>
      </c>
      <c r="Q249" s="100" t="str">
        <f>VLOOKUP($H:$H,型材表!$B$5:$I$448,6,0)</f>
        <v>断桥隔热铝型材</v>
      </c>
      <c r="R249" s="313"/>
      <c r="S249" s="314"/>
      <c r="T249" s="469"/>
      <c r="U249" s="376" t="s">
        <v>1573</v>
      </c>
      <c r="V249" s="316">
        <f>10.3+28</f>
        <v>38.299999999999997</v>
      </c>
      <c r="W249" s="316"/>
      <c r="X249" s="317">
        <f>10.3+28</f>
        <v>38.299999999999997</v>
      </c>
      <c r="Y249" s="318"/>
      <c r="Z249" s="317">
        <f>10.3+28</f>
        <v>38.299999999999997</v>
      </c>
      <c r="AA249" s="318"/>
      <c r="AB249" s="317">
        <f>10.3+28</f>
        <v>38.299999999999997</v>
      </c>
      <c r="AC249" s="318"/>
      <c r="AD249" s="317">
        <f>10.3+28</f>
        <v>38.299999999999997</v>
      </c>
      <c r="AE249" s="318"/>
      <c r="AF249" s="317">
        <f>10.3+28</f>
        <v>38.299999999999997</v>
      </c>
      <c r="AG249" s="318"/>
      <c r="AH249" s="317">
        <f>10.3+28</f>
        <v>38.299999999999997</v>
      </c>
      <c r="AI249" s="318"/>
      <c r="AJ249" s="317">
        <f>10+25.3</f>
        <v>35.299999999999997</v>
      </c>
      <c r="AK249" s="318"/>
    </row>
    <row r="250" spans="1:37" s="315" customFormat="1" x14ac:dyDescent="0.15">
      <c r="A250" s="413">
        <v>9</v>
      </c>
      <c r="B250" s="534"/>
      <c r="C250" s="535"/>
      <c r="D250" s="535"/>
      <c r="E250" s="536"/>
      <c r="F250" s="310" t="str">
        <f>VLOOKUP($H:$H,型材表!$B$5:$I$448,2,0)</f>
        <v>转向框</v>
      </c>
      <c r="G250" s="116" t="s">
        <v>144</v>
      </c>
      <c r="H250" s="328" t="str">
        <f>H249</f>
        <v>SW55K101</v>
      </c>
      <c r="I250" s="328" t="s">
        <v>1190</v>
      </c>
      <c r="J250" s="329">
        <f>IF(G227=55,M234-V250,IF(G227=551,M234-X250,IF(G227=60,M234-Z250,IF(G227=601,M234-AB250,IF(G227=65,M234-AD250,IF(G227=70,M234-AF250,IF(G227=75,M234-AH250,IF(G227=50,M234-AJ250))))))))</f>
        <v>449.4</v>
      </c>
      <c r="K250" s="328">
        <v>2</v>
      </c>
      <c r="L250" s="310">
        <f>VLOOKUP($H:$H,型材表!$B$5:$I$448,4,0)</f>
        <v>0.95399999999999996</v>
      </c>
      <c r="M250" s="147">
        <f t="shared" si="41"/>
        <v>0.85745519999999986</v>
      </c>
      <c r="N250" s="311">
        <f>VLOOKUP($H:$H,型材表!$B$5:$I$448,7,0)</f>
        <v>0</v>
      </c>
      <c r="O250" s="147">
        <f t="shared" si="42"/>
        <v>0</v>
      </c>
      <c r="P250" s="312">
        <f>VLOOKUP($H:$H,型材表!$B$5:$I$448,5,0)</f>
        <v>0.125</v>
      </c>
      <c r="Q250" s="100" t="str">
        <f>VLOOKUP($H:$H,型材表!$B$5:$I$448,6,0)</f>
        <v>断桥隔热铝型材</v>
      </c>
      <c r="R250" s="330"/>
      <c r="S250" s="314"/>
      <c r="T250" s="469"/>
      <c r="U250" s="376" t="s">
        <v>1205</v>
      </c>
      <c r="V250" s="316">
        <f>25.3*2</f>
        <v>50.6</v>
      </c>
      <c r="W250" s="316"/>
      <c r="X250" s="317">
        <f>25.3*2</f>
        <v>50.6</v>
      </c>
      <c r="Y250" s="318"/>
      <c r="Z250" s="317">
        <f>25.3*2</f>
        <v>50.6</v>
      </c>
      <c r="AA250" s="318"/>
      <c r="AB250" s="317">
        <f>25.3*2</f>
        <v>50.6</v>
      </c>
      <c r="AC250" s="318"/>
      <c r="AD250" s="317">
        <f>25.3*2</f>
        <v>50.6</v>
      </c>
      <c r="AE250" s="318"/>
      <c r="AF250" s="317">
        <f>25.3*2</f>
        <v>50.6</v>
      </c>
      <c r="AG250" s="318"/>
      <c r="AH250" s="317">
        <f>25.3*2</f>
        <v>50.6</v>
      </c>
      <c r="AI250" s="318"/>
      <c r="AJ250" s="317">
        <f>25.3*2</f>
        <v>50.6</v>
      </c>
      <c r="AK250" s="318"/>
    </row>
    <row r="251" spans="1:37" x14ac:dyDescent="0.15">
      <c r="A251" s="413">
        <v>10</v>
      </c>
      <c r="B251" s="537"/>
      <c r="C251" s="538"/>
      <c r="D251" s="538"/>
      <c r="E251" s="539"/>
      <c r="F251" s="47"/>
      <c r="G251" s="45"/>
      <c r="H251" s="45"/>
      <c r="I251" s="207"/>
      <c r="J251" s="46"/>
      <c r="K251" s="45"/>
      <c r="L251" s="47"/>
      <c r="M251" s="46"/>
      <c r="N251" s="72"/>
      <c r="O251" s="46"/>
      <c r="P251" s="100"/>
      <c r="Q251" s="100"/>
      <c r="R251" s="49"/>
      <c r="S251" s="50"/>
      <c r="T251" s="459"/>
      <c r="X251" s="264"/>
      <c r="Y251" s="265"/>
      <c r="Z251" s="264"/>
      <c r="AA251" s="265"/>
      <c r="AB251" s="264"/>
      <c r="AC251" s="265"/>
      <c r="AD251" s="264"/>
      <c r="AE251" s="265"/>
      <c r="AF251" s="264"/>
      <c r="AG251" s="265"/>
      <c r="AH251" s="264"/>
      <c r="AI251" s="265"/>
      <c r="AJ251" s="264"/>
      <c r="AK251" s="265"/>
    </row>
    <row r="252" spans="1:37" ht="13.5" customHeight="1" x14ac:dyDescent="0.15">
      <c r="A252" s="413">
        <v>11</v>
      </c>
      <c r="B252" s="531" t="s">
        <v>44</v>
      </c>
      <c r="C252" s="532"/>
      <c r="D252" s="532"/>
      <c r="E252" s="533"/>
      <c r="F252" s="47" t="str">
        <f>VLOOKUP($H:$H,型材表!$B$5:$I$448,2,0)</f>
        <v>压线</v>
      </c>
      <c r="G252" s="45" t="s">
        <v>39</v>
      </c>
      <c r="H252" s="45" t="str">
        <f>IF(G227=55,"SN55Y001",IF(G227=551,"SW55BY001",IF(G227=60,"SN60Y001",IF(G227=601,"SW60AY001",IF(G227=65,"SN65AY001",IF(G227=70,"SN70Y001",IF(G227=75,"SN75Y001",IF(G227=50,"SW50Y001"))))))))</f>
        <v>SN55Y001</v>
      </c>
      <c r="I252" s="207" t="s">
        <v>1193</v>
      </c>
      <c r="J252" s="52">
        <f>IF(G227=55,M231-V252,IF(G227=551,M231-X252,IF(G227=60,M231-Z252,IF(G227=601,M231-AB252,IF(G227=65,M231-AD252,IF(G227=70,M231-AF252,IF(G227=75,M231-AH252,IF(G227=50,M231-AJ252))))))))</f>
        <v>1172</v>
      </c>
      <c r="K252" s="45">
        <f>K247</f>
        <v>2</v>
      </c>
      <c r="L252" s="47">
        <f>VLOOKUP($H:$H,型材表!$B$5:$I$448,4,0)</f>
        <v>0.214</v>
      </c>
      <c r="M252" s="46">
        <f t="shared" ref="M252:M259" si="43">J252*K252*L252/1000</f>
        <v>0.50161599999999995</v>
      </c>
      <c r="N252" s="72">
        <f>VLOOKUP($H:$H,型材表!$B$5:$I$448,7,0)</f>
        <v>0</v>
      </c>
      <c r="O252" s="46">
        <f t="shared" ref="O252:O259" si="44">N252*M252</f>
        <v>0</v>
      </c>
      <c r="P252" s="100">
        <f>VLOOKUP($H:$H,型材表!$B$5:$I$448,5,0)</f>
        <v>0.125</v>
      </c>
      <c r="Q252" s="100" t="str">
        <f>VLOOKUP($H:$H,型材表!$B$5:$I$448,6,0)</f>
        <v>非断桥隔热铝型材</v>
      </c>
      <c r="R252" s="49"/>
      <c r="S252" s="50"/>
      <c r="T252" s="459"/>
      <c r="U252" s="374" t="s">
        <v>1206</v>
      </c>
      <c r="V252" s="269">
        <f>71.5+56.5</f>
        <v>128</v>
      </c>
      <c r="X252" s="279">
        <f>71.5+56.5</f>
        <v>128</v>
      </c>
      <c r="Y252" s="265"/>
      <c r="Z252" s="279">
        <f>71.5+56.5</f>
        <v>128</v>
      </c>
      <c r="AA252" s="265"/>
      <c r="AB252" s="279">
        <f>71.5+56.5</f>
        <v>128</v>
      </c>
      <c r="AC252" s="265"/>
      <c r="AD252" s="279">
        <f>71.5+56.5</f>
        <v>128</v>
      </c>
      <c r="AE252" s="265"/>
      <c r="AF252" s="279">
        <f>75+60</f>
        <v>135</v>
      </c>
      <c r="AG252" s="265"/>
      <c r="AH252" s="279">
        <f>75+60</f>
        <v>135</v>
      </c>
      <c r="AI252" s="265"/>
      <c r="AJ252" s="279">
        <f>66+50.7</f>
        <v>116.7</v>
      </c>
      <c r="AK252" s="265"/>
    </row>
    <row r="253" spans="1:37" x14ac:dyDescent="0.15">
      <c r="A253" s="413">
        <v>12</v>
      </c>
      <c r="B253" s="534"/>
      <c r="C253" s="535"/>
      <c r="D253" s="535"/>
      <c r="E253" s="536"/>
      <c r="F253" s="47" t="str">
        <f>VLOOKUP($H:$H,型材表!$B$5:$I$448,2,0)</f>
        <v>压线</v>
      </c>
      <c r="G253" s="45" t="s">
        <v>39</v>
      </c>
      <c r="H253" s="207" t="str">
        <f>H252</f>
        <v>SN55Y001</v>
      </c>
      <c r="I253" s="207" t="s">
        <v>1194</v>
      </c>
      <c r="J253" s="214">
        <f>IF(G227=55,M232-V253,IF(G227=551,M232-X253,IF(G227=60,M232-Z253,IF(G227=601,M232-AB253,IF(G227=65,M232-AD253,IF(G227=70,M232-AF253,IF(G227=75,M232-AH253,IF(G227=50,M232-AJ253))))))))</f>
        <v>312.2</v>
      </c>
      <c r="K253" s="207">
        <v>2</v>
      </c>
      <c r="L253" s="47">
        <f>VLOOKUP($H:$H,型材表!$B$5:$I$448,4,0)</f>
        <v>0.214</v>
      </c>
      <c r="M253" s="46">
        <f t="shared" si="43"/>
        <v>0.13362160000000001</v>
      </c>
      <c r="N253" s="72">
        <f>VLOOKUP($H:$H,型材表!$B$5:$I$448,7,0)</f>
        <v>0</v>
      </c>
      <c r="O253" s="46">
        <f t="shared" si="44"/>
        <v>0</v>
      </c>
      <c r="P253" s="100">
        <f>VLOOKUP($H:$H,型材表!$B$5:$I$448,5,0)</f>
        <v>0.125</v>
      </c>
      <c r="Q253" s="100" t="str">
        <f>VLOOKUP($H:$H,型材表!$B$5:$I$448,6,0)</f>
        <v>非断桥隔热铝型材</v>
      </c>
      <c r="R253" s="210"/>
      <c r="S253" s="50"/>
      <c r="T253" s="459"/>
      <c r="U253" s="374" t="s">
        <v>1207</v>
      </c>
      <c r="V253" s="259">
        <f>51.4+36.4</f>
        <v>87.8</v>
      </c>
      <c r="X253" s="286">
        <f>51.4+36.4</f>
        <v>87.8</v>
      </c>
      <c r="Y253" s="265"/>
      <c r="Z253" s="286">
        <f>51.4+36.4</f>
        <v>87.8</v>
      </c>
      <c r="AA253" s="265"/>
      <c r="AB253" s="286">
        <f>51.4+36.4</f>
        <v>87.8</v>
      </c>
      <c r="AC253" s="265"/>
      <c r="AD253" s="286">
        <f>51.4+36.4</f>
        <v>87.8</v>
      </c>
      <c r="AE253" s="265"/>
      <c r="AF253" s="264">
        <f>38.4+53.4</f>
        <v>91.8</v>
      </c>
      <c r="AG253" s="265"/>
      <c r="AH253" s="264">
        <f>38.4+53.4</f>
        <v>91.8</v>
      </c>
      <c r="AI253" s="265"/>
      <c r="AJ253" s="279">
        <f>32.4+47.7</f>
        <v>80.099999999999994</v>
      </c>
      <c r="AK253" s="265"/>
    </row>
    <row r="254" spans="1:37" x14ac:dyDescent="0.15">
      <c r="A254" s="413">
        <v>13</v>
      </c>
      <c r="B254" s="534"/>
      <c r="C254" s="535"/>
      <c r="D254" s="535"/>
      <c r="E254" s="536"/>
      <c r="F254" s="47" t="str">
        <f>VLOOKUP($H:$H,型材表!$B$5:$I$448,2,0)</f>
        <v>压线</v>
      </c>
      <c r="G254" s="45" t="s">
        <v>40</v>
      </c>
      <c r="H254" s="207" t="str">
        <f t="shared" ref="H254:H255" si="45">H253</f>
        <v>SN55Y001</v>
      </c>
      <c r="I254" s="207" t="s">
        <v>1174</v>
      </c>
      <c r="J254" s="214">
        <f>IF(G227=55,M234-V254,IF(G227=551,M234-X254,IF(G227=60,M234-Z254,IF(G227=601,M234-AB254,IF(G227=65,M234-AD254,IF(G227=70,M234-AF254,IF(G227=75,M234-AH254,IF(G227=50,M234-AJ254))))))))</f>
        <v>357</v>
      </c>
      <c r="K254" s="45">
        <f>K249</f>
        <v>2</v>
      </c>
      <c r="L254" s="47">
        <f>VLOOKUP($H:$H,型材表!$B$5:$I$448,4,0)</f>
        <v>0.214</v>
      </c>
      <c r="M254" s="46">
        <f t="shared" ref="M254:M255" si="46">J254*K254*L254/1000</f>
        <v>0.15279599999999999</v>
      </c>
      <c r="N254" s="72">
        <f>VLOOKUP($H:$H,型材表!$B$5:$I$448,7,0)</f>
        <v>0</v>
      </c>
      <c r="O254" s="46">
        <f t="shared" ref="O254:O255" si="47">N254*M254</f>
        <v>0</v>
      </c>
      <c r="P254" s="100">
        <f>VLOOKUP($H:$H,型材表!$B$5:$I$448,5,0)</f>
        <v>0.125</v>
      </c>
      <c r="Q254" s="100" t="str">
        <f>VLOOKUP($H:$H,型材表!$B$5:$I$448,6,0)</f>
        <v>非断桥隔热铝型材</v>
      </c>
      <c r="R254" s="210"/>
      <c r="S254" s="50"/>
      <c r="T254" s="459"/>
      <c r="U254" s="374" t="s">
        <v>1208</v>
      </c>
      <c r="V254" s="259">
        <f>71.5*2</f>
        <v>143</v>
      </c>
      <c r="X254" s="286">
        <f>71.5*2</f>
        <v>143</v>
      </c>
      <c r="Y254" s="265"/>
      <c r="Z254" s="286">
        <f>71.5*2</f>
        <v>143</v>
      </c>
      <c r="AA254" s="265"/>
      <c r="AB254" s="286">
        <f>71.5*2</f>
        <v>143</v>
      </c>
      <c r="AC254" s="265"/>
      <c r="AD254" s="286">
        <f>71.5*2</f>
        <v>143</v>
      </c>
      <c r="AE254" s="265"/>
      <c r="AF254" s="264">
        <f>75*2</f>
        <v>150</v>
      </c>
      <c r="AG254" s="265"/>
      <c r="AH254" s="264">
        <f>75*2</f>
        <v>150</v>
      </c>
      <c r="AI254" s="265"/>
      <c r="AJ254" s="264">
        <f>66*2</f>
        <v>132</v>
      </c>
      <c r="AK254" s="265"/>
    </row>
    <row r="255" spans="1:37" x14ac:dyDescent="0.15">
      <c r="A255" s="413">
        <v>14</v>
      </c>
      <c r="B255" s="534"/>
      <c r="C255" s="535"/>
      <c r="D255" s="535"/>
      <c r="E255" s="536"/>
      <c r="F255" s="47" t="str">
        <f>VLOOKUP($H:$H,型材表!$B$5:$I$448,2,0)</f>
        <v>压线</v>
      </c>
      <c r="G255" s="45" t="s">
        <v>40</v>
      </c>
      <c r="H255" s="207" t="str">
        <f t="shared" si="45"/>
        <v>SN55Y001</v>
      </c>
      <c r="I255" s="207" t="s">
        <v>1015</v>
      </c>
      <c r="J255" s="214">
        <f>IF(G227=55,M234-V255,IF(G227=551,M234-X255,IF(G227=60,M234-Z255,IF(G227=601,M234-AB255,IF(G227=65,M234-AD255,IF(G227=70,M234-AF255,IF(G227=75,M234-AH255,IF(G227=50,M234-AJ255))))))))</f>
        <v>397.2</v>
      </c>
      <c r="K255" s="207">
        <v>2</v>
      </c>
      <c r="L255" s="47">
        <f>VLOOKUP($H:$H,型材表!$B$5:$I$448,4,0)</f>
        <v>0.214</v>
      </c>
      <c r="M255" s="46">
        <f t="shared" si="46"/>
        <v>0.1700016</v>
      </c>
      <c r="N255" s="72">
        <f>VLOOKUP($H:$H,型材表!$B$5:$I$448,7,0)</f>
        <v>0</v>
      </c>
      <c r="O255" s="46">
        <f t="shared" si="47"/>
        <v>0</v>
      </c>
      <c r="P255" s="100">
        <f>VLOOKUP($H:$H,型材表!$B$5:$I$448,5,0)</f>
        <v>0.125</v>
      </c>
      <c r="Q255" s="100" t="str">
        <f>VLOOKUP($H:$H,型材表!$B$5:$I$448,6,0)</f>
        <v>非断桥隔热铝型材</v>
      </c>
      <c r="R255" s="210"/>
      <c r="S255" s="50"/>
      <c r="T255" s="459"/>
      <c r="U255" s="374" t="s">
        <v>1209</v>
      </c>
      <c r="V255" s="259">
        <f>51.4*2</f>
        <v>102.8</v>
      </c>
      <c r="X255" s="286">
        <f>51.4*2</f>
        <v>102.8</v>
      </c>
      <c r="Y255" s="265"/>
      <c r="Z255" s="286">
        <f>51.4*2</f>
        <v>102.8</v>
      </c>
      <c r="AA255" s="265"/>
      <c r="AB255" s="286">
        <f>51.4*2</f>
        <v>102.8</v>
      </c>
      <c r="AC255" s="265"/>
      <c r="AD255" s="286">
        <f>51.4*2</f>
        <v>102.8</v>
      </c>
      <c r="AE255" s="265"/>
      <c r="AF255" s="264">
        <f>53.4*2</f>
        <v>106.8</v>
      </c>
      <c r="AG255" s="265"/>
      <c r="AH255" s="264">
        <f>53.4*2</f>
        <v>106.8</v>
      </c>
      <c r="AI255" s="265"/>
      <c r="AJ255" s="264">
        <f>47.7*2</f>
        <v>95.4</v>
      </c>
      <c r="AK255" s="265"/>
    </row>
    <row r="256" spans="1:37" x14ac:dyDescent="0.15">
      <c r="A256" s="413">
        <v>15</v>
      </c>
      <c r="B256" s="534"/>
      <c r="C256" s="535"/>
      <c r="D256" s="535"/>
      <c r="E256" s="536"/>
      <c r="F256" s="47" t="str">
        <f>VLOOKUP($H:$H,型材表!$B$5:$I$448,2,0)</f>
        <v>角码</v>
      </c>
      <c r="G256" s="213" t="s">
        <v>446</v>
      </c>
      <c r="H256" s="207" t="str">
        <f>IF(G227=70,"SN55F003",IF(G227=75,"SN55F003",IF(G227=50,"SW50F002","SW55F001")))</f>
        <v>SW55F001</v>
      </c>
      <c r="I256" s="207" t="s">
        <v>931</v>
      </c>
      <c r="J256" s="214">
        <f>IF(G227=55,V256,IF(G227=551,X256,IF(G227=60,Z256,IF(G227=601,AB256,IF(G227=65,AD256,IF(G227=70,AF256,IF(G227=75,AH256,IF(G227=50,AJ256))))))))</f>
        <v>32.200000000000003</v>
      </c>
      <c r="K256" s="207">
        <v>4</v>
      </c>
      <c r="L256" s="47">
        <f>VLOOKUP($H:$H,型材表!$B$5:$I$448,4,0)</f>
        <v>2.0950000000000002</v>
      </c>
      <c r="M256" s="46">
        <f t="shared" si="43"/>
        <v>0.26983600000000008</v>
      </c>
      <c r="N256" s="72">
        <f>VLOOKUP($H:$H,型材表!$B$5:$I$448,7,0)</f>
        <v>0</v>
      </c>
      <c r="O256" s="46">
        <f t="shared" si="44"/>
        <v>0</v>
      </c>
      <c r="P256" s="100">
        <f>VLOOKUP($H:$H,型材表!$B$5:$I$448,5,0)</f>
        <v>0.125</v>
      </c>
      <c r="Q256" s="100" t="str">
        <f>VLOOKUP($H:$H,型材表!$B$5:$I$448,6,0)</f>
        <v>阳极氧化铝型材</v>
      </c>
      <c r="R256" s="210"/>
      <c r="S256" s="50"/>
      <c r="T256" s="459"/>
      <c r="U256" s="374" t="s">
        <v>1210</v>
      </c>
      <c r="V256" s="259">
        <f>19.5-1+14.7-1</f>
        <v>32.200000000000003</v>
      </c>
      <c r="X256" s="264">
        <f>19.5-1+10.9-1</f>
        <v>28.4</v>
      </c>
      <c r="Y256" s="265"/>
      <c r="Z256" s="264">
        <f>19.5-1+14.7-1</f>
        <v>32.200000000000003</v>
      </c>
      <c r="AA256" s="265"/>
      <c r="AB256" s="264">
        <f>19.5-1+10.9-1</f>
        <v>28.4</v>
      </c>
      <c r="AC256" s="265"/>
      <c r="AD256" s="264">
        <f>19.5-1+14.7-1</f>
        <v>32.200000000000003</v>
      </c>
      <c r="AE256" s="265"/>
      <c r="AF256" s="264">
        <f>19.5-1+14.7-1</f>
        <v>32.200000000000003</v>
      </c>
      <c r="AG256" s="265"/>
      <c r="AH256" s="264">
        <f>19.5-1+14.7-1</f>
        <v>32.200000000000003</v>
      </c>
      <c r="AI256" s="265"/>
      <c r="AJ256" s="264">
        <f>15-1</f>
        <v>14</v>
      </c>
      <c r="AK256" s="265"/>
    </row>
    <row r="257" spans="1:37" s="229" customFormat="1" x14ac:dyDescent="0.15">
      <c r="A257" s="413">
        <v>16</v>
      </c>
      <c r="B257" s="534"/>
      <c r="C257" s="535"/>
      <c r="D257" s="535"/>
      <c r="E257" s="536"/>
      <c r="F257" s="47" t="str">
        <f>VLOOKUP($H:$H,型材表!$B$5:$I$448,2,0)</f>
        <v>角码</v>
      </c>
      <c r="G257" s="230" t="s">
        <v>447</v>
      </c>
      <c r="H257" s="222" t="str">
        <f>IF(G227=70,"SW70F001",IF(G227=75,"SW70F001",IF(G227=50,"SW50F003","SN55MF004")))</f>
        <v>SN55MF004</v>
      </c>
      <c r="I257" s="207" t="s">
        <v>995</v>
      </c>
      <c r="J257" s="214">
        <f>IF(G227=55,V257,IF(G227=551,X257,IF(G227=60,Z257,IF(G227=601,AB257,IF(G227=65,AD257,IF(G227=70,AF257,IF(G227=75,AH257,IF(G227=50,AJ257))))))))</f>
        <v>30.2</v>
      </c>
      <c r="K257" s="207">
        <v>4</v>
      </c>
      <c r="L257" s="47">
        <f>VLOOKUP($H:$H,型材表!$B$5:$I$448,4,0)</f>
        <v>2.996</v>
      </c>
      <c r="M257" s="46">
        <f t="shared" si="43"/>
        <v>0.36191679999999998</v>
      </c>
      <c r="N257" s="72">
        <f>VLOOKUP($H:$H,型材表!$B$5:$I$448,7,0)</f>
        <v>0</v>
      </c>
      <c r="O257" s="46">
        <f t="shared" si="44"/>
        <v>0</v>
      </c>
      <c r="P257" s="100">
        <f>VLOOKUP($H:$H,型材表!$B$5:$I$448,5,0)</f>
        <v>0.125</v>
      </c>
      <c r="Q257" s="100" t="str">
        <f>VLOOKUP($H:$H,型材表!$B$5:$I$448,6,0)</f>
        <v>阳极氧化铝型材</v>
      </c>
      <c r="R257" s="227"/>
      <c r="S257" s="228"/>
      <c r="T257" s="467"/>
      <c r="U257" s="374" t="s">
        <v>995</v>
      </c>
      <c r="V257" s="266">
        <f>8-1+24.2-1</f>
        <v>30.2</v>
      </c>
      <c r="W257" s="266"/>
      <c r="X257" s="267">
        <f>4.2-1+24.2-1</f>
        <v>26.4</v>
      </c>
      <c r="Y257" s="268"/>
      <c r="Z257" s="267">
        <f>8-1+24.2-1</f>
        <v>30.2</v>
      </c>
      <c r="AA257" s="268"/>
      <c r="AB257" s="267">
        <f>4.2-1+24.2-1</f>
        <v>26.4</v>
      </c>
      <c r="AC257" s="268"/>
      <c r="AD257" s="267">
        <f>8-1+24.2-1</f>
        <v>30.2</v>
      </c>
      <c r="AE257" s="268"/>
      <c r="AF257" s="267">
        <f>7.3-1+24-1</f>
        <v>29.3</v>
      </c>
      <c r="AG257" s="268"/>
      <c r="AH257" s="267">
        <f>7.3-1+24-1</f>
        <v>29.3</v>
      </c>
      <c r="AI257" s="268"/>
      <c r="AJ257" s="267">
        <f>18.9-1</f>
        <v>17.899999999999999</v>
      </c>
      <c r="AK257" s="268"/>
    </row>
    <row r="258" spans="1:37" x14ac:dyDescent="0.15">
      <c r="A258" s="413">
        <v>17</v>
      </c>
      <c r="B258" s="534"/>
      <c r="C258" s="535"/>
      <c r="D258" s="535"/>
      <c r="E258" s="536"/>
      <c r="F258" s="47" t="str">
        <f>VLOOKUP($H:$H,型材表!$B$5:$I$448,2,0)</f>
        <v>中梃角码</v>
      </c>
      <c r="G258" s="51"/>
      <c r="H258" s="45" t="str">
        <f>IF(G227=50,"SW50F004","SN55F001")</f>
        <v>SN55F001</v>
      </c>
      <c r="I258" s="207" t="s">
        <v>937</v>
      </c>
      <c r="J258" s="52">
        <f>IF(G227=55,V258,IF(G227=551,X258,IF(G227=60,Z258,IF(G227=601,AB258,IF(G227=65,AD258,IF(G227=70,AF258,IF(G227=75,AH258,IF(G227=50,AJ258))))))))</f>
        <v>18.5</v>
      </c>
      <c r="K258" s="45">
        <v>2</v>
      </c>
      <c r="L258" s="47">
        <f>VLOOKUP($H:$H,型材表!$B$5:$I$448,4,0)</f>
        <v>1.4730000000000001</v>
      </c>
      <c r="M258" s="46">
        <f t="shared" si="43"/>
        <v>5.4501000000000008E-2</v>
      </c>
      <c r="N258" s="72">
        <f>VLOOKUP($H:$H,型材表!$B$5:$I$448,7,0)</f>
        <v>0</v>
      </c>
      <c r="O258" s="46">
        <f t="shared" si="44"/>
        <v>0</v>
      </c>
      <c r="P258" s="100">
        <f>VLOOKUP($H:$H,型材表!$B$5:$I$448,5,0)</f>
        <v>0.125</v>
      </c>
      <c r="Q258" s="100" t="str">
        <f>VLOOKUP($H:$H,型材表!$B$5:$I$448,6,0)</f>
        <v>阳极氧化铝型材</v>
      </c>
      <c r="R258" s="49"/>
      <c r="S258" s="50"/>
      <c r="T258" s="459"/>
      <c r="U258" s="374" t="s">
        <v>1211</v>
      </c>
      <c r="V258" s="259">
        <f>19.5-1</f>
        <v>18.5</v>
      </c>
      <c r="X258" s="264">
        <f>19.5-1</f>
        <v>18.5</v>
      </c>
      <c r="Y258" s="265"/>
      <c r="Z258" s="286">
        <f>19.5-1</f>
        <v>18.5</v>
      </c>
      <c r="AA258" s="265"/>
      <c r="AB258" s="264">
        <f>19.5-1</f>
        <v>18.5</v>
      </c>
      <c r="AC258" s="265"/>
      <c r="AD258" s="286">
        <f>19.5-1</f>
        <v>18.5</v>
      </c>
      <c r="AE258" s="265"/>
      <c r="AF258" s="286">
        <f>19.5-1</f>
        <v>18.5</v>
      </c>
      <c r="AG258" s="265"/>
      <c r="AH258" s="286">
        <f>19.5-1</f>
        <v>18.5</v>
      </c>
      <c r="AI258" s="265"/>
      <c r="AJ258" s="264">
        <f>13.2-1</f>
        <v>12.2</v>
      </c>
      <c r="AK258" s="265"/>
    </row>
    <row r="259" spans="1:37" x14ac:dyDescent="0.15">
      <c r="A259" s="413">
        <v>18</v>
      </c>
      <c r="B259" s="534"/>
      <c r="C259" s="535"/>
      <c r="D259" s="535"/>
      <c r="E259" s="536"/>
      <c r="F259" s="47" t="str">
        <f>VLOOKUP($H:$H,型材表!$B$5:$I$448,2,0)</f>
        <v>中梃角码</v>
      </c>
      <c r="G259" s="213"/>
      <c r="H259" s="207" t="str">
        <f>IF(G227=501,"SN55BF001",IF(G227=601,"SN55BF001",IF(G227=70,"SN70F001",IF(G227=75,"SN70F001","SN55F002"))))</f>
        <v>SN55F002</v>
      </c>
      <c r="I259" s="207" t="s">
        <v>1196</v>
      </c>
      <c r="J259" s="214">
        <f>IF(G227=55,V259,IF(G227=551,X259,IF(G227=60,Z259,IF(G227=601,AB259,IF(G227=65,AD259,IF(G227=70,AF259,IF(G227=75,AH259,IF(G227=50,AJ259))))))))</f>
        <v>13.5</v>
      </c>
      <c r="K259" s="207">
        <v>2</v>
      </c>
      <c r="L259" s="47">
        <f>VLOOKUP($H:$H,型材表!$B$5:$I$448,4,0)</f>
        <v>0.90400000000000003</v>
      </c>
      <c r="M259" s="46">
        <f t="shared" si="43"/>
        <v>2.4408000000000003E-2</v>
      </c>
      <c r="N259" s="72">
        <f>VLOOKUP($H:$H,型材表!$B$5:$I$448,7,0)</f>
        <v>0</v>
      </c>
      <c r="O259" s="46">
        <f t="shared" si="44"/>
        <v>0</v>
      </c>
      <c r="P259" s="100">
        <f>VLOOKUP($H:$H,型材表!$B$5:$I$448,5,0)</f>
        <v>0.125</v>
      </c>
      <c r="Q259" s="100" t="str">
        <f>VLOOKUP($H:$H,型材表!$B$5:$I$448,6,0)</f>
        <v>阳极氧化铝型材</v>
      </c>
      <c r="R259" s="210"/>
      <c r="S259" s="50"/>
      <c r="T259" s="459"/>
      <c r="U259" s="374" t="s">
        <v>1212</v>
      </c>
      <c r="V259" s="259">
        <f>14.5-1</f>
        <v>13.5</v>
      </c>
      <c r="X259" s="264">
        <f>10.7-1</f>
        <v>9.6999999999999993</v>
      </c>
      <c r="Y259" s="265"/>
      <c r="Z259" s="286">
        <f>14.5-1</f>
        <v>13.5</v>
      </c>
      <c r="AA259" s="265"/>
      <c r="AB259" s="264">
        <f>10.7-1</f>
        <v>9.6999999999999993</v>
      </c>
      <c r="AC259" s="265"/>
      <c r="AD259" s="286">
        <f>14.5-1</f>
        <v>13.5</v>
      </c>
      <c r="AE259" s="265"/>
      <c r="AF259" s="286">
        <f>14.5-1</f>
        <v>13.5</v>
      </c>
      <c r="AG259" s="265"/>
      <c r="AH259" s="286">
        <f>14.5-1</f>
        <v>13.5</v>
      </c>
      <c r="AI259" s="265"/>
      <c r="AJ259" s="264"/>
      <c r="AK259" s="265"/>
    </row>
    <row r="260" spans="1:37" x14ac:dyDescent="0.15">
      <c r="A260" s="413">
        <v>19</v>
      </c>
      <c r="B260" s="534"/>
      <c r="C260" s="535"/>
      <c r="D260" s="535"/>
      <c r="E260" s="536"/>
      <c r="F260" s="306"/>
      <c r="G260" s="213"/>
      <c r="H260" s="207"/>
      <c r="I260" s="207"/>
      <c r="J260" s="214"/>
      <c r="K260" s="207"/>
      <c r="L260" s="306"/>
      <c r="M260" s="208"/>
      <c r="N260" s="209"/>
      <c r="O260" s="208"/>
      <c r="P260" s="307"/>
      <c r="Q260" s="100"/>
      <c r="R260" s="210"/>
      <c r="S260" s="50"/>
      <c r="T260" s="459"/>
      <c r="X260" s="264"/>
      <c r="Y260" s="265"/>
      <c r="Z260" s="264"/>
      <c r="AA260" s="265"/>
      <c r="AB260" s="264"/>
      <c r="AC260" s="265"/>
      <c r="AD260" s="264"/>
      <c r="AE260" s="265"/>
      <c r="AF260" s="264"/>
      <c r="AG260" s="265"/>
      <c r="AH260" s="264"/>
      <c r="AI260" s="265"/>
      <c r="AJ260" s="264"/>
      <c r="AK260" s="265"/>
    </row>
    <row r="261" spans="1:37" x14ac:dyDescent="0.15">
      <c r="A261" s="413">
        <v>20</v>
      </c>
      <c r="B261" s="534"/>
      <c r="C261" s="535"/>
      <c r="D261" s="535"/>
      <c r="E261" s="536"/>
      <c r="F261" s="306"/>
      <c r="G261" s="213"/>
      <c r="H261" s="207"/>
      <c r="I261" s="207"/>
      <c r="J261" s="214"/>
      <c r="K261" s="207"/>
      <c r="L261" s="306"/>
      <c r="M261" s="208"/>
      <c r="N261" s="209"/>
      <c r="O261" s="208"/>
      <c r="P261" s="307"/>
      <c r="Q261" s="100"/>
      <c r="R261" s="210"/>
      <c r="S261" s="50"/>
      <c r="T261" s="459"/>
      <c r="X261" s="264"/>
      <c r="Y261" s="265"/>
      <c r="Z261" s="264"/>
      <c r="AA261" s="265"/>
      <c r="AB261" s="264"/>
      <c r="AC261" s="265"/>
      <c r="AD261" s="264"/>
      <c r="AE261" s="265"/>
      <c r="AF261" s="264"/>
      <c r="AG261" s="265"/>
      <c r="AH261" s="264"/>
      <c r="AI261" s="265"/>
      <c r="AJ261" s="264"/>
      <c r="AK261" s="265"/>
    </row>
    <row r="262" spans="1:37" x14ac:dyDescent="0.15">
      <c r="A262" s="413">
        <v>21</v>
      </c>
      <c r="B262" s="534"/>
      <c r="C262" s="535"/>
      <c r="D262" s="535"/>
      <c r="E262" s="536"/>
      <c r="F262" s="306"/>
      <c r="G262" s="213"/>
      <c r="H262" s="207"/>
      <c r="I262" s="207"/>
      <c r="J262" s="214"/>
      <c r="K262" s="207"/>
      <c r="L262" s="306"/>
      <c r="M262" s="208"/>
      <c r="N262" s="209"/>
      <c r="O262" s="208"/>
      <c r="P262" s="307"/>
      <c r="Q262" s="100"/>
      <c r="R262" s="210"/>
      <c r="S262" s="50"/>
      <c r="T262" s="459"/>
      <c r="X262" s="264"/>
      <c r="Y262" s="265"/>
      <c r="Z262" s="264"/>
      <c r="AA262" s="265"/>
      <c r="AB262" s="264"/>
      <c r="AC262" s="265"/>
      <c r="AD262" s="264"/>
      <c r="AE262" s="265"/>
      <c r="AF262" s="264"/>
      <c r="AG262" s="265"/>
      <c r="AH262" s="264"/>
      <c r="AI262" s="265"/>
      <c r="AJ262" s="264"/>
      <c r="AK262" s="265"/>
    </row>
    <row r="263" spans="1:37" x14ac:dyDescent="0.15">
      <c r="A263" s="413">
        <v>22</v>
      </c>
      <c r="B263" s="534"/>
      <c r="C263" s="535"/>
      <c r="D263" s="535"/>
      <c r="E263" s="536"/>
      <c r="F263" s="306"/>
      <c r="G263" s="213"/>
      <c r="H263" s="207"/>
      <c r="I263" s="207"/>
      <c r="J263" s="214"/>
      <c r="K263" s="207"/>
      <c r="L263" s="306"/>
      <c r="M263" s="208"/>
      <c r="N263" s="209"/>
      <c r="O263" s="208"/>
      <c r="P263" s="307"/>
      <c r="Q263" s="100"/>
      <c r="R263" s="210"/>
      <c r="S263" s="50"/>
      <c r="T263" s="459"/>
      <c r="X263" s="264"/>
      <c r="Y263" s="265"/>
      <c r="Z263" s="264"/>
      <c r="AA263" s="265"/>
      <c r="AB263" s="264"/>
      <c r="AC263" s="265"/>
      <c r="AD263" s="264"/>
      <c r="AE263" s="265"/>
      <c r="AF263" s="264"/>
      <c r="AG263" s="265"/>
      <c r="AH263" s="264"/>
      <c r="AI263" s="265"/>
      <c r="AJ263" s="264"/>
      <c r="AK263" s="265"/>
    </row>
    <row r="264" spans="1:37" x14ac:dyDescent="0.15">
      <c r="A264" s="413">
        <v>23</v>
      </c>
      <c r="B264" s="534"/>
      <c r="C264" s="535"/>
      <c r="D264" s="535"/>
      <c r="E264" s="536"/>
      <c r="F264" s="306"/>
      <c r="G264" s="213"/>
      <c r="H264" s="207"/>
      <c r="I264" s="207"/>
      <c r="J264" s="214"/>
      <c r="K264" s="207"/>
      <c r="L264" s="306"/>
      <c r="M264" s="208"/>
      <c r="N264" s="209"/>
      <c r="O264" s="208"/>
      <c r="P264" s="307"/>
      <c r="Q264" s="307"/>
      <c r="R264" s="210"/>
      <c r="S264" s="50"/>
      <c r="T264" s="459"/>
      <c r="X264" s="264"/>
      <c r="Y264" s="265"/>
      <c r="Z264" s="264"/>
      <c r="AA264" s="265"/>
      <c r="AB264" s="264"/>
      <c r="AC264" s="265"/>
      <c r="AD264" s="264"/>
      <c r="AE264" s="265"/>
      <c r="AF264" s="264"/>
      <c r="AG264" s="265"/>
      <c r="AH264" s="264"/>
      <c r="AI264" s="265"/>
      <c r="AJ264" s="264"/>
      <c r="AK264" s="265"/>
    </row>
    <row r="265" spans="1:37" x14ac:dyDescent="0.15">
      <c r="A265" s="413">
        <v>24</v>
      </c>
      <c r="B265" s="534"/>
      <c r="C265" s="535"/>
      <c r="D265" s="535"/>
      <c r="E265" s="536"/>
      <c r="F265" s="306"/>
      <c r="G265" s="213"/>
      <c r="H265" s="207"/>
      <c r="I265" s="207"/>
      <c r="J265" s="214"/>
      <c r="K265" s="207"/>
      <c r="L265" s="306"/>
      <c r="M265" s="208"/>
      <c r="N265" s="209"/>
      <c r="O265" s="208"/>
      <c r="P265" s="307"/>
      <c r="Q265" s="307"/>
      <c r="R265" s="210"/>
      <c r="S265" s="50"/>
      <c r="T265" s="459"/>
      <c r="X265" s="264"/>
      <c r="Y265" s="265"/>
      <c r="Z265" s="264"/>
      <c r="AA265" s="265"/>
      <c r="AB265" s="264"/>
      <c r="AC265" s="265"/>
      <c r="AD265" s="264"/>
      <c r="AE265" s="265"/>
      <c r="AF265" s="264"/>
      <c r="AG265" s="265"/>
      <c r="AH265" s="264"/>
      <c r="AI265" s="265"/>
      <c r="AJ265" s="264"/>
      <c r="AK265" s="265"/>
    </row>
    <row r="266" spans="1:37" x14ac:dyDescent="0.15">
      <c r="A266" s="413">
        <v>25</v>
      </c>
      <c r="B266" s="534"/>
      <c r="C266" s="535"/>
      <c r="D266" s="535"/>
      <c r="E266" s="536"/>
      <c r="F266" s="306"/>
      <c r="G266" s="213"/>
      <c r="H266" s="207"/>
      <c r="I266" s="207"/>
      <c r="J266" s="214"/>
      <c r="K266" s="207"/>
      <c r="L266" s="306"/>
      <c r="M266" s="208"/>
      <c r="N266" s="209"/>
      <c r="O266" s="208"/>
      <c r="P266" s="307"/>
      <c r="Q266" s="100"/>
      <c r="R266" s="210"/>
      <c r="S266" s="50"/>
      <c r="T266" s="459"/>
      <c r="X266" s="264"/>
      <c r="Y266" s="265"/>
      <c r="Z266" s="264"/>
      <c r="AA266" s="265"/>
      <c r="AB266" s="264"/>
      <c r="AC266" s="265"/>
      <c r="AD266" s="264"/>
      <c r="AE266" s="265"/>
      <c r="AF266" s="264"/>
      <c r="AG266" s="265"/>
      <c r="AH266" s="264"/>
      <c r="AI266" s="265"/>
      <c r="AJ266" s="264"/>
      <c r="AK266" s="265"/>
    </row>
    <row r="267" spans="1:37" x14ac:dyDescent="0.15">
      <c r="A267" s="413">
        <v>26</v>
      </c>
      <c r="B267" s="534"/>
      <c r="C267" s="535"/>
      <c r="D267" s="535"/>
      <c r="E267" s="536"/>
      <c r="F267" s="47"/>
      <c r="G267" s="213"/>
      <c r="H267" s="207"/>
      <c r="I267" s="207"/>
      <c r="J267" s="214"/>
      <c r="K267" s="207"/>
      <c r="L267" s="47"/>
      <c r="M267" s="46"/>
      <c r="N267" s="72"/>
      <c r="O267" s="46"/>
      <c r="P267" s="100"/>
      <c r="Q267" s="100"/>
      <c r="R267" s="210"/>
      <c r="S267" s="50"/>
      <c r="T267" s="459"/>
      <c r="X267" s="264"/>
      <c r="Y267" s="265"/>
      <c r="Z267" s="264"/>
      <c r="AA267" s="265"/>
      <c r="AB267" s="264"/>
      <c r="AC267" s="265"/>
      <c r="AD267" s="264"/>
      <c r="AE267" s="265"/>
      <c r="AF267" s="264"/>
      <c r="AG267" s="265"/>
      <c r="AH267" s="264"/>
      <c r="AI267" s="265"/>
      <c r="AJ267" s="264"/>
      <c r="AK267" s="265"/>
    </row>
    <row r="268" spans="1:37" s="229" customFormat="1" x14ac:dyDescent="0.15">
      <c r="A268" s="413">
        <v>27</v>
      </c>
      <c r="B268" s="537"/>
      <c r="C268" s="538"/>
      <c r="D268" s="538"/>
      <c r="E268" s="539"/>
      <c r="F268" s="221"/>
      <c r="G268" s="232"/>
      <c r="H268" s="233"/>
      <c r="I268" s="222"/>
      <c r="J268" s="234"/>
      <c r="K268" s="233"/>
      <c r="L268" s="221"/>
      <c r="M268" s="224"/>
      <c r="N268" s="225"/>
      <c r="O268" s="224"/>
      <c r="P268" s="226"/>
      <c r="Q268" s="226"/>
      <c r="R268" s="235"/>
      <c r="S268" s="228"/>
      <c r="T268" s="467"/>
      <c r="U268" s="375"/>
      <c r="V268" s="266"/>
      <c r="W268" s="266"/>
      <c r="X268" s="267"/>
      <c r="Y268" s="268"/>
      <c r="Z268" s="267"/>
      <c r="AA268" s="268"/>
      <c r="AB268" s="267"/>
      <c r="AC268" s="268"/>
      <c r="AD268" s="267"/>
      <c r="AE268" s="268"/>
      <c r="AF268" s="267"/>
      <c r="AG268" s="268"/>
      <c r="AH268" s="267"/>
      <c r="AI268" s="268"/>
      <c r="AJ268" s="267"/>
      <c r="AK268" s="268"/>
    </row>
    <row r="269" spans="1:37" s="229" customFormat="1" ht="13.5" customHeight="1" x14ac:dyDescent="0.15">
      <c r="A269" s="542" t="s">
        <v>975</v>
      </c>
      <c r="B269" s="543"/>
      <c r="C269" s="543"/>
      <c r="D269" s="543"/>
      <c r="E269" s="543"/>
      <c r="F269" s="543"/>
      <c r="G269" s="543"/>
      <c r="H269" s="543"/>
      <c r="I269" s="543"/>
      <c r="J269" s="543"/>
      <c r="K269" s="543"/>
      <c r="L269" s="544"/>
      <c r="M269" s="224">
        <f>SUMIF($Q$242:$Q$268,A269,$M$242:$M$268)</f>
        <v>11.2952548</v>
      </c>
      <c r="N269" s="353"/>
      <c r="O269" s="224"/>
      <c r="P269" s="354"/>
      <c r="Q269" s="355"/>
      <c r="R269" s="296"/>
      <c r="S269" s="228"/>
      <c r="T269" s="467"/>
      <c r="U269" s="375"/>
      <c r="V269" s="266"/>
      <c r="W269" s="266"/>
      <c r="X269" s="267"/>
      <c r="Y269" s="268"/>
      <c r="Z269" s="267"/>
      <c r="AA269" s="268"/>
      <c r="AB269" s="267"/>
      <c r="AC269" s="268"/>
      <c r="AD269" s="267"/>
      <c r="AE269" s="268"/>
      <c r="AF269" s="267"/>
      <c r="AG269" s="268"/>
      <c r="AH269" s="267"/>
      <c r="AI269" s="268"/>
      <c r="AJ269" s="267"/>
      <c r="AK269" s="268"/>
    </row>
    <row r="270" spans="1:37" s="229" customFormat="1" ht="13.5" customHeight="1" x14ac:dyDescent="0.15">
      <c r="A270" s="542" t="s">
        <v>976</v>
      </c>
      <c r="B270" s="543"/>
      <c r="C270" s="543"/>
      <c r="D270" s="543"/>
      <c r="E270" s="543"/>
      <c r="F270" s="543"/>
      <c r="G270" s="543"/>
      <c r="H270" s="543"/>
      <c r="I270" s="543"/>
      <c r="J270" s="543"/>
      <c r="K270" s="543"/>
      <c r="L270" s="544"/>
      <c r="M270" s="224">
        <f>SUMIF($Q$242:$Q$268,A270,$M$242:$M$268)</f>
        <v>0.95803519999999986</v>
      </c>
      <c r="N270" s="353"/>
      <c r="O270" s="224"/>
      <c r="P270" s="354"/>
      <c r="Q270" s="355"/>
      <c r="R270" s="296"/>
      <c r="S270" s="228"/>
      <c r="T270" s="467"/>
      <c r="U270" s="375"/>
      <c r="V270" s="266"/>
      <c r="W270" s="266"/>
      <c r="X270" s="267"/>
      <c r="Y270" s="268"/>
      <c r="Z270" s="267"/>
      <c r="AA270" s="268"/>
      <c r="AB270" s="267"/>
      <c r="AC270" s="268"/>
      <c r="AD270" s="267"/>
      <c r="AE270" s="268"/>
      <c r="AF270" s="267"/>
      <c r="AG270" s="268"/>
      <c r="AH270" s="267"/>
      <c r="AI270" s="268"/>
      <c r="AJ270" s="267"/>
      <c r="AK270" s="268"/>
    </row>
    <row r="271" spans="1:37" s="229" customFormat="1" ht="13.5" customHeight="1" x14ac:dyDescent="0.15">
      <c r="A271" s="542" t="s">
        <v>977</v>
      </c>
      <c r="B271" s="543"/>
      <c r="C271" s="543"/>
      <c r="D271" s="543"/>
      <c r="E271" s="543"/>
      <c r="F271" s="543"/>
      <c r="G271" s="543"/>
      <c r="H271" s="543"/>
      <c r="I271" s="543"/>
      <c r="J271" s="543"/>
      <c r="K271" s="543"/>
      <c r="L271" s="544"/>
      <c r="M271" s="224">
        <f>SUMIF($Q$242:$Q$268,A271,$M$242:$M$268)</f>
        <v>0.71066180000000012</v>
      </c>
      <c r="N271" s="353"/>
      <c r="O271" s="224"/>
      <c r="P271" s="354"/>
      <c r="Q271" s="355"/>
      <c r="R271" s="296"/>
      <c r="S271" s="228"/>
      <c r="T271" s="467"/>
      <c r="U271" s="375"/>
      <c r="V271" s="266"/>
      <c r="W271" s="266"/>
      <c r="X271" s="267"/>
      <c r="Y271" s="268"/>
      <c r="Z271" s="267"/>
      <c r="AA271" s="268"/>
      <c r="AB271" s="267"/>
      <c r="AC271" s="268"/>
      <c r="AD271" s="267"/>
      <c r="AE271" s="268"/>
      <c r="AF271" s="267"/>
      <c r="AG271" s="268"/>
      <c r="AH271" s="267"/>
      <c r="AI271" s="268"/>
      <c r="AJ271" s="267"/>
      <c r="AK271" s="268"/>
    </row>
    <row r="272" spans="1:37" ht="13.5" customHeight="1" x14ac:dyDescent="0.15">
      <c r="A272" s="552"/>
      <c r="B272" s="557"/>
      <c r="C272" s="557"/>
      <c r="D272" s="553"/>
      <c r="E272" s="552" t="s">
        <v>48</v>
      </c>
      <c r="F272" s="557"/>
      <c r="G272" s="557"/>
      <c r="H272" s="557"/>
      <c r="I272" s="557"/>
      <c r="J272" s="557"/>
      <c r="K272" s="553"/>
      <c r="L272" s="62"/>
      <c r="M272" s="62">
        <f>SUM(M269:M271)</f>
        <v>12.9639518</v>
      </c>
      <c r="N272" s="63"/>
      <c r="O272" s="62">
        <f>SUM(O242:O268)</f>
        <v>0</v>
      </c>
      <c r="P272" s="63"/>
      <c r="Q272" s="337"/>
      <c r="R272" s="64"/>
      <c r="S272" s="64"/>
      <c r="T272" s="460"/>
      <c r="X272" s="264"/>
      <c r="Y272" s="265"/>
      <c r="Z272" s="264"/>
      <c r="AA272" s="265"/>
      <c r="AB272" s="264"/>
      <c r="AC272" s="265"/>
      <c r="AD272" s="264"/>
      <c r="AE272" s="265"/>
      <c r="AF272" s="264"/>
      <c r="AG272" s="265"/>
      <c r="AH272" s="264"/>
      <c r="AI272" s="265"/>
      <c r="AJ272" s="264"/>
      <c r="AK272" s="265"/>
    </row>
    <row r="273" spans="1:37" ht="24" x14ac:dyDescent="0.15">
      <c r="A273" s="65"/>
      <c r="B273" s="560" t="s">
        <v>49</v>
      </c>
      <c r="C273" s="561"/>
      <c r="D273" s="561"/>
      <c r="E273" s="562"/>
      <c r="F273" s="565" t="s">
        <v>26</v>
      </c>
      <c r="G273" s="566"/>
      <c r="H273" s="66" t="s">
        <v>1167</v>
      </c>
      <c r="I273" s="351" t="s">
        <v>1168</v>
      </c>
      <c r="J273" s="66" t="s">
        <v>50</v>
      </c>
      <c r="K273" s="66" t="s">
        <v>51</v>
      </c>
      <c r="L273" s="67" t="s">
        <v>30</v>
      </c>
      <c r="M273" s="66" t="s">
        <v>52</v>
      </c>
      <c r="N273" s="68" t="s">
        <v>53</v>
      </c>
      <c r="O273" s="68" t="s">
        <v>34</v>
      </c>
      <c r="P273" s="69" t="s">
        <v>35</v>
      </c>
      <c r="Q273" s="42"/>
      <c r="R273" s="67"/>
      <c r="S273" s="67"/>
      <c r="T273" s="461"/>
      <c r="V273" s="270" t="s">
        <v>352</v>
      </c>
      <c r="W273" s="270" t="s">
        <v>353</v>
      </c>
      <c r="X273" s="271" t="s">
        <v>352</v>
      </c>
      <c r="Y273" s="272" t="s">
        <v>353</v>
      </c>
      <c r="Z273" s="271" t="s">
        <v>352</v>
      </c>
      <c r="AA273" s="272" t="s">
        <v>353</v>
      </c>
      <c r="AB273" s="271" t="s">
        <v>352</v>
      </c>
      <c r="AC273" s="272" t="s">
        <v>353</v>
      </c>
      <c r="AD273" s="271" t="s">
        <v>352</v>
      </c>
      <c r="AE273" s="272" t="s">
        <v>353</v>
      </c>
      <c r="AF273" s="271" t="s">
        <v>352</v>
      </c>
      <c r="AG273" s="272" t="s">
        <v>353</v>
      </c>
      <c r="AH273" s="271" t="s">
        <v>352</v>
      </c>
      <c r="AI273" s="272" t="s">
        <v>353</v>
      </c>
      <c r="AJ273" s="271" t="s">
        <v>352</v>
      </c>
      <c r="AK273" s="272" t="s">
        <v>353</v>
      </c>
    </row>
    <row r="274" spans="1:37" x14ac:dyDescent="0.15">
      <c r="A274" s="302">
        <v>1</v>
      </c>
      <c r="B274" s="542" t="s">
        <v>133</v>
      </c>
      <c r="C274" s="543"/>
      <c r="D274" s="543"/>
      <c r="E274" s="544"/>
      <c r="F274" s="545" t="s">
        <v>55</v>
      </c>
      <c r="G274" s="547"/>
      <c r="H274" s="45" t="s">
        <v>1220</v>
      </c>
      <c r="I274" s="207" t="s">
        <v>1221</v>
      </c>
      <c r="J274" s="46">
        <f>IF(G227=55,M234-V274,IF(G227=551,M234-X274,IF(G227=60,M234-Z274,IF(G227=601,M234-AB274,IF(G227=65,M234-AD274,IF(G227=70,M234-AF274,IF(G227=75,M234-AH274,IF(G227=50,M234-AJ274))))))))</f>
        <v>333</v>
      </c>
      <c r="K274" s="70">
        <f>IF(G227=55,M231-W274,IF(G227=551,M231-Y274,IF(G227=60,M231-AA274,IF(G227=601,M231-AC274,IF(G227=65,M231-AE274,IF(G227=70,M231-AG274,IF(G227=75,M231-AI274,IF(G227=50,M231-AK274))))))))</f>
        <v>1148</v>
      </c>
      <c r="L274" s="70">
        <v>1</v>
      </c>
      <c r="M274" s="46">
        <f>J274*K274*L274/1000000</f>
        <v>0.38228400000000001</v>
      </c>
      <c r="N274" s="46"/>
      <c r="O274" s="46">
        <f>N274*M274</f>
        <v>0</v>
      </c>
      <c r="P274" s="71"/>
      <c r="Q274" s="71"/>
      <c r="R274" s="72"/>
      <c r="S274" s="72"/>
      <c r="T274" s="462" t="s">
        <v>1616</v>
      </c>
      <c r="U274" s="374" t="s">
        <v>1619</v>
      </c>
      <c r="V274" s="259">
        <f>83.5*2</f>
        <v>167</v>
      </c>
      <c r="W274" s="259">
        <f>83.5+68.5</f>
        <v>152</v>
      </c>
      <c r="X274" s="286">
        <f>83.5*2</f>
        <v>167</v>
      </c>
      <c r="Y274" s="259">
        <f>83.5+68.5</f>
        <v>152</v>
      </c>
      <c r="Z274" s="286">
        <f>83.5*2</f>
        <v>167</v>
      </c>
      <c r="AA274" s="259">
        <f>83.5+68.5</f>
        <v>152</v>
      </c>
      <c r="AB274" s="286">
        <f>83.5*2</f>
        <v>167</v>
      </c>
      <c r="AC274" s="259">
        <f>83.5+68.5</f>
        <v>152</v>
      </c>
      <c r="AD274" s="286">
        <f>83.5*2</f>
        <v>167</v>
      </c>
      <c r="AE274" s="259">
        <f>83.5+68.5</f>
        <v>152</v>
      </c>
      <c r="AF274" s="286">
        <f>87*2</f>
        <v>174</v>
      </c>
      <c r="AG274" s="304">
        <f>87+72</f>
        <v>159</v>
      </c>
      <c r="AH274" s="286">
        <f>87*2</f>
        <v>174</v>
      </c>
      <c r="AI274" s="304">
        <f>87+72</f>
        <v>159</v>
      </c>
      <c r="AJ274" s="264">
        <f>74*2</f>
        <v>148</v>
      </c>
      <c r="AK274" s="265">
        <f>74+58.7</f>
        <v>132.69999999999999</v>
      </c>
    </row>
    <row r="275" spans="1:37" x14ac:dyDescent="0.15">
      <c r="A275" s="238">
        <v>2</v>
      </c>
      <c r="B275" s="542" t="s">
        <v>134</v>
      </c>
      <c r="C275" s="543"/>
      <c r="D275" s="543"/>
      <c r="E275" s="544"/>
      <c r="F275" s="545" t="s">
        <v>135</v>
      </c>
      <c r="G275" s="547"/>
      <c r="H275" s="207" t="s">
        <v>1222</v>
      </c>
      <c r="I275" s="207" t="s">
        <v>1223</v>
      </c>
      <c r="J275" s="208">
        <f>IF(G227=55,M234-V275,IF(G227=551,M234-X275,IF(G227=60,M234-Z275,IF(G227=601,M234-AB275,IF(G227=65,M234-AD275,IF(G227=70,M234-AF275,IF(G227=75,M234-AH275,IF(G227=50,M234-AJ275))))))))</f>
        <v>377.2</v>
      </c>
      <c r="K275" s="239">
        <f>IF(G227=55,M232-W275,IF(G227=551,M232-Y275,IF(G227=60,M232-AA275,IF(G227=601,M232-AC275,IF(G227=65,M232-AE275,IF(G227=70,M232-AG275,IF(G227=75,M232-AI275,IF(G227=50,M232-AK275))))))))</f>
        <v>290.2</v>
      </c>
      <c r="L275" s="239">
        <v>1</v>
      </c>
      <c r="M275" s="46">
        <f>J275*K275*L275/1000000</f>
        <v>0.10946343999999998</v>
      </c>
      <c r="N275" s="208"/>
      <c r="O275" s="46">
        <f>N275*M275</f>
        <v>0</v>
      </c>
      <c r="P275" s="240"/>
      <c r="Q275" s="71"/>
      <c r="R275" s="209"/>
      <c r="S275" s="209"/>
      <c r="T275" s="462" t="s">
        <v>1618</v>
      </c>
      <c r="U275" s="374" t="s">
        <v>1620</v>
      </c>
      <c r="V275" s="259">
        <f>61.4*2</f>
        <v>122.8</v>
      </c>
      <c r="W275" s="259">
        <f>48.4+61.4</f>
        <v>109.8</v>
      </c>
      <c r="X275" s="286">
        <f>61.4*2</f>
        <v>122.8</v>
      </c>
      <c r="Y275" s="259">
        <f>48.4+61.4</f>
        <v>109.8</v>
      </c>
      <c r="Z275" s="286">
        <f>61.4*2</f>
        <v>122.8</v>
      </c>
      <c r="AA275" s="259">
        <f>48.4+61.4</f>
        <v>109.8</v>
      </c>
      <c r="AB275" s="286">
        <f>61.4*2</f>
        <v>122.8</v>
      </c>
      <c r="AC275" s="259">
        <f>48.4+61.4</f>
        <v>109.8</v>
      </c>
      <c r="AD275" s="286">
        <f>61.4*2</f>
        <v>122.8</v>
      </c>
      <c r="AE275" s="259">
        <f>48.4+61.4</f>
        <v>109.8</v>
      </c>
      <c r="AF275" s="494">
        <f>65.4*2</f>
        <v>130.80000000000001</v>
      </c>
      <c r="AG275" s="495">
        <f>50.4+65.4</f>
        <v>115.80000000000001</v>
      </c>
      <c r="AH275" s="494">
        <f>65.4*2</f>
        <v>130.80000000000001</v>
      </c>
      <c r="AI275" s="495">
        <f>50.4+65.4</f>
        <v>115.80000000000001</v>
      </c>
      <c r="AJ275" s="264">
        <f>55.7*2</f>
        <v>111.4</v>
      </c>
      <c r="AK275" s="265">
        <f>40.4+55.7</f>
        <v>96.1</v>
      </c>
    </row>
    <row r="276" spans="1:37" x14ac:dyDescent="0.15">
      <c r="A276" s="414"/>
      <c r="B276" s="446"/>
      <c r="C276" s="447"/>
      <c r="D276" s="447"/>
      <c r="E276" s="448"/>
      <c r="F276" s="434"/>
      <c r="G276" s="436"/>
      <c r="H276" s="207"/>
      <c r="I276" s="207"/>
      <c r="J276" s="208"/>
      <c r="K276" s="239"/>
      <c r="L276" s="239"/>
      <c r="M276" s="208"/>
      <c r="N276" s="208"/>
      <c r="O276" s="208"/>
      <c r="P276" s="240"/>
      <c r="Q276" s="240"/>
      <c r="R276" s="209"/>
      <c r="S276" s="209"/>
      <c r="T276" s="462"/>
      <c r="X276" s="286"/>
      <c r="Z276" s="286"/>
      <c r="AA276" s="259"/>
      <c r="AB276" s="286"/>
      <c r="AC276" s="259"/>
      <c r="AD276" s="286"/>
      <c r="AE276" s="259"/>
      <c r="AF276" s="286"/>
      <c r="AG276" s="288"/>
      <c r="AH276" s="286"/>
      <c r="AI276" s="288"/>
      <c r="AJ276" s="264"/>
      <c r="AK276" s="265"/>
    </row>
    <row r="277" spans="1:37" x14ac:dyDescent="0.15">
      <c r="A277" s="414"/>
      <c r="B277" s="446"/>
      <c r="C277" s="447"/>
      <c r="D277" s="447"/>
      <c r="E277" s="448"/>
      <c r="F277" s="434"/>
      <c r="G277" s="436"/>
      <c r="H277" s="207"/>
      <c r="I277" s="207"/>
      <c r="J277" s="208"/>
      <c r="K277" s="239"/>
      <c r="L277" s="239"/>
      <c r="M277" s="208"/>
      <c r="N277" s="208"/>
      <c r="O277" s="208"/>
      <c r="P277" s="240"/>
      <c r="Q277" s="240"/>
      <c r="R277" s="209"/>
      <c r="S277" s="209"/>
      <c r="T277" s="462"/>
      <c r="X277" s="286"/>
      <c r="Z277" s="286"/>
      <c r="AA277" s="259"/>
      <c r="AB277" s="286"/>
      <c r="AC277" s="259"/>
      <c r="AD277" s="286"/>
      <c r="AE277" s="259"/>
      <c r="AF277" s="286"/>
      <c r="AG277" s="288"/>
      <c r="AH277" s="286"/>
      <c r="AI277" s="288"/>
      <c r="AJ277" s="264"/>
      <c r="AK277" s="265"/>
    </row>
    <row r="278" spans="1:37" x14ac:dyDescent="0.15">
      <c r="A278" s="302"/>
      <c r="B278" s="542"/>
      <c r="C278" s="543"/>
      <c r="D278" s="543"/>
      <c r="E278" s="544"/>
      <c r="F278" s="545"/>
      <c r="G278" s="547"/>
      <c r="H278" s="45"/>
      <c r="I278" s="207"/>
      <c r="J278" s="45"/>
      <c r="K278" s="45"/>
      <c r="L278" s="70"/>
      <c r="M278" s="46"/>
      <c r="N278" s="46"/>
      <c r="O278" s="46"/>
      <c r="P278" s="71"/>
      <c r="Q278" s="71"/>
      <c r="R278" s="72"/>
      <c r="S278" s="72"/>
      <c r="T278" s="462"/>
      <c r="X278" s="264"/>
      <c r="Y278" s="265"/>
      <c r="Z278" s="264"/>
      <c r="AA278" s="265"/>
      <c r="AB278" s="264"/>
      <c r="AC278" s="265"/>
      <c r="AD278" s="264"/>
      <c r="AE278" s="265"/>
      <c r="AF278" s="264"/>
      <c r="AG278" s="265"/>
      <c r="AH278" s="264"/>
      <c r="AI278" s="265"/>
      <c r="AJ278" s="264"/>
      <c r="AK278" s="265"/>
    </row>
    <row r="279" spans="1:37" x14ac:dyDescent="0.15">
      <c r="A279" s="302"/>
      <c r="B279" s="542"/>
      <c r="C279" s="543"/>
      <c r="D279" s="543"/>
      <c r="E279" s="544"/>
      <c r="F279" s="545"/>
      <c r="G279" s="547"/>
      <c r="H279" s="45"/>
      <c r="I279" s="207"/>
      <c r="J279" s="46"/>
      <c r="K279" s="302"/>
      <c r="L279" s="70"/>
      <c r="M279" s="46"/>
      <c r="N279" s="46"/>
      <c r="O279" s="46"/>
      <c r="P279" s="48"/>
      <c r="Q279" s="48"/>
      <c r="R279" s="73"/>
      <c r="S279" s="73"/>
      <c r="T279" s="463"/>
      <c r="X279" s="264"/>
      <c r="Y279" s="265"/>
      <c r="Z279" s="264"/>
      <c r="AA279" s="265"/>
    </row>
    <row r="280" spans="1:37" x14ac:dyDescent="0.15">
      <c r="A280" s="74"/>
      <c r="B280" s="552"/>
      <c r="C280" s="557"/>
      <c r="D280" s="557"/>
      <c r="E280" s="553"/>
      <c r="F280" s="554" t="s">
        <v>56</v>
      </c>
      <c r="G280" s="554"/>
      <c r="H280" s="554"/>
      <c r="I280" s="579"/>
      <c r="J280" s="570"/>
      <c r="K280" s="570"/>
      <c r="L280" s="554"/>
      <c r="M280" s="62">
        <f>SUM(M274:M279)</f>
        <v>0.49174743999999998</v>
      </c>
      <c r="N280" s="300"/>
      <c r="O280" s="62">
        <f>SUM(O274:O279)</f>
        <v>0</v>
      </c>
      <c r="P280" s="63" t="s">
        <v>57</v>
      </c>
      <c r="Q280" s="337"/>
      <c r="R280" s="64"/>
      <c r="S280" s="64"/>
      <c r="T280" s="460"/>
    </row>
    <row r="281" spans="1:37" ht="24" x14ac:dyDescent="0.15">
      <c r="A281" s="65"/>
      <c r="B281" s="560" t="s">
        <v>58</v>
      </c>
      <c r="C281" s="561"/>
      <c r="D281" s="561"/>
      <c r="E281" s="562"/>
      <c r="F281" s="565" t="s">
        <v>26</v>
      </c>
      <c r="G281" s="566"/>
      <c r="H281" s="66" t="s">
        <v>59</v>
      </c>
      <c r="I281" s="351"/>
      <c r="J281" s="66" t="s">
        <v>60</v>
      </c>
      <c r="K281" s="66" t="s">
        <v>6</v>
      </c>
      <c r="L281" s="67" t="s">
        <v>61</v>
      </c>
      <c r="M281" s="66" t="s">
        <v>30</v>
      </c>
      <c r="N281" s="68" t="s">
        <v>62</v>
      </c>
      <c r="O281" s="68" t="s">
        <v>34</v>
      </c>
      <c r="P281" s="69" t="s">
        <v>57</v>
      </c>
      <c r="Q281" s="42"/>
      <c r="R281" s="67"/>
      <c r="S281" s="67"/>
      <c r="T281" s="461"/>
    </row>
    <row r="282" spans="1:37" ht="25.5" customHeight="1" x14ac:dyDescent="0.15">
      <c r="A282" s="302">
        <v>1</v>
      </c>
      <c r="B282" s="542"/>
      <c r="C282" s="543"/>
      <c r="D282" s="543"/>
      <c r="E282" s="544"/>
      <c r="F282" s="545" t="s">
        <v>872</v>
      </c>
      <c r="G282" s="547"/>
      <c r="H282" s="45"/>
      <c r="I282" s="207"/>
      <c r="J282" s="45"/>
      <c r="K282" s="46" t="str">
        <f>VLOOKUP($F:$F,材料单价表!$B$3:$G$42,4,0)</f>
        <v>套</v>
      </c>
      <c r="L282" s="72"/>
      <c r="M282" s="46">
        <v>1</v>
      </c>
      <c r="N282" s="46">
        <f>VLOOKUP($F:$F,材料单价表!$B$3:$G$42,5,0)</f>
        <v>0</v>
      </c>
      <c r="O282" s="46">
        <f t="shared" ref="O282" si="48">N282*M282</f>
        <v>0</v>
      </c>
      <c r="P282" s="48"/>
      <c r="Q282" s="48"/>
      <c r="R282" s="73"/>
      <c r="S282" s="73"/>
      <c r="T282" s="463"/>
    </row>
    <row r="283" spans="1:37" x14ac:dyDescent="0.15">
      <c r="A283" s="74"/>
      <c r="B283" s="552"/>
      <c r="C283" s="557"/>
      <c r="D283" s="557"/>
      <c r="E283" s="553"/>
      <c r="F283" s="554" t="s">
        <v>64</v>
      </c>
      <c r="G283" s="554"/>
      <c r="H283" s="554"/>
      <c r="I283" s="579"/>
      <c r="J283" s="570"/>
      <c r="K283" s="570"/>
      <c r="L283" s="554"/>
      <c r="M283" s="62">
        <f>M282</f>
        <v>1</v>
      </c>
      <c r="N283" s="300"/>
      <c r="O283" s="62">
        <f>SUM(O282:O282)</f>
        <v>0</v>
      </c>
      <c r="P283" s="63" t="s">
        <v>57</v>
      </c>
      <c r="Q283" s="337"/>
      <c r="R283" s="64"/>
      <c r="S283" s="64"/>
      <c r="T283" s="460"/>
    </row>
    <row r="284" spans="1:37" ht="24" x14ac:dyDescent="0.15">
      <c r="A284" s="65"/>
      <c r="B284" s="560" t="s">
        <v>65</v>
      </c>
      <c r="C284" s="561"/>
      <c r="D284" s="561"/>
      <c r="E284" s="562"/>
      <c r="F284" s="565" t="s">
        <v>26</v>
      </c>
      <c r="G284" s="566"/>
      <c r="H284" s="66" t="s">
        <v>59</v>
      </c>
      <c r="I284" s="351"/>
      <c r="J284" s="66" t="s">
        <v>60</v>
      </c>
      <c r="K284" s="66" t="s">
        <v>6</v>
      </c>
      <c r="L284" s="67" t="s">
        <v>61</v>
      </c>
      <c r="M284" s="66" t="s">
        <v>30</v>
      </c>
      <c r="N284" s="68" t="s">
        <v>62</v>
      </c>
      <c r="O284" s="68" t="s">
        <v>34</v>
      </c>
      <c r="P284" s="69" t="s">
        <v>57</v>
      </c>
      <c r="Q284" s="42"/>
      <c r="R284" s="67"/>
      <c r="S284" s="67"/>
      <c r="T284" s="461"/>
    </row>
    <row r="285" spans="1:37" ht="13.5" customHeight="1" x14ac:dyDescent="0.15">
      <c r="A285" s="76">
        <v>1</v>
      </c>
      <c r="B285" s="542"/>
      <c r="C285" s="543"/>
      <c r="D285" s="543"/>
      <c r="E285" s="544"/>
      <c r="F285" s="558" t="s">
        <v>66</v>
      </c>
      <c r="G285" s="559"/>
      <c r="H285" s="78"/>
      <c r="I285" s="352"/>
      <c r="J285" s="77"/>
      <c r="K285" s="46" t="str">
        <f>VLOOKUP($F:$F,材料单价表!$B$3:$G$42,4,0)</f>
        <v>m</v>
      </c>
      <c r="L285" s="46"/>
      <c r="M285" s="80">
        <f>M240</f>
        <v>4.8</v>
      </c>
      <c r="N285" s="46">
        <f>VLOOKUP($F:$F,材料单价表!$B$3:$G$42,5,0)</f>
        <v>0</v>
      </c>
      <c r="O285" s="46">
        <f>N285*M285</f>
        <v>0</v>
      </c>
      <c r="P285" s="48"/>
      <c r="Q285" s="59"/>
      <c r="R285" s="81"/>
      <c r="S285" s="79"/>
      <c r="T285" s="464"/>
    </row>
    <row r="286" spans="1:37" ht="15.75" customHeight="1" x14ac:dyDescent="0.15">
      <c r="A286" s="76">
        <v>2</v>
      </c>
      <c r="B286" s="542"/>
      <c r="C286" s="543"/>
      <c r="D286" s="543"/>
      <c r="E286" s="544"/>
      <c r="F286" s="558" t="s">
        <v>68</v>
      </c>
      <c r="G286" s="559"/>
      <c r="H286" s="78" t="s">
        <v>67</v>
      </c>
      <c r="I286" s="352"/>
      <c r="J286" s="77"/>
      <c r="K286" s="46" t="str">
        <f>VLOOKUP($F:$F,材料单价表!$B$3:$G$42,4,0)</f>
        <v>m</v>
      </c>
      <c r="L286" s="46"/>
      <c r="M286" s="80">
        <f>(J252*K252+J253*K253+J254*K254+J255*K255)/1000*2</f>
        <v>8.9535999999999998</v>
      </c>
      <c r="N286" s="46">
        <f>VLOOKUP($F:$F,材料单价表!$B$3:$G$42,5,0)</f>
        <v>0</v>
      </c>
      <c r="O286" s="46">
        <f t="shared" ref="O286:O291" si="49">N286*M286</f>
        <v>0</v>
      </c>
      <c r="P286" s="48"/>
      <c r="Q286" s="59"/>
      <c r="R286" s="81"/>
      <c r="S286" s="79"/>
      <c r="T286" s="464"/>
      <c r="V286" s="104"/>
      <c r="W286" s="104"/>
    </row>
    <row r="287" spans="1:37" ht="13.5" customHeight="1" x14ac:dyDescent="0.15">
      <c r="A287" s="76">
        <v>3</v>
      </c>
      <c r="B287" s="542"/>
      <c r="C287" s="543"/>
      <c r="D287" s="543"/>
      <c r="E287" s="544"/>
      <c r="F287" s="558" t="s">
        <v>68</v>
      </c>
      <c r="G287" s="559"/>
      <c r="H287" s="78" t="s">
        <v>69</v>
      </c>
      <c r="I287" s="352"/>
      <c r="J287" s="77"/>
      <c r="K287" s="46" t="str">
        <f>VLOOKUP($F:$F,材料单价表!$B$3:$G$42,4,0)</f>
        <v>m</v>
      </c>
      <c r="L287" s="46"/>
      <c r="M287" s="80">
        <f>M240</f>
        <v>4.8</v>
      </c>
      <c r="N287" s="46">
        <f>VLOOKUP($F:$F,材料单价表!$B$3:$G$42,5,0)</f>
        <v>0</v>
      </c>
      <c r="O287" s="46">
        <f t="shared" si="49"/>
        <v>0</v>
      </c>
      <c r="P287" s="48"/>
      <c r="Q287" s="59"/>
      <c r="R287" s="81"/>
      <c r="S287" s="79"/>
      <c r="T287" s="464"/>
      <c r="V287" s="104"/>
      <c r="W287" s="104"/>
    </row>
    <row r="288" spans="1:37" ht="13.5" customHeight="1" x14ac:dyDescent="0.15">
      <c r="A288" s="76">
        <v>4</v>
      </c>
      <c r="B288" s="542"/>
      <c r="C288" s="543"/>
      <c r="D288" s="543"/>
      <c r="E288" s="544"/>
      <c r="F288" s="558" t="s">
        <v>68</v>
      </c>
      <c r="G288" s="559"/>
      <c r="H288" s="78" t="s">
        <v>70</v>
      </c>
      <c r="I288" s="352"/>
      <c r="J288" s="77"/>
      <c r="K288" s="46" t="str">
        <f>VLOOKUP($F:$F,材料单价表!$B$3:$G$42,4,0)</f>
        <v>m</v>
      </c>
      <c r="L288" s="46"/>
      <c r="M288" s="80">
        <f>M240</f>
        <v>4.8</v>
      </c>
      <c r="N288" s="46">
        <f>VLOOKUP($F:$F,材料单价表!$B$3:$G$42,5,0)</f>
        <v>0</v>
      </c>
      <c r="O288" s="46">
        <f t="shared" si="49"/>
        <v>0</v>
      </c>
      <c r="P288" s="48"/>
      <c r="Q288" s="59"/>
      <c r="R288" s="81"/>
      <c r="S288" s="79"/>
      <c r="T288" s="464"/>
      <c r="V288" s="104"/>
      <c r="W288" s="104"/>
    </row>
    <row r="289" spans="1:20" ht="13.5" customHeight="1" x14ac:dyDescent="0.15">
      <c r="A289" s="76">
        <v>5</v>
      </c>
      <c r="B289" s="542"/>
      <c r="C289" s="543"/>
      <c r="D289" s="543"/>
      <c r="E289" s="544"/>
      <c r="F289" s="558" t="s">
        <v>71</v>
      </c>
      <c r="G289" s="559"/>
      <c r="H289" s="78"/>
      <c r="I289" s="352"/>
      <c r="J289" s="77"/>
      <c r="K289" s="46" t="str">
        <f>VLOOKUP($F:$F,材料单价表!$B$3:$G$42,4,0)</f>
        <v>个</v>
      </c>
      <c r="L289" s="79"/>
      <c r="M289" s="80">
        <f>SUM(K256:K258)</f>
        <v>10</v>
      </c>
      <c r="N289" s="46">
        <f>VLOOKUP($F:$F,材料单价表!$B$3:$G$42,5,0)</f>
        <v>0</v>
      </c>
      <c r="O289" s="46">
        <f t="shared" si="49"/>
        <v>0</v>
      </c>
      <c r="P289" s="48"/>
      <c r="Q289" s="59"/>
      <c r="R289" s="81"/>
      <c r="S289" s="79"/>
      <c r="T289" s="464"/>
    </row>
    <row r="290" spans="1:20" ht="13.5" customHeight="1" x14ac:dyDescent="0.15">
      <c r="A290" s="76">
        <v>6</v>
      </c>
      <c r="B290" s="542"/>
      <c r="C290" s="543"/>
      <c r="D290" s="543"/>
      <c r="E290" s="544"/>
      <c r="F290" s="558" t="s">
        <v>833</v>
      </c>
      <c r="G290" s="559"/>
      <c r="H290" s="78"/>
      <c r="I290" s="352"/>
      <c r="J290" s="77"/>
      <c r="K290" s="46" t="str">
        <f>VLOOKUP($F:$F,材料单价表!$B$3:$G$42,4,0)</f>
        <v>m</v>
      </c>
      <c r="L290" s="79"/>
      <c r="M290" s="80">
        <f>(J246*K246+J247*K247)/1000*2</f>
        <v>6.9320000000000004</v>
      </c>
      <c r="N290" s="46">
        <f>VLOOKUP($F:$F,材料单价表!$B$3:$G$42,5,0)</f>
        <v>0</v>
      </c>
      <c r="O290" s="46">
        <f t="shared" si="49"/>
        <v>0</v>
      </c>
      <c r="P290" s="48"/>
      <c r="Q290" s="59"/>
      <c r="R290" s="81"/>
      <c r="S290" s="46"/>
      <c r="T290" s="465"/>
    </row>
    <row r="291" spans="1:20" x14ac:dyDescent="0.15">
      <c r="A291" s="76">
        <v>7</v>
      </c>
      <c r="B291" s="542"/>
      <c r="C291" s="543"/>
      <c r="D291" s="543"/>
      <c r="E291" s="544"/>
      <c r="F291" s="558" t="s">
        <v>72</v>
      </c>
      <c r="G291" s="559"/>
      <c r="H291" s="45"/>
      <c r="I291" s="207"/>
      <c r="J291" s="45"/>
      <c r="K291" s="46" t="str">
        <f>VLOOKUP($F:$F,材料单价表!$B$3:$G$42,4,0)</f>
        <v>m2</v>
      </c>
      <c r="L291" s="72"/>
      <c r="M291" s="46">
        <f>M297</f>
        <v>1.08</v>
      </c>
      <c r="N291" s="46">
        <f>VLOOKUP($F:$F,材料单价表!$B$3:$G$42,5,0)</f>
        <v>0</v>
      </c>
      <c r="O291" s="46">
        <f t="shared" si="49"/>
        <v>0</v>
      </c>
      <c r="P291" s="48"/>
      <c r="Q291" s="48"/>
      <c r="R291" s="73"/>
      <c r="S291" s="73"/>
      <c r="T291" s="463"/>
    </row>
    <row r="292" spans="1:20" x14ac:dyDescent="0.15">
      <c r="A292" s="76">
        <v>8</v>
      </c>
      <c r="B292" s="542"/>
      <c r="C292" s="543"/>
      <c r="D292" s="543"/>
      <c r="E292" s="544"/>
      <c r="F292" s="297"/>
      <c r="G292" s="298"/>
      <c r="H292" s="207"/>
      <c r="I292" s="207"/>
      <c r="J292" s="207"/>
      <c r="K292" s="208"/>
      <c r="L292" s="209"/>
      <c r="M292" s="208"/>
      <c r="N292" s="208"/>
      <c r="O292" s="208"/>
      <c r="P292" s="211"/>
      <c r="Q292" s="48"/>
      <c r="R292" s="212"/>
      <c r="S292" s="212"/>
      <c r="T292" s="463"/>
    </row>
    <row r="293" spans="1:20" x14ac:dyDescent="0.15">
      <c r="A293" s="76">
        <v>9</v>
      </c>
      <c r="B293" s="542"/>
      <c r="C293" s="543"/>
      <c r="D293" s="543"/>
      <c r="E293" s="544"/>
      <c r="F293" s="558"/>
      <c r="G293" s="559"/>
      <c r="H293" s="45"/>
      <c r="I293" s="207"/>
      <c r="J293" s="45"/>
      <c r="K293" s="45"/>
      <c r="L293" s="72"/>
      <c r="M293" s="46"/>
      <c r="N293" s="46"/>
      <c r="O293" s="82"/>
      <c r="P293" s="48"/>
      <c r="Q293" s="48"/>
      <c r="R293" s="73"/>
      <c r="S293" s="73"/>
      <c r="T293" s="463"/>
    </row>
    <row r="294" spans="1:20" x14ac:dyDescent="0.15">
      <c r="A294" s="74"/>
      <c r="B294" s="552"/>
      <c r="C294" s="557"/>
      <c r="D294" s="557"/>
      <c r="E294" s="553"/>
      <c r="F294" s="552" t="s">
        <v>73</v>
      </c>
      <c r="G294" s="557"/>
      <c r="H294" s="557"/>
      <c r="I294" s="557"/>
      <c r="J294" s="557"/>
      <c r="K294" s="557"/>
      <c r="L294" s="557"/>
      <c r="M294" s="61"/>
      <c r="N294" s="61"/>
      <c r="O294" s="62">
        <f>SUM(O285:O293)</f>
        <v>0</v>
      </c>
      <c r="P294" s="63" t="s">
        <v>57</v>
      </c>
      <c r="Q294" s="337"/>
      <c r="R294" s="64"/>
      <c r="S294" s="64"/>
      <c r="T294" s="460"/>
    </row>
    <row r="295" spans="1:20" x14ac:dyDescent="0.15">
      <c r="A295" s="74"/>
      <c r="B295" s="552"/>
      <c r="C295" s="557"/>
      <c r="D295" s="557"/>
      <c r="E295" s="553"/>
      <c r="F295" s="552" t="s">
        <v>74</v>
      </c>
      <c r="G295" s="557"/>
      <c r="H295" s="557"/>
      <c r="I295" s="557"/>
      <c r="J295" s="557"/>
      <c r="K295" s="557"/>
      <c r="L295" s="557"/>
      <c r="M295" s="557"/>
      <c r="N295" s="553"/>
      <c r="O295" s="62">
        <f>O294+O283+O280+O272</f>
        <v>0</v>
      </c>
      <c r="P295" s="63" t="s">
        <v>57</v>
      </c>
      <c r="Q295" s="337"/>
      <c r="R295" s="64"/>
      <c r="S295" s="64"/>
      <c r="T295" s="460"/>
    </row>
    <row r="296" spans="1:20" ht="24" x14ac:dyDescent="0.15">
      <c r="A296" s="65"/>
      <c r="B296" s="560" t="s">
        <v>75</v>
      </c>
      <c r="C296" s="561"/>
      <c r="D296" s="561"/>
      <c r="E296" s="562"/>
      <c r="F296" s="565" t="s">
        <v>26</v>
      </c>
      <c r="G296" s="566"/>
      <c r="H296" s="66"/>
      <c r="I296" s="351"/>
      <c r="J296" s="66"/>
      <c r="K296" s="66" t="s">
        <v>6</v>
      </c>
      <c r="L296" s="83" t="s">
        <v>61</v>
      </c>
      <c r="M296" s="66" t="s">
        <v>76</v>
      </c>
      <c r="N296" s="68" t="s">
        <v>62</v>
      </c>
      <c r="O296" s="68" t="s">
        <v>34</v>
      </c>
      <c r="P296" s="84" t="s">
        <v>57</v>
      </c>
      <c r="Q296" s="84"/>
      <c r="R296" s="67"/>
      <c r="S296" s="67"/>
      <c r="T296" s="461"/>
    </row>
    <row r="297" spans="1:20" x14ac:dyDescent="0.15">
      <c r="A297" s="302">
        <v>1</v>
      </c>
      <c r="B297" s="542"/>
      <c r="C297" s="543"/>
      <c r="D297" s="543"/>
      <c r="E297" s="544"/>
      <c r="F297" s="545" t="s">
        <v>77</v>
      </c>
      <c r="G297" s="547"/>
      <c r="H297" s="45"/>
      <c r="I297" s="207"/>
      <c r="J297" s="46"/>
      <c r="K297" s="45" t="s">
        <v>78</v>
      </c>
      <c r="L297" s="72"/>
      <c r="M297" s="85">
        <f>O227</f>
        <v>1.08</v>
      </c>
      <c r="N297" s="46">
        <f>VLOOKUP($F:$F,材料单价表!$B$3:$G$42,5,0)</f>
        <v>0</v>
      </c>
      <c r="O297" s="46">
        <f>N297*M297</f>
        <v>0</v>
      </c>
      <c r="P297" s="48"/>
      <c r="Q297" s="48"/>
      <c r="R297" s="72"/>
      <c r="S297" s="72"/>
      <c r="T297" s="462"/>
    </row>
    <row r="298" spans="1:20" x14ac:dyDescent="0.15">
      <c r="A298" s="302">
        <v>2</v>
      </c>
      <c r="B298" s="542"/>
      <c r="C298" s="543"/>
      <c r="D298" s="543"/>
      <c r="E298" s="544"/>
      <c r="F298" s="545" t="s">
        <v>79</v>
      </c>
      <c r="G298" s="547"/>
      <c r="H298" s="45"/>
      <c r="I298" s="207"/>
      <c r="J298" s="46"/>
      <c r="K298" s="45" t="s">
        <v>78</v>
      </c>
      <c r="L298" s="72"/>
      <c r="M298" s="85">
        <f>M297</f>
        <v>1.08</v>
      </c>
      <c r="N298" s="46">
        <f>VLOOKUP($F:$F,材料单价表!$B$3:$G$42,5,0)</f>
        <v>0</v>
      </c>
      <c r="O298" s="46">
        <f>N298*M298</f>
        <v>0</v>
      </c>
      <c r="P298" s="48"/>
      <c r="Q298" s="48"/>
      <c r="R298" s="72"/>
      <c r="S298" s="72"/>
      <c r="T298" s="462"/>
    </row>
    <row r="299" spans="1:20" ht="24.75" customHeight="1" x14ac:dyDescent="0.15">
      <c r="A299" s="74"/>
      <c r="B299" s="552"/>
      <c r="C299" s="557"/>
      <c r="D299" s="557"/>
      <c r="E299" s="553"/>
      <c r="F299" s="552" t="s">
        <v>80</v>
      </c>
      <c r="G299" s="553"/>
      <c r="H299" s="299"/>
      <c r="I299" s="348"/>
      <c r="J299" s="554" t="s">
        <v>81</v>
      </c>
      <c r="K299" s="554"/>
      <c r="L299" s="554"/>
      <c r="M299" s="554"/>
      <c r="N299" s="87"/>
      <c r="O299" s="62">
        <f>O295+O297+O298</f>
        <v>0</v>
      </c>
      <c r="P299" s="63" t="s">
        <v>57</v>
      </c>
      <c r="Q299" s="337"/>
      <c r="R299" s="64"/>
      <c r="S299" s="64"/>
      <c r="T299" s="460"/>
    </row>
    <row r="300" spans="1:20" ht="24" customHeight="1" x14ac:dyDescent="0.15">
      <c r="A300" s="74"/>
      <c r="B300" s="552"/>
      <c r="C300" s="557"/>
      <c r="D300" s="557"/>
      <c r="E300" s="553"/>
      <c r="F300" s="555" t="s">
        <v>82</v>
      </c>
      <c r="G300" s="556"/>
      <c r="H300" s="301"/>
      <c r="I300" s="349"/>
      <c r="J300" s="552" t="s">
        <v>81</v>
      </c>
      <c r="K300" s="557"/>
      <c r="L300" s="557"/>
      <c r="M300" s="557"/>
      <c r="N300" s="62"/>
      <c r="O300" s="62">
        <f>O299/O227</f>
        <v>0</v>
      </c>
      <c r="P300" s="89" t="s">
        <v>57</v>
      </c>
      <c r="Q300" s="89"/>
      <c r="R300" s="90"/>
      <c r="S300" s="90"/>
      <c r="T300" s="466"/>
    </row>
    <row r="301" spans="1:20" ht="18.75" customHeight="1" x14ac:dyDescent="0.15">
      <c r="A301" s="549" t="s">
        <v>0</v>
      </c>
      <c r="B301" s="549"/>
      <c r="C301" s="549"/>
      <c r="D301" s="549"/>
      <c r="E301" s="549"/>
      <c r="F301" s="549"/>
      <c r="G301" s="549"/>
      <c r="H301" s="549"/>
      <c r="I301" s="549"/>
      <c r="J301" s="549"/>
      <c r="K301" s="549"/>
      <c r="L301" s="550"/>
      <c r="M301" s="549"/>
      <c r="N301" s="549"/>
      <c r="O301" s="549"/>
      <c r="P301" s="549"/>
      <c r="Q301" s="549"/>
      <c r="R301" s="551"/>
      <c r="S301" s="551"/>
      <c r="T301" s="415"/>
    </row>
    <row r="302" spans="1:20" ht="15" customHeight="1" x14ac:dyDescent="0.15">
      <c r="A302" s="2" t="s">
        <v>1</v>
      </c>
      <c r="B302" s="3" t="str">
        <f>$B$152</f>
        <v>WC</v>
      </c>
      <c r="C302" s="3">
        <v>5</v>
      </c>
      <c r="D302" s="3"/>
      <c r="E302" s="3"/>
      <c r="F302" s="4" t="s">
        <v>2</v>
      </c>
      <c r="G302" s="5">
        <v>55</v>
      </c>
      <c r="H302" s="106" t="s">
        <v>86</v>
      </c>
      <c r="I302" s="106"/>
      <c r="J302" s="4" t="s">
        <v>3</v>
      </c>
      <c r="K302" s="6">
        <f>L305</f>
        <v>1600</v>
      </c>
      <c r="L302" s="7" t="s">
        <v>83</v>
      </c>
      <c r="M302" s="6">
        <f>L304</f>
        <v>1400</v>
      </c>
      <c r="N302" s="8" t="s">
        <v>4</v>
      </c>
      <c r="O302" s="9">
        <f>M314</f>
        <v>2.2400000000000002</v>
      </c>
      <c r="P302" s="10"/>
      <c r="Q302" s="10"/>
      <c r="R302" s="10" t="s">
        <v>5</v>
      </c>
      <c r="S302" s="11"/>
      <c r="T302" s="457"/>
    </row>
    <row r="303" spans="1:20" ht="15" customHeight="1" x14ac:dyDescent="0.2">
      <c r="A303" s="12"/>
      <c r="B303" s="13"/>
      <c r="C303" s="13"/>
      <c r="D303" s="13"/>
      <c r="E303" s="13"/>
      <c r="F303" s="14"/>
      <c r="G303" s="14"/>
      <c r="H303" s="15"/>
      <c r="I303" s="15"/>
      <c r="J303" s="16"/>
      <c r="K303" s="16" t="s">
        <v>6</v>
      </c>
      <c r="L303" s="17" t="s">
        <v>7</v>
      </c>
      <c r="M303" s="16" t="s">
        <v>8</v>
      </c>
      <c r="N303" s="18"/>
      <c r="O303" s="548" t="s">
        <v>940</v>
      </c>
      <c r="P303" s="548"/>
      <c r="Q303" s="16" t="s">
        <v>1018</v>
      </c>
      <c r="R303" s="529" t="s">
        <v>1187</v>
      </c>
      <c r="S303" s="530" t="s">
        <v>1592</v>
      </c>
      <c r="T303" s="468"/>
    </row>
    <row r="304" spans="1:20" ht="15" customHeight="1" x14ac:dyDescent="0.2">
      <c r="A304" s="398" t="s">
        <v>918</v>
      </c>
      <c r="B304" s="406" t="s">
        <v>981</v>
      </c>
      <c r="C304" s="362"/>
      <c r="D304" s="362"/>
      <c r="E304" s="362"/>
      <c r="F304" s="23"/>
      <c r="G304" s="23"/>
      <c r="H304" s="107"/>
      <c r="I304" s="107"/>
      <c r="J304" s="24" t="s">
        <v>9</v>
      </c>
      <c r="K304" s="16" t="s">
        <v>10</v>
      </c>
      <c r="L304" s="25">
        <v>1400</v>
      </c>
      <c r="M304" s="113">
        <f>L304-M313*2</f>
        <v>1300</v>
      </c>
      <c r="N304" s="18"/>
      <c r="O304" s="356" t="s">
        <v>941</v>
      </c>
      <c r="P304" s="357"/>
      <c r="Q304" s="16" t="s">
        <v>1019</v>
      </c>
      <c r="R304" s="529"/>
      <c r="S304" s="530"/>
      <c r="T304" s="468"/>
    </row>
    <row r="305" spans="1:37" ht="15" customHeight="1" x14ac:dyDescent="0.2">
      <c r="A305" s="21"/>
      <c r="B305" s="22"/>
      <c r="C305" s="22"/>
      <c r="D305" s="22"/>
      <c r="E305" s="22"/>
      <c r="F305" s="23"/>
      <c r="G305" s="23"/>
      <c r="H305" s="18"/>
      <c r="I305" s="18"/>
      <c r="J305" s="24" t="s">
        <v>11</v>
      </c>
      <c r="K305" s="16" t="s">
        <v>10</v>
      </c>
      <c r="L305" s="25">
        <v>1600</v>
      </c>
      <c r="M305" s="113">
        <f>L305-M313*2</f>
        <v>1500</v>
      </c>
      <c r="N305" s="18"/>
      <c r="O305" s="356" t="s">
        <v>924</v>
      </c>
      <c r="P305" s="357"/>
      <c r="Q305" s="16" t="s">
        <v>1020</v>
      </c>
      <c r="R305" s="529" t="s">
        <v>1188</v>
      </c>
      <c r="S305" s="530" t="s">
        <v>1086</v>
      </c>
      <c r="T305" s="468"/>
    </row>
    <row r="306" spans="1:37" ht="15" customHeight="1" x14ac:dyDescent="0.2">
      <c r="A306" s="21"/>
      <c r="B306" s="22"/>
      <c r="C306" s="22"/>
      <c r="D306" s="22"/>
      <c r="E306" s="22"/>
      <c r="F306" s="23"/>
      <c r="G306" s="23"/>
      <c r="H306" s="18"/>
      <c r="I306" s="18"/>
      <c r="J306" s="24" t="s">
        <v>12</v>
      </c>
      <c r="K306" s="16" t="s">
        <v>10</v>
      </c>
      <c r="L306" s="26"/>
      <c r="M306" s="113">
        <f>M304</f>
        <v>1300</v>
      </c>
      <c r="N306" s="18"/>
      <c r="O306" s="356" t="s">
        <v>925</v>
      </c>
      <c r="P306" s="357"/>
      <c r="Q306" s="16" t="s">
        <v>1021</v>
      </c>
      <c r="R306" s="529"/>
      <c r="S306" s="530"/>
      <c r="T306" s="468"/>
    </row>
    <row r="307" spans="1:37" ht="15" customHeight="1" x14ac:dyDescent="0.2">
      <c r="A307" s="21"/>
      <c r="B307" s="22"/>
      <c r="C307" s="22"/>
      <c r="D307" s="22"/>
      <c r="E307" s="22"/>
      <c r="F307" s="23"/>
      <c r="G307" s="23"/>
      <c r="H307" s="18"/>
      <c r="I307" s="18"/>
      <c r="J307" s="24" t="s">
        <v>13</v>
      </c>
      <c r="K307" s="16" t="s">
        <v>10</v>
      </c>
      <c r="L307" s="26"/>
      <c r="M307" s="113"/>
      <c r="N307" s="18"/>
      <c r="O307" s="356" t="s">
        <v>926</v>
      </c>
      <c r="P307" s="357"/>
      <c r="Q307" s="16" t="s">
        <v>1022</v>
      </c>
      <c r="R307" s="27"/>
      <c r="S307" s="28"/>
      <c r="T307" s="27"/>
    </row>
    <row r="308" spans="1:37" ht="15" customHeight="1" x14ac:dyDescent="0.2">
      <c r="A308" s="21"/>
      <c r="B308" s="22"/>
      <c r="C308" s="22"/>
      <c r="D308" s="22"/>
      <c r="E308" s="22"/>
      <c r="F308" s="23"/>
      <c r="G308" s="23"/>
      <c r="H308" s="18"/>
      <c r="I308" s="18"/>
      <c r="J308" s="24" t="s">
        <v>14</v>
      </c>
      <c r="K308" s="16" t="s">
        <v>10</v>
      </c>
      <c r="L308" s="26"/>
      <c r="M308" s="113"/>
      <c r="N308" s="18"/>
      <c r="O308" s="356" t="s">
        <v>927</v>
      </c>
      <c r="P308" s="357"/>
      <c r="Q308" s="16" t="s">
        <v>1023</v>
      </c>
      <c r="R308" s="27"/>
      <c r="S308" s="28"/>
      <c r="T308" s="27"/>
    </row>
    <row r="309" spans="1:37" ht="15" customHeight="1" x14ac:dyDescent="0.2">
      <c r="A309" s="21"/>
      <c r="B309" s="22"/>
      <c r="C309" s="22"/>
      <c r="D309" s="22"/>
      <c r="E309" s="22"/>
      <c r="F309" s="23"/>
      <c r="G309" s="23"/>
      <c r="H309" s="18"/>
      <c r="I309" s="18"/>
      <c r="J309" s="24" t="s">
        <v>15</v>
      </c>
      <c r="K309" s="16" t="s">
        <v>10</v>
      </c>
      <c r="L309" s="26"/>
      <c r="M309" s="25">
        <v>700</v>
      </c>
      <c r="N309" s="540" t="s">
        <v>865</v>
      </c>
      <c r="O309" s="356" t="s">
        <v>928</v>
      </c>
      <c r="P309" s="357"/>
      <c r="Q309" s="16" t="s">
        <v>1005</v>
      </c>
      <c r="R309" s="27"/>
      <c r="S309" s="28"/>
      <c r="T309" s="27"/>
    </row>
    <row r="310" spans="1:37" ht="15" customHeight="1" x14ac:dyDescent="0.2">
      <c r="A310" s="21"/>
      <c r="B310" s="22"/>
      <c r="C310" s="22"/>
      <c r="D310" s="22"/>
      <c r="E310" s="22"/>
      <c r="F310" s="23"/>
      <c r="G310" s="23"/>
      <c r="H310" s="18"/>
      <c r="I310" s="18"/>
      <c r="J310" s="24" t="s">
        <v>16</v>
      </c>
      <c r="K310" s="16" t="s">
        <v>10</v>
      </c>
      <c r="L310" s="26"/>
      <c r="M310" s="113">
        <f>M305-M309</f>
        <v>800</v>
      </c>
      <c r="N310" s="540"/>
      <c r="O310" s="356" t="s">
        <v>929</v>
      </c>
      <c r="P310" s="357"/>
      <c r="Q310" s="16" t="s">
        <v>1024</v>
      </c>
      <c r="R310" s="27"/>
      <c r="S310" s="28"/>
      <c r="T310" s="27"/>
    </row>
    <row r="311" spans="1:37" ht="15" customHeight="1" x14ac:dyDescent="0.2">
      <c r="A311" s="21"/>
      <c r="B311" s="22"/>
      <c r="C311" s="22"/>
      <c r="D311" s="22"/>
      <c r="E311" s="22"/>
      <c r="F311" s="23"/>
      <c r="G311" s="23"/>
      <c r="H311" s="18"/>
      <c r="I311" s="18"/>
      <c r="J311" s="24" t="s">
        <v>17</v>
      </c>
      <c r="K311" s="16" t="s">
        <v>10</v>
      </c>
      <c r="L311" s="26"/>
      <c r="M311" s="113"/>
      <c r="N311" s="540"/>
      <c r="O311" s="356" t="s">
        <v>930</v>
      </c>
      <c r="P311" s="357"/>
      <c r="Q311" s="16" t="s">
        <v>931</v>
      </c>
      <c r="R311" s="27"/>
      <c r="S311" s="28"/>
      <c r="T311" s="27"/>
    </row>
    <row r="312" spans="1:37" ht="15" customHeight="1" x14ac:dyDescent="0.2">
      <c r="A312" s="21"/>
      <c r="B312" s="22"/>
      <c r="C312" s="22"/>
      <c r="D312" s="22"/>
      <c r="E312" s="22"/>
      <c r="F312" s="23"/>
      <c r="G312" s="23"/>
      <c r="H312" s="18"/>
      <c r="I312" s="18"/>
      <c r="J312" s="24" t="s">
        <v>18</v>
      </c>
      <c r="K312" s="16" t="s">
        <v>10</v>
      </c>
      <c r="L312" s="26"/>
      <c r="M312" s="113"/>
      <c r="N312" s="540"/>
      <c r="O312" s="356" t="s">
        <v>932</v>
      </c>
      <c r="P312" s="357"/>
      <c r="Q312" s="16" t="s">
        <v>933</v>
      </c>
      <c r="R312" s="27"/>
      <c r="S312" s="28"/>
      <c r="T312" s="27"/>
    </row>
    <row r="313" spans="1:37" ht="15" customHeight="1" x14ac:dyDescent="0.2">
      <c r="A313" s="21"/>
      <c r="B313" s="22"/>
      <c r="C313" s="22"/>
      <c r="D313" s="22"/>
      <c r="E313" s="22"/>
      <c r="F313" s="23"/>
      <c r="G313" s="23"/>
      <c r="H313" s="18"/>
      <c r="I313" s="18"/>
      <c r="J313" s="24" t="s">
        <v>19</v>
      </c>
      <c r="K313" s="16" t="s">
        <v>10</v>
      </c>
      <c r="L313" s="26"/>
      <c r="M313" s="25">
        <v>50</v>
      </c>
      <c r="N313" s="540"/>
      <c r="O313" s="356" t="s">
        <v>934</v>
      </c>
      <c r="P313" s="357"/>
      <c r="Q313" s="16" t="s">
        <v>935</v>
      </c>
      <c r="R313" s="27"/>
      <c r="S313" s="28"/>
      <c r="T313" s="27"/>
    </row>
    <row r="314" spans="1:37" ht="15" customHeight="1" x14ac:dyDescent="0.2">
      <c r="A314" s="21"/>
      <c r="B314" s="22"/>
      <c r="C314" s="22"/>
      <c r="D314" s="22"/>
      <c r="E314" s="22"/>
      <c r="F314" s="23"/>
      <c r="G314" s="23"/>
      <c r="H314" s="18"/>
      <c r="I314" s="18"/>
      <c r="J314" s="29" t="s">
        <v>20</v>
      </c>
      <c r="K314" s="16" t="s">
        <v>21</v>
      </c>
      <c r="L314" s="30"/>
      <c r="M314" s="31">
        <f>L304*L305/1000000</f>
        <v>2.2400000000000002</v>
      </c>
      <c r="N314" s="540"/>
      <c r="O314" s="356" t="s">
        <v>936</v>
      </c>
      <c r="P314" s="357"/>
      <c r="Q314" s="16" t="s">
        <v>937</v>
      </c>
      <c r="R314" s="27"/>
      <c r="S314" s="28"/>
      <c r="T314" s="27"/>
    </row>
    <row r="315" spans="1:37" ht="15" customHeight="1" x14ac:dyDescent="0.2">
      <c r="A315" s="32"/>
      <c r="B315" s="33"/>
      <c r="C315" s="33"/>
      <c r="D315" s="33"/>
      <c r="E315" s="33"/>
      <c r="F315" s="34"/>
      <c r="G315" s="34"/>
      <c r="H315" s="35"/>
      <c r="I315" s="35"/>
      <c r="J315" s="29" t="s">
        <v>22</v>
      </c>
      <c r="K315" s="16" t="s">
        <v>23</v>
      </c>
      <c r="L315" s="30"/>
      <c r="M315" s="36">
        <f>(L305+L304)*2/1000</f>
        <v>6</v>
      </c>
      <c r="N315" s="541"/>
      <c r="O315" s="356" t="s">
        <v>938</v>
      </c>
      <c r="P315" s="357"/>
      <c r="Q315" s="16" t="s">
        <v>939</v>
      </c>
      <c r="R315" s="37"/>
      <c r="S315" s="38"/>
      <c r="T315" s="27"/>
    </row>
    <row r="316" spans="1:37" ht="48.75" customHeight="1" x14ac:dyDescent="0.15">
      <c r="A316" s="39" t="s">
        <v>24</v>
      </c>
      <c r="B316" s="560" t="s">
        <v>25</v>
      </c>
      <c r="C316" s="561"/>
      <c r="D316" s="561"/>
      <c r="E316" s="562"/>
      <c r="F316" s="40" t="s">
        <v>26</v>
      </c>
      <c r="G316" s="40" t="s">
        <v>27</v>
      </c>
      <c r="H316" s="40" t="s">
        <v>28</v>
      </c>
      <c r="I316" s="40" t="s">
        <v>1166</v>
      </c>
      <c r="J316" s="40" t="s">
        <v>29</v>
      </c>
      <c r="K316" s="40" t="s">
        <v>30</v>
      </c>
      <c r="L316" s="41" t="s">
        <v>31</v>
      </c>
      <c r="M316" s="40" t="s">
        <v>32</v>
      </c>
      <c r="N316" s="40" t="s">
        <v>33</v>
      </c>
      <c r="O316" s="40" t="s">
        <v>34</v>
      </c>
      <c r="P316" s="42" t="s">
        <v>35</v>
      </c>
      <c r="Q316" s="359" t="s">
        <v>974</v>
      </c>
      <c r="R316" s="43" t="s">
        <v>36</v>
      </c>
      <c r="S316" s="43" t="s">
        <v>37</v>
      </c>
      <c r="T316" s="458"/>
      <c r="V316" s="261" t="s">
        <v>128</v>
      </c>
      <c r="W316" s="261"/>
      <c r="X316" s="262" t="s">
        <v>359</v>
      </c>
      <c r="Y316" s="263"/>
      <c r="Z316" s="262" t="s">
        <v>355</v>
      </c>
      <c r="AA316" s="263"/>
      <c r="AB316" s="262" t="s">
        <v>360</v>
      </c>
      <c r="AC316" s="263"/>
      <c r="AD316" s="262" t="s">
        <v>127</v>
      </c>
      <c r="AE316" s="263"/>
      <c r="AF316" s="262" t="s">
        <v>357</v>
      </c>
      <c r="AG316" s="263"/>
      <c r="AH316" s="262" t="s">
        <v>358</v>
      </c>
      <c r="AI316" s="263"/>
      <c r="AJ316" s="262" t="s">
        <v>840</v>
      </c>
      <c r="AK316" s="263"/>
    </row>
    <row r="317" spans="1:37" ht="13.5" customHeight="1" x14ac:dyDescent="0.15">
      <c r="A317" s="302">
        <v>1</v>
      </c>
      <c r="B317" s="531" t="s">
        <v>38</v>
      </c>
      <c r="C317" s="532"/>
      <c r="D317" s="532"/>
      <c r="E317" s="533"/>
      <c r="F317" s="47" t="str">
        <f>VLOOKUP($H:$H,型材表!$B$5:$I$448,2,0)</f>
        <v>边框</v>
      </c>
      <c r="G317" s="45" t="s">
        <v>39</v>
      </c>
      <c r="H317" s="45" t="str">
        <f>IF(G302=55,"SW55K001",IF(G302=551,"SW55BK001",IF(G302=60,"SW60K001",IF(G302=601,"SW60AK001",IF(G302=65,"SW65AK001",IF(G302=70,"SW70K001",IF(G302=75,"SW75K001",IF(G302=50,"SW50K002"))))))))</f>
        <v>SW55K001</v>
      </c>
      <c r="I317" s="207" t="s">
        <v>1213</v>
      </c>
      <c r="J317" s="46">
        <f>M304</f>
        <v>1300</v>
      </c>
      <c r="K317" s="45">
        <v>2</v>
      </c>
      <c r="L317" s="47">
        <f>VLOOKUP($H:$H,型材表!$B$5:$I$448,4,0)</f>
        <v>0.96699999999999997</v>
      </c>
      <c r="M317" s="46">
        <f>J317*K317*L317/1000</f>
        <v>2.5141999999999998</v>
      </c>
      <c r="N317" s="72">
        <f>VLOOKUP($H:$H,型材表!$B$5:$I$448,7,0)</f>
        <v>0</v>
      </c>
      <c r="O317" s="46">
        <f>N317*M317</f>
        <v>0</v>
      </c>
      <c r="P317" s="100">
        <f>VLOOKUP($H:$H,型材表!$B$5:$I$448,5,0)</f>
        <v>0.125</v>
      </c>
      <c r="Q317" s="100" t="str">
        <f>VLOOKUP($H:$H,型材表!$B$5:$I$448,6,0)</f>
        <v>断桥隔热铝型材</v>
      </c>
      <c r="R317" s="49"/>
      <c r="S317" s="50"/>
      <c r="T317" s="459"/>
      <c r="X317" s="264"/>
      <c r="Y317" s="265"/>
      <c r="Z317" s="264"/>
      <c r="AA317" s="265"/>
      <c r="AB317" s="264"/>
      <c r="AC317" s="265"/>
      <c r="AD317" s="264"/>
      <c r="AE317" s="265"/>
      <c r="AF317" s="264"/>
      <c r="AG317" s="265"/>
      <c r="AH317" s="264"/>
      <c r="AI317" s="265"/>
      <c r="AJ317" s="264"/>
      <c r="AK317" s="265"/>
    </row>
    <row r="318" spans="1:37" x14ac:dyDescent="0.15">
      <c r="A318" s="302">
        <v>2</v>
      </c>
      <c r="B318" s="534"/>
      <c r="C318" s="535"/>
      <c r="D318" s="535"/>
      <c r="E318" s="536"/>
      <c r="F318" s="47" t="str">
        <f>VLOOKUP($H:$H,型材表!$B$5:$I$448,2,0)</f>
        <v>边框</v>
      </c>
      <c r="G318" s="45" t="s">
        <v>144</v>
      </c>
      <c r="H318" s="45" t="str">
        <f>H317</f>
        <v>SW55K001</v>
      </c>
      <c r="I318" s="207" t="s">
        <v>1214</v>
      </c>
      <c r="J318" s="46">
        <f>M305</f>
        <v>1500</v>
      </c>
      <c r="K318" s="45">
        <v>2</v>
      </c>
      <c r="L318" s="47">
        <f>VLOOKUP($H:$H,型材表!$B$5:$I$448,4,0)</f>
        <v>0.96699999999999997</v>
      </c>
      <c r="M318" s="46">
        <f t="shared" ref="M318" si="50">J318*K318*L318/1000</f>
        <v>2.9009999999999998</v>
      </c>
      <c r="N318" s="72">
        <f>VLOOKUP($H:$H,型材表!$B$5:$I$448,7,0)</f>
        <v>0</v>
      </c>
      <c r="O318" s="46">
        <f t="shared" ref="O318" si="51">N318*M318</f>
        <v>0</v>
      </c>
      <c r="P318" s="100">
        <f>VLOOKUP($H:$H,型材表!$B$5:$I$448,5,0)</f>
        <v>0.125</v>
      </c>
      <c r="Q318" s="100" t="str">
        <f>VLOOKUP($H:$H,型材表!$B$5:$I$448,6,0)</f>
        <v>断桥隔热铝型材</v>
      </c>
      <c r="R318" s="49"/>
      <c r="S318" s="50"/>
      <c r="T318" s="459"/>
      <c r="X318" s="264"/>
      <c r="Y318" s="265"/>
      <c r="Z318" s="264"/>
      <c r="AA318" s="265"/>
      <c r="AB318" s="264"/>
      <c r="AC318" s="265"/>
      <c r="AD318" s="264"/>
      <c r="AE318" s="265"/>
      <c r="AF318" s="264"/>
      <c r="AG318" s="265"/>
      <c r="AH318" s="264"/>
      <c r="AI318" s="265"/>
      <c r="AJ318" s="264"/>
      <c r="AK318" s="265"/>
    </row>
    <row r="319" spans="1:37" x14ac:dyDescent="0.15">
      <c r="A319" s="413">
        <v>3</v>
      </c>
      <c r="B319" s="534"/>
      <c r="C319" s="535"/>
      <c r="D319" s="535"/>
      <c r="E319" s="536"/>
      <c r="F319" s="47"/>
      <c r="G319" s="207"/>
      <c r="H319" s="207"/>
      <c r="I319" s="207"/>
      <c r="J319" s="208"/>
      <c r="K319" s="207"/>
      <c r="L319" s="47"/>
      <c r="M319" s="46"/>
      <c r="N319" s="72"/>
      <c r="O319" s="46"/>
      <c r="P319" s="100"/>
      <c r="Q319" s="100"/>
      <c r="R319" s="210"/>
      <c r="S319" s="50"/>
      <c r="T319" s="459"/>
      <c r="X319" s="264"/>
      <c r="Y319" s="265"/>
      <c r="Z319" s="264"/>
      <c r="AA319" s="265"/>
      <c r="AB319" s="264"/>
      <c r="AC319" s="265"/>
      <c r="AD319" s="264"/>
      <c r="AE319" s="265"/>
      <c r="AF319" s="264"/>
      <c r="AG319" s="265"/>
      <c r="AH319" s="264"/>
      <c r="AI319" s="265"/>
      <c r="AJ319" s="264"/>
      <c r="AK319" s="265"/>
    </row>
    <row r="320" spans="1:37" s="229" customFormat="1" x14ac:dyDescent="0.15">
      <c r="A320" s="413">
        <v>4</v>
      </c>
      <c r="B320" s="537"/>
      <c r="C320" s="538"/>
      <c r="D320" s="538"/>
      <c r="E320" s="539"/>
      <c r="F320" s="221"/>
      <c r="G320" s="222"/>
      <c r="H320" s="222"/>
      <c r="I320" s="222"/>
      <c r="J320" s="223"/>
      <c r="K320" s="222"/>
      <c r="L320" s="221"/>
      <c r="M320" s="224"/>
      <c r="N320" s="225"/>
      <c r="O320" s="224"/>
      <c r="P320" s="226"/>
      <c r="Q320" s="100"/>
      <c r="R320" s="227"/>
      <c r="S320" s="228"/>
      <c r="T320" s="467"/>
      <c r="U320" s="375"/>
      <c r="V320" s="266"/>
      <c r="W320" s="266"/>
      <c r="X320" s="267"/>
      <c r="Y320" s="268"/>
      <c r="Z320" s="267"/>
      <c r="AA320" s="268"/>
      <c r="AB320" s="267"/>
      <c r="AC320" s="268"/>
      <c r="AD320" s="267"/>
      <c r="AE320" s="268"/>
      <c r="AF320" s="267"/>
      <c r="AG320" s="268"/>
      <c r="AH320" s="267"/>
      <c r="AI320" s="268"/>
      <c r="AJ320" s="267"/>
      <c r="AK320" s="268"/>
    </row>
    <row r="321" spans="1:37" ht="13.5" customHeight="1" x14ac:dyDescent="0.15">
      <c r="A321" s="413">
        <v>5</v>
      </c>
      <c r="B321" s="531" t="s">
        <v>41</v>
      </c>
      <c r="C321" s="532"/>
      <c r="D321" s="532"/>
      <c r="E321" s="533"/>
      <c r="F321" s="47" t="str">
        <f>VLOOKUP($H:$H,型材表!$B$5:$I$448,2,0)</f>
        <v>外开扇</v>
      </c>
      <c r="G321" s="45" t="s">
        <v>39</v>
      </c>
      <c r="H321" s="45" t="str">
        <f>IF(G302=55,"SW55S001",IF(G302=551,"SW55BS001",IF(G302=60,"SW60S001",IF(G302=601,"SW60AS001",IF(G302=65,"SW65AS001",IF(G302=70,"SW70S001",IF(G302=75,"SW75S001",IF(G302=50,"SW50S001"))))))))</f>
        <v>SW55S001</v>
      </c>
      <c r="I321" s="207" t="s">
        <v>1572</v>
      </c>
      <c r="J321" s="46">
        <f>IF(G302=55,M306-V321,IF(G302=551,M306-X321,IF(G302=60,M306-Z321,IF(G302=601,M306-AB321,IF(G302=65,M306-AD321,IF(G302=70,M306-AF321,IF(G302=75,M306-AH321,IF(G302=50,M306-AJ321))))))))</f>
        <v>1202.2</v>
      </c>
      <c r="K321" s="45">
        <v>2</v>
      </c>
      <c r="L321" s="47">
        <f>VLOOKUP($H:$H,型材表!$B$5:$I$448,4,0)</f>
        <v>1.4450000000000001</v>
      </c>
      <c r="M321" s="46">
        <f t="shared" ref="M321:M325" si="52">J321*K321*L321/1000</f>
        <v>3.4743580000000001</v>
      </c>
      <c r="N321" s="72">
        <f>VLOOKUP($H:$H,型材表!$B$5:$I$448,7,0)</f>
        <v>0</v>
      </c>
      <c r="O321" s="46">
        <f t="shared" ref="O321:O325" si="53">N321*M321</f>
        <v>0</v>
      </c>
      <c r="P321" s="100">
        <f>VLOOKUP($H:$H,型材表!$B$5:$I$448,5,0)</f>
        <v>0.125</v>
      </c>
      <c r="Q321" s="100" t="str">
        <f>VLOOKUP($H:$H,型材表!$B$5:$I$448,6,0)</f>
        <v>断桥隔热铝型材</v>
      </c>
      <c r="R321" s="49"/>
      <c r="S321" s="50"/>
      <c r="T321" s="459"/>
      <c r="U321" s="374" t="s">
        <v>1571</v>
      </c>
      <c r="V321" s="259">
        <f>48.9*2</f>
        <v>97.8</v>
      </c>
      <c r="X321" s="286">
        <f>48.9*2</f>
        <v>97.8</v>
      </c>
      <c r="Y321" s="265"/>
      <c r="Z321" s="286">
        <f>48.9*2</f>
        <v>97.8</v>
      </c>
      <c r="AA321" s="265"/>
      <c r="AB321" s="286">
        <f>48.9*2</f>
        <v>97.8</v>
      </c>
      <c r="AC321" s="265"/>
      <c r="AD321" s="286">
        <f>48.9*2</f>
        <v>97.8</v>
      </c>
      <c r="AE321" s="265"/>
      <c r="AF321" s="286">
        <f>50.9*2</f>
        <v>101.8</v>
      </c>
      <c r="AG321" s="265"/>
      <c r="AH321" s="286">
        <f>50.9*2</f>
        <v>101.8</v>
      </c>
      <c r="AI321" s="265"/>
      <c r="AJ321" s="264">
        <f>45.7*2</f>
        <v>91.4</v>
      </c>
      <c r="AK321" s="265"/>
    </row>
    <row r="322" spans="1:37" x14ac:dyDescent="0.15">
      <c r="A322" s="413">
        <v>6</v>
      </c>
      <c r="B322" s="534"/>
      <c r="C322" s="535"/>
      <c r="D322" s="535"/>
      <c r="E322" s="536"/>
      <c r="F322" s="47" t="str">
        <f>VLOOKUP($H:$H,型材表!$B$5:$I$448,2,0)</f>
        <v>外开扇</v>
      </c>
      <c r="G322" s="45" t="s">
        <v>144</v>
      </c>
      <c r="H322" s="207" t="str">
        <f>H321</f>
        <v>SW55S001</v>
      </c>
      <c r="I322" s="207" t="s">
        <v>1576</v>
      </c>
      <c r="J322" s="208">
        <f>IF(G302=55,M309-V322,IF(G302=551,M309-X322,IF(G302=60,M309-Z322,IF(G302=601,M309-AB322,IF(G302=65,M309-AD322,IF(G302=70,M309-AF322,IF(G302=75,M309-AH322,IF(G302=50,M309-AJ322))))))))</f>
        <v>617.20000000000005</v>
      </c>
      <c r="K322" s="207">
        <v>2</v>
      </c>
      <c r="L322" s="47">
        <f>VLOOKUP($H:$H,型材表!$B$5:$I$448,4,0)</f>
        <v>1.4450000000000001</v>
      </c>
      <c r="M322" s="46">
        <f t="shared" si="52"/>
        <v>1.7837080000000003</v>
      </c>
      <c r="N322" s="72">
        <f>VLOOKUP($H:$H,型材表!$B$5:$I$448,7,0)</f>
        <v>0</v>
      </c>
      <c r="O322" s="46">
        <f t="shared" si="53"/>
        <v>0</v>
      </c>
      <c r="P322" s="100">
        <f>VLOOKUP($H:$H,型材表!$B$5:$I$448,5,0)</f>
        <v>0.125</v>
      </c>
      <c r="Q322" s="100" t="str">
        <f>VLOOKUP($H:$H,型材表!$B$5:$I$448,6,0)</f>
        <v>断桥隔热铝型材</v>
      </c>
      <c r="R322" s="210"/>
      <c r="S322" s="50"/>
      <c r="T322" s="459"/>
      <c r="U322" s="374" t="s">
        <v>1575</v>
      </c>
      <c r="V322" s="259">
        <f>48.9+33.9</f>
        <v>82.8</v>
      </c>
      <c r="X322" s="286">
        <f>48.9+33.9</f>
        <v>82.8</v>
      </c>
      <c r="Y322" s="265"/>
      <c r="Z322" s="286">
        <f>48.9+33.9</f>
        <v>82.8</v>
      </c>
      <c r="AA322" s="265"/>
      <c r="AB322" s="286">
        <f>48.9+33.9</f>
        <v>82.8</v>
      </c>
      <c r="AC322" s="265"/>
      <c r="AD322" s="286">
        <f>48.9+33.9</f>
        <v>82.8</v>
      </c>
      <c r="AE322" s="265"/>
      <c r="AF322" s="286">
        <f>50.9+35.9</f>
        <v>86.8</v>
      </c>
      <c r="AG322" s="265"/>
      <c r="AH322" s="286">
        <f>50.9+35.9</f>
        <v>86.8</v>
      </c>
      <c r="AI322" s="265"/>
      <c r="AJ322" s="264">
        <f>45.7+30.4</f>
        <v>76.099999999999994</v>
      </c>
      <c r="AK322" s="265"/>
    </row>
    <row r="323" spans="1:37" x14ac:dyDescent="0.15">
      <c r="A323" s="413">
        <v>7</v>
      </c>
      <c r="B323" s="534"/>
      <c r="C323" s="535"/>
      <c r="D323" s="535"/>
      <c r="E323" s="536"/>
      <c r="F323" s="47" t="str">
        <f>VLOOKUP($H:$H,型材表!$B$5:$I$448,2,0)</f>
        <v>中梃</v>
      </c>
      <c r="G323" s="45"/>
      <c r="H323" s="45" t="str">
        <f>IF(G302=55,"SW55T001",IF(G302=551,"SW55BT001",IF(G302=60,"SW60T001",IF(G302=601,"SW60AT001",IF(G302=65,"SW65AT001",IF(G302=70,"SW70T001",IF(G302=75,"SW75T001",IF(G302=50,"SW50Z001"))))))))</f>
        <v>SW55T001</v>
      </c>
      <c r="I323" s="207" t="s">
        <v>1216</v>
      </c>
      <c r="J323" s="46">
        <f>IF(G302=55,M304-V323,IF(G302=551,M304-X323,IF(G302=60,M304-Z323,IF(G302=601,M304-AB323,IF(G302=65,M304-AD323,IF(G302=70,M304-AF323,IF(G302=75,M304-AH322,IF(G302=50,M304-AJ322))))))))</f>
        <v>1254</v>
      </c>
      <c r="K323" s="45">
        <v>1</v>
      </c>
      <c r="L323" s="47">
        <f>VLOOKUP($H:$H,型材表!$B$5:$I$448,4,0)</f>
        <v>1.113</v>
      </c>
      <c r="M323" s="46">
        <f t="shared" si="52"/>
        <v>1.395702</v>
      </c>
      <c r="N323" s="72">
        <f>VLOOKUP($H:$H,型材表!$B$5:$I$448,7,0)</f>
        <v>0</v>
      </c>
      <c r="O323" s="46">
        <f t="shared" si="53"/>
        <v>0</v>
      </c>
      <c r="P323" s="100">
        <f>VLOOKUP($H:$H,型材表!$B$5:$I$448,5,0)</f>
        <v>0.125</v>
      </c>
      <c r="Q323" s="100" t="str">
        <f>VLOOKUP($H:$H,型材表!$B$5:$I$448,6,0)</f>
        <v>断桥隔热铝型材</v>
      </c>
      <c r="R323" s="49"/>
      <c r="S323" s="50"/>
      <c r="T323" s="459"/>
      <c r="U323" s="374" t="s">
        <v>1234</v>
      </c>
      <c r="V323" s="259">
        <f>23*2</f>
        <v>46</v>
      </c>
      <c r="X323" s="286">
        <f>23*2</f>
        <v>46</v>
      </c>
      <c r="Y323" s="265"/>
      <c r="Z323" s="286">
        <f>23*2</f>
        <v>46</v>
      </c>
      <c r="AA323" s="265"/>
      <c r="AB323" s="286">
        <f>23*2</f>
        <v>46</v>
      </c>
      <c r="AC323" s="265"/>
      <c r="AD323" s="286">
        <f>23*2</f>
        <v>46</v>
      </c>
      <c r="AE323" s="265"/>
      <c r="AF323" s="286">
        <f>23*2</f>
        <v>46</v>
      </c>
      <c r="AG323" s="265"/>
      <c r="AH323" s="286">
        <f>23*2</f>
        <v>46</v>
      </c>
      <c r="AI323" s="265"/>
      <c r="AJ323" s="264">
        <f>23.3*2</f>
        <v>46.6</v>
      </c>
      <c r="AK323" s="265"/>
    </row>
    <row r="324" spans="1:37" s="315" customFormat="1" x14ac:dyDescent="0.15">
      <c r="A324" s="413">
        <v>8</v>
      </c>
      <c r="B324" s="534"/>
      <c r="C324" s="535"/>
      <c r="D324" s="535"/>
      <c r="E324" s="536"/>
      <c r="F324" s="310" t="str">
        <f>VLOOKUP($H:$H,型材表!$B$5:$I$448,2,0)</f>
        <v>转向框</v>
      </c>
      <c r="G324" s="116" t="s">
        <v>39</v>
      </c>
      <c r="H324" s="116" t="str">
        <f>IF(G302=55,"SW55K102",IF(G302=551,"SW55BK102",IF(G302=60,"SW60K102",IF(G302=601,"SW60AK102",IF(G302=65,"SW65AK102",IF(G302=70,"SW70K102",IF(G302=75,"SW75K102",IF(G302=50,"SW50K101"))))))))</f>
        <v>SW55K102</v>
      </c>
      <c r="I324" s="328" t="s">
        <v>1217</v>
      </c>
      <c r="J324" s="147">
        <f>IF(G302=55,M304-V324,IF(G302=551,M304-X324,IF(G302=60,M304-Z324,IF(G302=601,M304-AB324,IF(G302=65,M304-AD324,IF(G302=70,M304-AF324,IF(G302=75,M304-AH324,IF(G302=50,M304-AJ324))))))))</f>
        <v>1249.4000000000001</v>
      </c>
      <c r="K324" s="116">
        <v>2</v>
      </c>
      <c r="L324" s="310">
        <f>VLOOKUP($H:$H,型材表!$B$5:$I$448,4,0)</f>
        <v>0.92300000000000004</v>
      </c>
      <c r="M324" s="147">
        <f t="shared" si="52"/>
        <v>2.3063924</v>
      </c>
      <c r="N324" s="311">
        <f>VLOOKUP($H:$H,型材表!$B$5:$I$448,7,0)</f>
        <v>0</v>
      </c>
      <c r="O324" s="147">
        <f t="shared" si="53"/>
        <v>0</v>
      </c>
      <c r="P324" s="312">
        <f>VLOOKUP($H:$H,型材表!$B$5:$I$448,5,0)</f>
        <v>0.125</v>
      </c>
      <c r="Q324" s="100" t="str">
        <f>VLOOKUP($H:$H,型材表!$B$5:$I$448,6,0)</f>
        <v>断桥隔热铝型材</v>
      </c>
      <c r="R324" s="313"/>
      <c r="S324" s="314"/>
      <c r="T324" s="469"/>
      <c r="U324" s="376" t="s">
        <v>1301</v>
      </c>
      <c r="V324" s="316">
        <f>25.3*2</f>
        <v>50.6</v>
      </c>
      <c r="W324" s="316"/>
      <c r="X324" s="317">
        <f>25.3*2</f>
        <v>50.6</v>
      </c>
      <c r="Y324" s="318"/>
      <c r="Z324" s="317">
        <f>25.3*2</f>
        <v>50.6</v>
      </c>
      <c r="AA324" s="318"/>
      <c r="AB324" s="317">
        <f>25.3*2</f>
        <v>50.6</v>
      </c>
      <c r="AC324" s="318"/>
      <c r="AD324" s="317">
        <f>25.3*2</f>
        <v>50.6</v>
      </c>
      <c r="AE324" s="318"/>
      <c r="AF324" s="317">
        <f>25.3*2</f>
        <v>50.6</v>
      </c>
      <c r="AG324" s="318"/>
      <c r="AH324" s="317">
        <f>25.3*2</f>
        <v>50.6</v>
      </c>
      <c r="AI324" s="318"/>
      <c r="AJ324" s="317">
        <f>25.3*2</f>
        <v>50.6</v>
      </c>
      <c r="AK324" s="318"/>
    </row>
    <row r="325" spans="1:37" s="315" customFormat="1" x14ac:dyDescent="0.15">
      <c r="A325" s="413">
        <v>9</v>
      </c>
      <c r="B325" s="534"/>
      <c r="C325" s="535"/>
      <c r="D325" s="535"/>
      <c r="E325" s="536"/>
      <c r="F325" s="310" t="str">
        <f>VLOOKUP($H:$H,型材表!$B$5:$I$448,2,0)</f>
        <v>转向框</v>
      </c>
      <c r="G325" s="116" t="s">
        <v>144</v>
      </c>
      <c r="H325" s="328" t="str">
        <f>H324</f>
        <v>SW55K102</v>
      </c>
      <c r="I325" s="328" t="s">
        <v>1578</v>
      </c>
      <c r="J325" s="329">
        <f>IF(G302=55,M310-V325,IF(G302=551,M310-X325,IF(G302=60,M310-Z325,IF(G302=601,M310-AB325,IF(G302=65,M310-AD325,IF(G302=70,M310-AF325,IF(G302=75,M310-AH325,IF(G302=50,M310-AJ325))))))))</f>
        <v>761.7</v>
      </c>
      <c r="K325" s="328">
        <v>2</v>
      </c>
      <c r="L325" s="310">
        <f>VLOOKUP($H:$H,型材表!$B$5:$I$448,4,0)</f>
        <v>0.92300000000000004</v>
      </c>
      <c r="M325" s="147">
        <f t="shared" si="52"/>
        <v>1.4060982000000002</v>
      </c>
      <c r="N325" s="311">
        <f>VLOOKUP($H:$H,型材表!$B$5:$I$448,7,0)</f>
        <v>0</v>
      </c>
      <c r="O325" s="147">
        <f t="shared" si="53"/>
        <v>0</v>
      </c>
      <c r="P325" s="312">
        <f>VLOOKUP($H:$H,型材表!$B$5:$I$448,5,0)</f>
        <v>0.125</v>
      </c>
      <c r="Q325" s="100" t="str">
        <f>VLOOKUP($H:$H,型材表!$B$5:$I$448,6,0)</f>
        <v>断桥隔热铝型材</v>
      </c>
      <c r="R325" s="330"/>
      <c r="S325" s="314"/>
      <c r="T325" s="469"/>
      <c r="U325" s="376" t="s">
        <v>1577</v>
      </c>
      <c r="V325" s="316">
        <f>25.3+13</f>
        <v>38.299999999999997</v>
      </c>
      <c r="W325" s="316"/>
      <c r="X325" s="317">
        <f>25.3+13</f>
        <v>38.299999999999997</v>
      </c>
      <c r="Y325" s="318"/>
      <c r="Z325" s="317">
        <f>25.3+13</f>
        <v>38.299999999999997</v>
      </c>
      <c r="AA325" s="318"/>
      <c r="AB325" s="317">
        <f>25.3+13</f>
        <v>38.299999999999997</v>
      </c>
      <c r="AC325" s="318"/>
      <c r="AD325" s="317">
        <f>25.3+13</f>
        <v>38.299999999999997</v>
      </c>
      <c r="AE325" s="318"/>
      <c r="AF325" s="317">
        <f>25.3+10.3</f>
        <v>35.6</v>
      </c>
      <c r="AG325" s="318"/>
      <c r="AH325" s="317">
        <f>25.3+10.3</f>
        <v>35.6</v>
      </c>
      <c r="AI325" s="318"/>
      <c r="AJ325" s="317">
        <f>10+25.3</f>
        <v>35.299999999999997</v>
      </c>
      <c r="AK325" s="318"/>
    </row>
    <row r="326" spans="1:37" x14ac:dyDescent="0.15">
      <c r="A326" s="413">
        <v>10</v>
      </c>
      <c r="B326" s="537"/>
      <c r="C326" s="538"/>
      <c r="D326" s="538"/>
      <c r="E326" s="539"/>
      <c r="F326" s="47"/>
      <c r="G326" s="45"/>
      <c r="H326" s="45"/>
      <c r="I326" s="207"/>
      <c r="J326" s="46"/>
      <c r="K326" s="45"/>
      <c r="L326" s="47"/>
      <c r="M326" s="46"/>
      <c r="N326" s="72"/>
      <c r="O326" s="46"/>
      <c r="P326" s="100"/>
      <c r="Q326" s="100"/>
      <c r="R326" s="49"/>
      <c r="S326" s="50"/>
      <c r="T326" s="459"/>
      <c r="X326" s="264"/>
      <c r="Y326" s="265"/>
      <c r="Z326" s="264"/>
      <c r="AA326" s="265"/>
      <c r="AB326" s="264"/>
      <c r="AC326" s="265"/>
      <c r="AD326" s="264"/>
      <c r="AE326" s="265"/>
      <c r="AF326" s="264"/>
      <c r="AG326" s="265"/>
      <c r="AH326" s="264"/>
      <c r="AI326" s="265"/>
      <c r="AJ326" s="264"/>
      <c r="AK326" s="265"/>
    </row>
    <row r="327" spans="1:37" ht="13.5" customHeight="1" x14ac:dyDescent="0.15">
      <c r="A327" s="413">
        <v>11</v>
      </c>
      <c r="B327" s="531" t="s">
        <v>44</v>
      </c>
      <c r="C327" s="532"/>
      <c r="D327" s="532"/>
      <c r="E327" s="533"/>
      <c r="F327" s="47" t="str">
        <f>VLOOKUP($H:$H,型材表!$B$5:$I$448,2,0)</f>
        <v>压线</v>
      </c>
      <c r="G327" s="45" t="s">
        <v>39</v>
      </c>
      <c r="H327" s="45" t="str">
        <f>IF(G302=55,"SN55Y001",IF(G302=551,"SW55BY001",IF(G302=60,"SN60Y001",IF(G302=601,"SW60AY001",IF(G302=65,"SN65AY001",IF(G302=70,"SN70Y001",IF(G302=75,"SN75Y001",IF(G302=50,"SW50Y001"))))))))</f>
        <v>SN55Y001</v>
      </c>
      <c r="I327" s="207" t="s">
        <v>1585</v>
      </c>
      <c r="J327" s="52">
        <f>IF(G302=55,M306-V327,IF(G302=551,M306-X327,IF(G302=60,M306-Z327,IF(G302=601,M306-AB327,IF(G302=65,M306-AD327,IF(G302=70,M306-AF327,IF(G302=75,M306-AH327,IF(G302=50,M306-AJ327))))))))</f>
        <v>1100.2</v>
      </c>
      <c r="K327" s="45">
        <f>K322</f>
        <v>2</v>
      </c>
      <c r="L327" s="47">
        <f>VLOOKUP($H:$H,型材表!$B$5:$I$448,4,0)</f>
        <v>0.214</v>
      </c>
      <c r="M327" s="46">
        <f t="shared" ref="M327:M334" si="54">J327*K327*L327/1000</f>
        <v>0.47088560000000002</v>
      </c>
      <c r="N327" s="72">
        <f>VLOOKUP($H:$H,型材表!$B$5:$I$448,7,0)</f>
        <v>0</v>
      </c>
      <c r="O327" s="46">
        <f t="shared" ref="O327:O334" si="55">N327*M327</f>
        <v>0</v>
      </c>
      <c r="P327" s="100">
        <f>VLOOKUP($H:$H,型材表!$B$5:$I$448,5,0)</f>
        <v>0.125</v>
      </c>
      <c r="Q327" s="100" t="str">
        <f>VLOOKUP($H:$H,型材表!$B$5:$I$448,6,0)</f>
        <v>非断桥隔热铝型材</v>
      </c>
      <c r="R327" s="49"/>
      <c r="S327" s="50"/>
      <c r="T327" s="459"/>
      <c r="U327" s="374" t="s">
        <v>1584</v>
      </c>
      <c r="V327" s="269">
        <f>99.9*2</f>
        <v>199.8</v>
      </c>
      <c r="X327" s="279">
        <f>99.9*2</f>
        <v>199.8</v>
      </c>
      <c r="Y327" s="265"/>
      <c r="Z327" s="279">
        <f>99.9*2</f>
        <v>199.8</v>
      </c>
      <c r="AA327" s="265"/>
      <c r="AB327" s="279">
        <f>99.9*2</f>
        <v>199.8</v>
      </c>
      <c r="AC327" s="265"/>
      <c r="AD327" s="279">
        <f>99.9*2</f>
        <v>199.8</v>
      </c>
      <c r="AE327" s="265"/>
      <c r="AF327" s="279">
        <f>105.4*2</f>
        <v>210.8</v>
      </c>
      <c r="AG327" s="265"/>
      <c r="AH327" s="279">
        <f>105.4*2</f>
        <v>210.8</v>
      </c>
      <c r="AI327" s="265"/>
      <c r="AJ327" s="279">
        <f>90.4*2</f>
        <v>180.8</v>
      </c>
      <c r="AK327" s="265"/>
    </row>
    <row r="328" spans="1:37" ht="13.5" customHeight="1" x14ac:dyDescent="0.15">
      <c r="A328" s="413">
        <v>12</v>
      </c>
      <c r="B328" s="534"/>
      <c r="C328" s="535"/>
      <c r="D328" s="535"/>
      <c r="E328" s="536"/>
      <c r="F328" s="47" t="str">
        <f>VLOOKUP($H:$H,型材表!$B$5:$I$448,2,0)</f>
        <v>压线</v>
      </c>
      <c r="G328" s="45" t="s">
        <v>39</v>
      </c>
      <c r="H328" s="207" t="str">
        <f>H327</f>
        <v>SN55Y001</v>
      </c>
      <c r="I328" s="207" t="s">
        <v>1304</v>
      </c>
      <c r="J328" s="214">
        <f>IF(G302=55,M306-V328,IF(G302=551,M306-X328,IF(G302=60,M306-Z328,IF(G302=601,M306-AB328,IF(G302=65,M306-AD328,IF(G302=70,M306-AF328,IF(G302=75,M306-AH328,IF(G302=50,M306-AJ328))))))))</f>
        <v>1254</v>
      </c>
      <c r="K328" s="45">
        <v>2</v>
      </c>
      <c r="L328" s="47">
        <f>VLOOKUP($H:$H,型材表!$B$5:$I$448,4,0)</f>
        <v>0.214</v>
      </c>
      <c r="M328" s="46">
        <f t="shared" ref="M328:M329" si="56">J328*K328*L328/1000</f>
        <v>0.53671199999999997</v>
      </c>
      <c r="N328" s="72">
        <f>VLOOKUP($H:$H,型材表!$B$5:$I$448,7,0)</f>
        <v>0</v>
      </c>
      <c r="O328" s="46">
        <f t="shared" ref="O328:O329" si="57">N328*M328</f>
        <v>0</v>
      </c>
      <c r="P328" s="100">
        <f>VLOOKUP($H:$H,型材表!$B$5:$I$448,5,0)</f>
        <v>0.125</v>
      </c>
      <c r="Q328" s="100" t="str">
        <f>VLOOKUP($H:$H,型材表!$B$5:$I$448,6,0)</f>
        <v>非断桥隔热铝型材</v>
      </c>
      <c r="R328" s="210"/>
      <c r="S328" s="50"/>
      <c r="T328" s="459"/>
      <c r="U328" s="374" t="s">
        <v>1303</v>
      </c>
      <c r="V328" s="269">
        <f>23*2</f>
        <v>46</v>
      </c>
      <c r="X328" s="279">
        <f>23*2</f>
        <v>46</v>
      </c>
      <c r="Y328" s="265"/>
      <c r="Z328" s="279">
        <f>23*2</f>
        <v>46</v>
      </c>
      <c r="AA328" s="265"/>
      <c r="AB328" s="279">
        <f>23*2</f>
        <v>46</v>
      </c>
      <c r="AC328" s="265"/>
      <c r="AD328" s="279">
        <f>23*2</f>
        <v>46</v>
      </c>
      <c r="AE328" s="265"/>
      <c r="AF328" s="279">
        <f>23*2</f>
        <v>46</v>
      </c>
      <c r="AG328" s="265"/>
      <c r="AH328" s="279">
        <f>23*2</f>
        <v>46</v>
      </c>
      <c r="AI328" s="265"/>
      <c r="AJ328" s="279">
        <f>23.3*2</f>
        <v>46.6</v>
      </c>
      <c r="AK328" s="265"/>
    </row>
    <row r="329" spans="1:37" ht="13.5" customHeight="1" x14ac:dyDescent="0.15">
      <c r="A329" s="413">
        <v>13</v>
      </c>
      <c r="B329" s="534"/>
      <c r="C329" s="535"/>
      <c r="D329" s="535"/>
      <c r="E329" s="536"/>
      <c r="F329" s="47" t="str">
        <f>VLOOKUP($H:$H,型材表!$B$5:$I$448,2,0)</f>
        <v>压线</v>
      </c>
      <c r="G329" s="45" t="s">
        <v>40</v>
      </c>
      <c r="H329" s="207" t="str">
        <f t="shared" ref="H329:H330" si="58">H328</f>
        <v>SN55Y001</v>
      </c>
      <c r="I329" s="207" t="s">
        <v>1302</v>
      </c>
      <c r="J329" s="214">
        <f>IF(G302=55,M309-V329,IF(G302=551,M309-X329,IF(G302=60,M309-Z329,IF(G302=601,M309-AB329,IF(G302=65,M309-AD329,IF(G302=70,M309-AF329,IF(G302=75,M309-AH329,IF(G302=50,M309-AJ329))))))))</f>
        <v>515.20000000000005</v>
      </c>
      <c r="K329" s="45">
        <f t="shared" ref="K329:K330" si="59">K324</f>
        <v>2</v>
      </c>
      <c r="L329" s="47">
        <f>VLOOKUP($H:$H,型材表!$B$5:$I$448,4,0)</f>
        <v>0.214</v>
      </c>
      <c r="M329" s="46">
        <f t="shared" si="56"/>
        <v>0.22050560000000002</v>
      </c>
      <c r="N329" s="72">
        <f>VLOOKUP($H:$H,型材表!$B$5:$I$448,7,0)</f>
        <v>0</v>
      </c>
      <c r="O329" s="46">
        <f t="shared" si="57"/>
        <v>0</v>
      </c>
      <c r="P329" s="100">
        <f>VLOOKUP($H:$H,型材表!$B$5:$I$448,5,0)</f>
        <v>0.125</v>
      </c>
      <c r="Q329" s="100" t="str">
        <f>VLOOKUP($H:$H,型材表!$B$5:$I$448,6,0)</f>
        <v>非断桥隔热铝型材</v>
      </c>
      <c r="R329" s="210"/>
      <c r="S329" s="50"/>
      <c r="T329" s="459"/>
      <c r="U329" s="374" t="s">
        <v>1254</v>
      </c>
      <c r="V329" s="269">
        <f>99.9+84.9</f>
        <v>184.8</v>
      </c>
      <c r="X329" s="279">
        <f>99.9+84.9</f>
        <v>184.8</v>
      </c>
      <c r="Y329" s="265"/>
      <c r="Z329" s="279">
        <f>99.9+84.9</f>
        <v>184.8</v>
      </c>
      <c r="AA329" s="265"/>
      <c r="AB329" s="279">
        <f>99.9+84.9</f>
        <v>184.8</v>
      </c>
      <c r="AC329" s="265"/>
      <c r="AD329" s="279">
        <f>99.9+84.9</f>
        <v>184.8</v>
      </c>
      <c r="AE329" s="265"/>
      <c r="AF329" s="279">
        <f>105.4+90.4</f>
        <v>195.8</v>
      </c>
      <c r="AG329" s="265"/>
      <c r="AH329" s="279">
        <f>105.4+90.4</f>
        <v>195.8</v>
      </c>
      <c r="AI329" s="265"/>
      <c r="AJ329" s="279">
        <f>90.4+75.1</f>
        <v>165.5</v>
      </c>
      <c r="AK329" s="265"/>
    </row>
    <row r="330" spans="1:37" x14ac:dyDescent="0.15">
      <c r="A330" s="413">
        <v>14</v>
      </c>
      <c r="B330" s="534"/>
      <c r="C330" s="535"/>
      <c r="D330" s="535"/>
      <c r="E330" s="536"/>
      <c r="F330" s="47" t="str">
        <f>VLOOKUP($H:$H,型材表!$B$5:$I$448,2,0)</f>
        <v>压线</v>
      </c>
      <c r="G330" s="45" t="s">
        <v>144</v>
      </c>
      <c r="H330" s="207" t="str">
        <f t="shared" si="58"/>
        <v>SN55Y001</v>
      </c>
      <c r="I330" s="207" t="s">
        <v>1308</v>
      </c>
      <c r="J330" s="214">
        <f>IF(G302=55,M310-V330,IF(G302=551,M310-X330,IF(G302=60,M310-Z330,IF(G302=601,M310-AB330,IF(G302=65,M310-AD330,IF(G302=70,M310-AF330,IF(G302=75,M310-AH330,IF(G302=50,M310-AJ330))))))))</f>
        <v>769</v>
      </c>
      <c r="K330" s="45">
        <f t="shared" si="59"/>
        <v>2</v>
      </c>
      <c r="L330" s="47">
        <f>VLOOKUP($H:$H,型材表!$B$5:$I$448,4,0)</f>
        <v>0.214</v>
      </c>
      <c r="M330" s="46">
        <f t="shared" si="54"/>
        <v>0.32913199999999998</v>
      </c>
      <c r="N330" s="72">
        <f>VLOOKUP($H:$H,型材表!$B$5:$I$448,7,0)</f>
        <v>0</v>
      </c>
      <c r="O330" s="46">
        <f t="shared" si="55"/>
        <v>0</v>
      </c>
      <c r="P330" s="100">
        <f>VLOOKUP($H:$H,型材表!$B$5:$I$448,5,0)</f>
        <v>0.125</v>
      </c>
      <c r="Q330" s="100" t="str">
        <f>VLOOKUP($H:$H,型材表!$B$5:$I$448,6,0)</f>
        <v>非断桥隔热铝型材</v>
      </c>
      <c r="R330" s="210"/>
      <c r="S330" s="50"/>
      <c r="T330" s="459"/>
      <c r="U330" s="374" t="s">
        <v>1310</v>
      </c>
      <c r="V330" s="335">
        <f>8+23</f>
        <v>31</v>
      </c>
      <c r="X330" s="378">
        <f>8+23</f>
        <v>31</v>
      </c>
      <c r="Y330" s="265"/>
      <c r="Z330" s="378">
        <f>8+23</f>
        <v>31</v>
      </c>
      <c r="AA330" s="265"/>
      <c r="AB330" s="378">
        <f>8+23</f>
        <v>31</v>
      </c>
      <c r="AC330" s="265"/>
      <c r="AD330" s="378">
        <f>8+23</f>
        <v>31</v>
      </c>
      <c r="AE330" s="265"/>
      <c r="AF330" s="378">
        <f>8+23</f>
        <v>31</v>
      </c>
      <c r="AG330" s="265"/>
      <c r="AH330" s="378">
        <f>8+23</f>
        <v>31</v>
      </c>
      <c r="AI330" s="265"/>
      <c r="AJ330" s="279">
        <f>10+21.3</f>
        <v>31.3</v>
      </c>
      <c r="AK330" s="265"/>
    </row>
    <row r="331" spans="1:37" x14ac:dyDescent="0.15">
      <c r="A331" s="413">
        <v>15</v>
      </c>
      <c r="B331" s="534"/>
      <c r="C331" s="535"/>
      <c r="D331" s="535"/>
      <c r="E331" s="536"/>
      <c r="F331" s="47" t="str">
        <f>VLOOKUP($H:$H,型材表!$B$5:$I$448,2,0)</f>
        <v>角码</v>
      </c>
      <c r="G331" s="213" t="s">
        <v>446</v>
      </c>
      <c r="H331" s="207" t="str">
        <f>IF(G302=70,"SN55F003",IF(G302=75,"SN55F003",IF(G302=50,"SW50F002","SW55F001")))</f>
        <v>SW55F001</v>
      </c>
      <c r="I331" s="207" t="s">
        <v>1210</v>
      </c>
      <c r="J331" s="214">
        <f>IF(G302=55,V331,IF(G302=551,X331,IF(G302=60,Z331,IF(G302=601,AB331,IF(G302=65,AD331,IF(G302=70,AF331,IF(G302=75,AH331,IF(G302=50,AJ331))))))))</f>
        <v>32.200000000000003</v>
      </c>
      <c r="K331" s="207">
        <v>4</v>
      </c>
      <c r="L331" s="47">
        <f>VLOOKUP($H:$H,型材表!$B$5:$I$448,4,0)</f>
        <v>2.0950000000000002</v>
      </c>
      <c r="M331" s="46">
        <f t="shared" si="54"/>
        <v>0.26983600000000008</v>
      </c>
      <c r="N331" s="72">
        <f>VLOOKUP($H:$H,型材表!$B$5:$I$448,7,0)</f>
        <v>0</v>
      </c>
      <c r="O331" s="46">
        <f t="shared" si="55"/>
        <v>0</v>
      </c>
      <c r="P331" s="100">
        <f>VLOOKUP($H:$H,型材表!$B$5:$I$448,5,0)</f>
        <v>0.125</v>
      </c>
      <c r="Q331" s="100" t="str">
        <f>VLOOKUP($H:$H,型材表!$B$5:$I$448,6,0)</f>
        <v>阳极氧化铝型材</v>
      </c>
      <c r="R331" s="210"/>
      <c r="S331" s="50"/>
      <c r="T331" s="459"/>
      <c r="U331" s="374" t="s">
        <v>1210</v>
      </c>
      <c r="V331" s="259">
        <f>19.5-1+14.7-1</f>
        <v>32.200000000000003</v>
      </c>
      <c r="X331" s="264">
        <f>19.5-1+10.9-1</f>
        <v>28.4</v>
      </c>
      <c r="Y331" s="265"/>
      <c r="Z331" s="264">
        <f>19.5-1+14.7-1</f>
        <v>32.200000000000003</v>
      </c>
      <c r="AA331" s="265"/>
      <c r="AB331" s="264">
        <f>19.5-1+10.9-1</f>
        <v>28.4</v>
      </c>
      <c r="AC331" s="265"/>
      <c r="AD331" s="264">
        <f>19.5-1+14.7-1</f>
        <v>32.200000000000003</v>
      </c>
      <c r="AE331" s="265"/>
      <c r="AF331" s="264">
        <f>19.5-1+14.7-1</f>
        <v>32.200000000000003</v>
      </c>
      <c r="AG331" s="265"/>
      <c r="AH331" s="264">
        <f>19.5-1+14.7-1</f>
        <v>32.200000000000003</v>
      </c>
      <c r="AI331" s="265"/>
      <c r="AJ331" s="264">
        <f>15-1</f>
        <v>14</v>
      </c>
      <c r="AK331" s="265"/>
    </row>
    <row r="332" spans="1:37" s="229" customFormat="1" x14ac:dyDescent="0.15">
      <c r="A332" s="413">
        <v>16</v>
      </c>
      <c r="B332" s="534"/>
      <c r="C332" s="535"/>
      <c r="D332" s="535"/>
      <c r="E332" s="536"/>
      <c r="F332" s="47" t="str">
        <f>VLOOKUP($H:$H,型材表!$B$5:$I$448,2,0)</f>
        <v>角码</v>
      </c>
      <c r="G332" s="230" t="s">
        <v>447</v>
      </c>
      <c r="H332" s="222" t="str">
        <f>IF(G302=70,"SW70F001",IF(G302=75,"SW70F001",IF(G302=50,"SW50F003","SN55MF004")))</f>
        <v>SN55MF004</v>
      </c>
      <c r="I332" s="222" t="s">
        <v>1219</v>
      </c>
      <c r="J332" s="214">
        <f>IF(G302=55,V332,IF(G302=551,X332,IF(G302=60,Z332,IF(G302=601,AB332,IF(G302=65,AD332,IF(G302=70,AF332,IF(G302=75,AH332,IF(G302=50,AJ332))))))))</f>
        <v>30.2</v>
      </c>
      <c r="K332" s="207">
        <v>4</v>
      </c>
      <c r="L332" s="47">
        <f>VLOOKUP($H:$H,型材表!$B$5:$I$448,4,0)</f>
        <v>2.996</v>
      </c>
      <c r="M332" s="46">
        <f t="shared" si="54"/>
        <v>0.36191679999999998</v>
      </c>
      <c r="N332" s="72">
        <f>VLOOKUP($H:$H,型材表!$B$5:$I$448,7,0)</f>
        <v>0</v>
      </c>
      <c r="O332" s="46">
        <f t="shared" si="55"/>
        <v>0</v>
      </c>
      <c r="P332" s="100">
        <f>VLOOKUP($H:$H,型材表!$B$5:$I$448,5,0)</f>
        <v>0.125</v>
      </c>
      <c r="Q332" s="100" t="str">
        <f>VLOOKUP($H:$H,型材表!$B$5:$I$448,6,0)</f>
        <v>阳极氧化铝型材</v>
      </c>
      <c r="R332" s="227"/>
      <c r="S332" s="228"/>
      <c r="T332" s="467"/>
      <c r="U332" s="374" t="s">
        <v>995</v>
      </c>
      <c r="V332" s="266">
        <f>8-1+24.2-1</f>
        <v>30.2</v>
      </c>
      <c r="W332" s="266"/>
      <c r="X332" s="267">
        <f>4.2-1+24.2-1</f>
        <v>26.4</v>
      </c>
      <c r="Y332" s="268"/>
      <c r="Z332" s="267">
        <f>8-1+24.2-1</f>
        <v>30.2</v>
      </c>
      <c r="AA332" s="268"/>
      <c r="AB332" s="267">
        <f>4.2-1+24.2-1</f>
        <v>26.4</v>
      </c>
      <c r="AC332" s="268"/>
      <c r="AD332" s="267">
        <f>8-1+24.2-1</f>
        <v>30.2</v>
      </c>
      <c r="AE332" s="268"/>
      <c r="AF332" s="267">
        <f>7.3-1+24-1</f>
        <v>29.3</v>
      </c>
      <c r="AG332" s="268"/>
      <c r="AH332" s="267">
        <f>7.3-1+24-1</f>
        <v>29.3</v>
      </c>
      <c r="AI332" s="268"/>
      <c r="AJ332" s="267">
        <f>18.9-1</f>
        <v>17.899999999999999</v>
      </c>
      <c r="AK332" s="268"/>
    </row>
    <row r="333" spans="1:37" x14ac:dyDescent="0.15">
      <c r="A333" s="413">
        <v>17</v>
      </c>
      <c r="B333" s="534"/>
      <c r="C333" s="535"/>
      <c r="D333" s="535"/>
      <c r="E333" s="536"/>
      <c r="F333" s="47" t="str">
        <f>VLOOKUP($H:$H,型材表!$B$5:$I$448,2,0)</f>
        <v>中梃角码</v>
      </c>
      <c r="G333" s="51"/>
      <c r="H333" s="45" t="str">
        <f>IF(G302=50,"SW50F004","SN55F001")</f>
        <v>SN55F001</v>
      </c>
      <c r="I333" s="222" t="s">
        <v>1211</v>
      </c>
      <c r="J333" s="52">
        <f>IF(G302=55,V333,IF(G302=551,X333,IF(G302=60,Z333,IF(G302=601,AB333,IF(G302=65,AD333,IF(G302=70,AF333,IF(G302=75,AH333,IF(G302=50,AJ333))))))))</f>
        <v>18.5</v>
      </c>
      <c r="K333" s="45">
        <v>2</v>
      </c>
      <c r="L333" s="47">
        <f>VLOOKUP($H:$H,型材表!$B$5:$I$448,4,0)</f>
        <v>1.4730000000000001</v>
      </c>
      <c r="M333" s="46">
        <f t="shared" si="54"/>
        <v>5.4501000000000008E-2</v>
      </c>
      <c r="N333" s="72">
        <f>VLOOKUP($H:$H,型材表!$B$5:$I$448,7,0)</f>
        <v>0</v>
      </c>
      <c r="O333" s="46">
        <f t="shared" si="55"/>
        <v>0</v>
      </c>
      <c r="P333" s="100">
        <f>VLOOKUP($H:$H,型材表!$B$5:$I$448,5,0)</f>
        <v>0.125</v>
      </c>
      <c r="Q333" s="100" t="str">
        <f>VLOOKUP($H:$H,型材表!$B$5:$I$448,6,0)</f>
        <v>阳极氧化铝型材</v>
      </c>
      <c r="R333" s="49"/>
      <c r="S333" s="50"/>
      <c r="T333" s="459"/>
      <c r="U333" s="374" t="s">
        <v>1211</v>
      </c>
      <c r="V333" s="259">
        <f>19.5-1</f>
        <v>18.5</v>
      </c>
      <c r="X333" s="264">
        <f>19.5-1</f>
        <v>18.5</v>
      </c>
      <c r="Y333" s="265"/>
      <c r="Z333" s="286">
        <f>19.5-1</f>
        <v>18.5</v>
      </c>
      <c r="AA333" s="265"/>
      <c r="AB333" s="264">
        <f>19.5-1</f>
        <v>18.5</v>
      </c>
      <c r="AC333" s="265"/>
      <c r="AD333" s="286">
        <f>19.5-1</f>
        <v>18.5</v>
      </c>
      <c r="AE333" s="265"/>
      <c r="AF333" s="286">
        <f>19.5-1</f>
        <v>18.5</v>
      </c>
      <c r="AG333" s="265"/>
      <c r="AH333" s="286">
        <f>19.5-1</f>
        <v>18.5</v>
      </c>
      <c r="AI333" s="265"/>
      <c r="AJ333" s="264">
        <f>13.2-1</f>
        <v>12.2</v>
      </c>
      <c r="AK333" s="265"/>
    </row>
    <row r="334" spans="1:37" x14ac:dyDescent="0.15">
      <c r="A334" s="413">
        <v>18</v>
      </c>
      <c r="B334" s="534"/>
      <c r="C334" s="535"/>
      <c r="D334" s="535"/>
      <c r="E334" s="536"/>
      <c r="F334" s="47" t="str">
        <f>VLOOKUP($H:$H,型材表!$B$5:$I$448,2,0)</f>
        <v>中梃角码</v>
      </c>
      <c r="G334" s="213"/>
      <c r="H334" s="207" t="str">
        <f>IF(G302=501,"SN55BF001",IF(G302=601,"SN55BF001",IF(G302=70,"SN70F001",IF(G302=75,"SN70F001","SN55F002"))))</f>
        <v>SN55F002</v>
      </c>
      <c r="I334" s="207" t="s">
        <v>1212</v>
      </c>
      <c r="J334" s="214">
        <f>IF(G302=55,V334,IF(G302=551,X334,IF(G302=60,Z334,IF(G302=601,AB334,IF(G302=65,AD334,IF(G302=70,AF334,IF(G302=75,AH334,IF(G302=50,AJ334))))))))</f>
        <v>13.5</v>
      </c>
      <c r="K334" s="207">
        <v>2</v>
      </c>
      <c r="L334" s="47">
        <f>VLOOKUP($H:$H,型材表!$B$5:$I$448,4,0)</f>
        <v>0.90400000000000003</v>
      </c>
      <c r="M334" s="46">
        <f t="shared" si="54"/>
        <v>2.4408000000000003E-2</v>
      </c>
      <c r="N334" s="72">
        <f>VLOOKUP($H:$H,型材表!$B$5:$I$448,7,0)</f>
        <v>0</v>
      </c>
      <c r="O334" s="46">
        <f t="shared" si="55"/>
        <v>0</v>
      </c>
      <c r="P334" s="100">
        <f>VLOOKUP($H:$H,型材表!$B$5:$I$448,5,0)</f>
        <v>0.125</v>
      </c>
      <c r="Q334" s="100" t="str">
        <f>VLOOKUP($H:$H,型材表!$B$5:$I$448,6,0)</f>
        <v>阳极氧化铝型材</v>
      </c>
      <c r="R334" s="210"/>
      <c r="S334" s="50"/>
      <c r="T334" s="459"/>
      <c r="U334" s="374" t="s">
        <v>1212</v>
      </c>
      <c r="V334" s="259">
        <f>14.5-1</f>
        <v>13.5</v>
      </c>
      <c r="X334" s="264">
        <f>10.7-1</f>
        <v>9.6999999999999993</v>
      </c>
      <c r="Y334" s="265"/>
      <c r="Z334" s="286">
        <f>14.5-1</f>
        <v>13.5</v>
      </c>
      <c r="AA334" s="265"/>
      <c r="AB334" s="264">
        <f>10.7-1</f>
        <v>9.6999999999999993</v>
      </c>
      <c r="AC334" s="265"/>
      <c r="AD334" s="286">
        <f>14.5-1</f>
        <v>13.5</v>
      </c>
      <c r="AE334" s="265"/>
      <c r="AF334" s="286">
        <f>14.5-1</f>
        <v>13.5</v>
      </c>
      <c r="AG334" s="265"/>
      <c r="AH334" s="286">
        <f>14.5-1</f>
        <v>13.5</v>
      </c>
      <c r="AI334" s="265"/>
      <c r="AJ334" s="264"/>
      <c r="AK334" s="265"/>
    </row>
    <row r="335" spans="1:37" x14ac:dyDescent="0.15">
      <c r="A335" s="413">
        <v>19</v>
      </c>
      <c r="B335" s="534"/>
      <c r="C335" s="535"/>
      <c r="D335" s="535"/>
      <c r="E335" s="536"/>
      <c r="F335" s="306"/>
      <c r="G335" s="213"/>
      <c r="H335" s="207"/>
      <c r="I335" s="207"/>
      <c r="J335" s="214"/>
      <c r="K335" s="207"/>
      <c r="L335" s="306"/>
      <c r="M335" s="208"/>
      <c r="N335" s="209"/>
      <c r="O335" s="208"/>
      <c r="P335" s="307"/>
      <c r="Q335" s="100"/>
      <c r="R335" s="210"/>
      <c r="S335" s="50"/>
      <c r="T335" s="459"/>
      <c r="X335" s="264"/>
      <c r="Y335" s="265"/>
      <c r="Z335" s="264"/>
      <c r="AA335" s="265"/>
      <c r="AB335" s="264"/>
      <c r="AC335" s="265"/>
      <c r="AD335" s="264"/>
      <c r="AE335" s="265"/>
      <c r="AF335" s="264"/>
      <c r="AG335" s="265"/>
      <c r="AH335" s="264"/>
      <c r="AI335" s="265"/>
      <c r="AJ335" s="264"/>
      <c r="AK335" s="265"/>
    </row>
    <row r="336" spans="1:37" x14ac:dyDescent="0.15">
      <c r="A336" s="413">
        <v>20</v>
      </c>
      <c r="B336" s="534"/>
      <c r="C336" s="535"/>
      <c r="D336" s="535"/>
      <c r="E336" s="536"/>
      <c r="F336" s="306"/>
      <c r="G336" s="213"/>
      <c r="H336" s="207"/>
      <c r="I336" s="207"/>
      <c r="J336" s="214"/>
      <c r="K336" s="207"/>
      <c r="L336" s="306"/>
      <c r="M336" s="208"/>
      <c r="N336" s="209"/>
      <c r="O336" s="208"/>
      <c r="P336" s="307"/>
      <c r="Q336" s="100"/>
      <c r="R336" s="210"/>
      <c r="S336" s="50"/>
      <c r="T336" s="459"/>
      <c r="X336" s="264"/>
      <c r="Y336" s="265"/>
      <c r="Z336" s="264"/>
      <c r="AA336" s="265"/>
      <c r="AB336" s="264"/>
      <c r="AC336" s="265"/>
      <c r="AD336" s="264"/>
      <c r="AE336" s="265"/>
      <c r="AF336" s="264"/>
      <c r="AG336" s="265"/>
      <c r="AH336" s="264"/>
      <c r="AI336" s="265"/>
      <c r="AJ336" s="264"/>
      <c r="AK336" s="265"/>
    </row>
    <row r="337" spans="1:37" x14ac:dyDescent="0.15">
      <c r="A337" s="413">
        <v>21</v>
      </c>
      <c r="B337" s="534"/>
      <c r="C337" s="535"/>
      <c r="D337" s="535"/>
      <c r="E337" s="536"/>
      <c r="F337" s="306"/>
      <c r="G337" s="213"/>
      <c r="H337" s="207"/>
      <c r="I337" s="207"/>
      <c r="J337" s="214"/>
      <c r="K337" s="207"/>
      <c r="L337" s="306"/>
      <c r="M337" s="208"/>
      <c r="N337" s="209"/>
      <c r="O337" s="208"/>
      <c r="P337" s="307"/>
      <c r="Q337" s="100"/>
      <c r="R337" s="210"/>
      <c r="S337" s="50"/>
      <c r="T337" s="459"/>
      <c r="X337" s="264"/>
      <c r="Y337" s="265"/>
      <c r="Z337" s="264"/>
      <c r="AA337" s="265"/>
      <c r="AB337" s="264"/>
      <c r="AC337" s="265"/>
      <c r="AD337" s="264"/>
      <c r="AE337" s="265"/>
      <c r="AF337" s="264"/>
      <c r="AG337" s="265"/>
      <c r="AH337" s="264"/>
      <c r="AI337" s="265"/>
      <c r="AJ337" s="264"/>
      <c r="AK337" s="265"/>
    </row>
    <row r="338" spans="1:37" x14ac:dyDescent="0.15">
      <c r="A338" s="413">
        <v>22</v>
      </c>
      <c r="B338" s="534"/>
      <c r="C338" s="535"/>
      <c r="D338" s="535"/>
      <c r="E338" s="536"/>
      <c r="F338" s="306"/>
      <c r="G338" s="213"/>
      <c r="H338" s="207"/>
      <c r="I338" s="207"/>
      <c r="J338" s="214"/>
      <c r="K338" s="207"/>
      <c r="L338" s="306"/>
      <c r="M338" s="208"/>
      <c r="N338" s="209"/>
      <c r="O338" s="208"/>
      <c r="P338" s="307"/>
      <c r="Q338" s="100"/>
      <c r="R338" s="210"/>
      <c r="S338" s="50"/>
      <c r="T338" s="459"/>
      <c r="X338" s="264"/>
      <c r="Y338" s="265"/>
      <c r="Z338" s="264"/>
      <c r="AA338" s="265"/>
      <c r="AB338" s="264"/>
      <c r="AC338" s="265"/>
      <c r="AD338" s="264"/>
      <c r="AE338" s="265"/>
      <c r="AF338" s="264"/>
      <c r="AG338" s="265"/>
      <c r="AH338" s="264"/>
      <c r="AI338" s="265"/>
      <c r="AJ338" s="264"/>
      <c r="AK338" s="265"/>
    </row>
    <row r="339" spans="1:37" x14ac:dyDescent="0.15">
      <c r="A339" s="413">
        <v>23</v>
      </c>
      <c r="B339" s="534"/>
      <c r="C339" s="535"/>
      <c r="D339" s="535"/>
      <c r="E339" s="536"/>
      <c r="F339" s="306"/>
      <c r="G339" s="213"/>
      <c r="H339" s="207"/>
      <c r="I339" s="207"/>
      <c r="J339" s="214"/>
      <c r="K339" s="207"/>
      <c r="L339" s="306"/>
      <c r="M339" s="208"/>
      <c r="N339" s="209"/>
      <c r="O339" s="208"/>
      <c r="P339" s="307"/>
      <c r="Q339" s="307"/>
      <c r="R339" s="210"/>
      <c r="S339" s="50"/>
      <c r="T339" s="459"/>
      <c r="X339" s="264"/>
      <c r="Y339" s="265"/>
      <c r="Z339" s="264"/>
      <c r="AA339" s="265"/>
      <c r="AB339" s="264"/>
      <c r="AC339" s="265"/>
      <c r="AD339" s="264"/>
      <c r="AE339" s="265"/>
      <c r="AF339" s="264"/>
      <c r="AG339" s="265"/>
      <c r="AH339" s="264"/>
      <c r="AI339" s="265"/>
      <c r="AJ339" s="264"/>
      <c r="AK339" s="265"/>
    </row>
    <row r="340" spans="1:37" x14ac:dyDescent="0.15">
      <c r="A340" s="413">
        <v>24</v>
      </c>
      <c r="B340" s="534"/>
      <c r="C340" s="535"/>
      <c r="D340" s="535"/>
      <c r="E340" s="536"/>
      <c r="F340" s="306"/>
      <c r="G340" s="213"/>
      <c r="H340" s="207"/>
      <c r="I340" s="207"/>
      <c r="J340" s="214"/>
      <c r="K340" s="207"/>
      <c r="L340" s="306"/>
      <c r="M340" s="208"/>
      <c r="N340" s="209"/>
      <c r="O340" s="208"/>
      <c r="P340" s="307"/>
      <c r="Q340" s="307"/>
      <c r="R340" s="210"/>
      <c r="S340" s="50"/>
      <c r="T340" s="459"/>
      <c r="X340" s="264"/>
      <c r="Y340" s="265"/>
      <c r="Z340" s="264"/>
      <c r="AA340" s="265"/>
      <c r="AB340" s="264"/>
      <c r="AC340" s="265"/>
      <c r="AD340" s="264"/>
      <c r="AE340" s="265"/>
      <c r="AF340" s="264"/>
      <c r="AG340" s="265"/>
      <c r="AH340" s="264"/>
      <c r="AI340" s="265"/>
      <c r="AJ340" s="264"/>
      <c r="AK340" s="265"/>
    </row>
    <row r="341" spans="1:37" x14ac:dyDescent="0.15">
      <c r="A341" s="413">
        <v>25</v>
      </c>
      <c r="B341" s="534"/>
      <c r="C341" s="535"/>
      <c r="D341" s="535"/>
      <c r="E341" s="536"/>
      <c r="F341" s="306"/>
      <c r="G341" s="213"/>
      <c r="H341" s="207"/>
      <c r="I341" s="207"/>
      <c r="J341" s="214"/>
      <c r="K341" s="207"/>
      <c r="L341" s="306"/>
      <c r="M341" s="208"/>
      <c r="N341" s="209"/>
      <c r="O341" s="208"/>
      <c r="P341" s="307"/>
      <c r="Q341" s="100"/>
      <c r="R341" s="210"/>
      <c r="S341" s="50"/>
      <c r="T341" s="459"/>
      <c r="X341" s="264"/>
      <c r="Y341" s="265"/>
      <c r="Z341" s="264"/>
      <c r="AA341" s="265"/>
      <c r="AB341" s="264"/>
      <c r="AC341" s="265"/>
      <c r="AD341" s="264"/>
      <c r="AE341" s="265"/>
      <c r="AF341" s="264"/>
      <c r="AG341" s="265"/>
      <c r="AH341" s="264"/>
      <c r="AI341" s="265"/>
      <c r="AJ341" s="264"/>
      <c r="AK341" s="265"/>
    </row>
    <row r="342" spans="1:37" x14ac:dyDescent="0.15">
      <c r="A342" s="413">
        <v>26</v>
      </c>
      <c r="B342" s="534"/>
      <c r="C342" s="535"/>
      <c r="D342" s="535"/>
      <c r="E342" s="536"/>
      <c r="F342" s="47"/>
      <c r="G342" s="213"/>
      <c r="H342" s="207"/>
      <c r="I342" s="207"/>
      <c r="J342" s="214"/>
      <c r="K342" s="207"/>
      <c r="L342" s="47"/>
      <c r="M342" s="46"/>
      <c r="N342" s="72"/>
      <c r="O342" s="46"/>
      <c r="P342" s="100"/>
      <c r="Q342" s="100"/>
      <c r="R342" s="210"/>
      <c r="S342" s="50"/>
      <c r="T342" s="459"/>
      <c r="X342" s="264"/>
      <c r="Y342" s="265"/>
      <c r="Z342" s="264"/>
      <c r="AA342" s="265"/>
      <c r="AB342" s="264"/>
      <c r="AC342" s="265"/>
      <c r="AD342" s="264"/>
      <c r="AE342" s="265"/>
      <c r="AF342" s="264"/>
      <c r="AG342" s="265"/>
      <c r="AH342" s="264"/>
      <c r="AI342" s="265"/>
      <c r="AJ342" s="264"/>
      <c r="AK342" s="265"/>
    </row>
    <row r="343" spans="1:37" s="229" customFormat="1" x14ac:dyDescent="0.15">
      <c r="A343" s="413">
        <v>27</v>
      </c>
      <c r="B343" s="537"/>
      <c r="C343" s="538"/>
      <c r="D343" s="538"/>
      <c r="E343" s="539"/>
      <c r="F343" s="221"/>
      <c r="G343" s="232"/>
      <c r="H343" s="233"/>
      <c r="I343" s="222"/>
      <c r="J343" s="234"/>
      <c r="K343" s="233"/>
      <c r="L343" s="221"/>
      <c r="M343" s="224"/>
      <c r="N343" s="225"/>
      <c r="O343" s="224"/>
      <c r="P343" s="226"/>
      <c r="Q343" s="226"/>
      <c r="R343" s="235"/>
      <c r="S343" s="228"/>
      <c r="T343" s="467"/>
      <c r="U343" s="375"/>
      <c r="V343" s="266"/>
      <c r="W343" s="266"/>
      <c r="X343" s="267"/>
      <c r="Y343" s="268"/>
      <c r="Z343" s="267"/>
      <c r="AA343" s="268"/>
      <c r="AB343" s="267"/>
      <c r="AC343" s="268"/>
      <c r="AD343" s="267"/>
      <c r="AE343" s="268"/>
      <c r="AF343" s="267"/>
      <c r="AG343" s="268"/>
      <c r="AH343" s="267"/>
      <c r="AI343" s="268"/>
      <c r="AJ343" s="267"/>
      <c r="AK343" s="268"/>
    </row>
    <row r="344" spans="1:37" s="229" customFormat="1" ht="13.5" customHeight="1" x14ac:dyDescent="0.15">
      <c r="A344" s="542" t="s">
        <v>975</v>
      </c>
      <c r="B344" s="543"/>
      <c r="C344" s="543"/>
      <c r="D344" s="543"/>
      <c r="E344" s="543"/>
      <c r="F344" s="543"/>
      <c r="G344" s="543"/>
      <c r="H344" s="543"/>
      <c r="I344" s="543"/>
      <c r="J344" s="543"/>
      <c r="K344" s="543"/>
      <c r="L344" s="544"/>
      <c r="M344" s="224">
        <f>SUMIF($Q$317:$Q$343,A344,$M$317:$M$343)</f>
        <v>15.781458600000001</v>
      </c>
      <c r="N344" s="353"/>
      <c r="O344" s="224"/>
      <c r="P344" s="354"/>
      <c r="Q344" s="355"/>
      <c r="R344" s="296"/>
      <c r="S344" s="228"/>
      <c r="T344" s="467"/>
      <c r="U344" s="375"/>
      <c r="V344" s="266"/>
      <c r="W344" s="266"/>
      <c r="X344" s="267"/>
      <c r="Y344" s="268"/>
      <c r="Z344" s="267"/>
      <c r="AA344" s="268"/>
      <c r="AB344" s="267"/>
      <c r="AC344" s="268"/>
      <c r="AD344" s="267"/>
      <c r="AE344" s="268"/>
      <c r="AF344" s="267"/>
      <c r="AG344" s="268"/>
      <c r="AH344" s="267"/>
      <c r="AI344" s="268"/>
      <c r="AJ344" s="267"/>
      <c r="AK344" s="268"/>
    </row>
    <row r="345" spans="1:37" s="229" customFormat="1" ht="13.5" customHeight="1" x14ac:dyDescent="0.15">
      <c r="A345" s="542" t="s">
        <v>976</v>
      </c>
      <c r="B345" s="543"/>
      <c r="C345" s="543"/>
      <c r="D345" s="543"/>
      <c r="E345" s="543"/>
      <c r="F345" s="543"/>
      <c r="G345" s="543"/>
      <c r="H345" s="543"/>
      <c r="I345" s="543"/>
      <c r="J345" s="543"/>
      <c r="K345" s="543"/>
      <c r="L345" s="544"/>
      <c r="M345" s="224">
        <f>SUMIF($Q$317:$Q$343,A345,$M$317:$M$343)</f>
        <v>1.5572352</v>
      </c>
      <c r="N345" s="353"/>
      <c r="O345" s="224"/>
      <c r="P345" s="354"/>
      <c r="Q345" s="355"/>
      <c r="R345" s="296"/>
      <c r="S345" s="228"/>
      <c r="T345" s="467"/>
      <c r="U345" s="375"/>
      <c r="V345" s="266"/>
      <c r="W345" s="266"/>
      <c r="X345" s="267"/>
      <c r="Y345" s="268"/>
      <c r="Z345" s="267"/>
      <c r="AA345" s="268"/>
      <c r="AB345" s="267"/>
      <c r="AC345" s="268"/>
      <c r="AD345" s="267"/>
      <c r="AE345" s="268"/>
      <c r="AF345" s="267"/>
      <c r="AG345" s="268"/>
      <c r="AH345" s="267"/>
      <c r="AI345" s="268"/>
      <c r="AJ345" s="267"/>
      <c r="AK345" s="268"/>
    </row>
    <row r="346" spans="1:37" s="229" customFormat="1" ht="13.5" customHeight="1" x14ac:dyDescent="0.15">
      <c r="A346" s="542" t="s">
        <v>977</v>
      </c>
      <c r="B346" s="543"/>
      <c r="C346" s="543"/>
      <c r="D346" s="543"/>
      <c r="E346" s="543"/>
      <c r="F346" s="543"/>
      <c r="G346" s="543"/>
      <c r="H346" s="543"/>
      <c r="I346" s="543"/>
      <c r="J346" s="543"/>
      <c r="K346" s="543"/>
      <c r="L346" s="544"/>
      <c r="M346" s="224">
        <f>SUMIF($Q$317:$Q$343,A346,$M$317:$M$343)</f>
        <v>0.71066180000000012</v>
      </c>
      <c r="N346" s="353"/>
      <c r="O346" s="224"/>
      <c r="P346" s="354"/>
      <c r="Q346" s="355"/>
      <c r="R346" s="296"/>
      <c r="S346" s="228"/>
      <c r="T346" s="467"/>
      <c r="U346" s="375"/>
      <c r="V346" s="266"/>
      <c r="W346" s="266"/>
      <c r="X346" s="267"/>
      <c r="Y346" s="268"/>
      <c r="Z346" s="267"/>
      <c r="AA346" s="268"/>
      <c r="AB346" s="267"/>
      <c r="AC346" s="268"/>
      <c r="AD346" s="267"/>
      <c r="AE346" s="268"/>
      <c r="AF346" s="267"/>
      <c r="AG346" s="268"/>
      <c r="AH346" s="267"/>
      <c r="AI346" s="268"/>
      <c r="AJ346" s="267"/>
      <c r="AK346" s="268"/>
    </row>
    <row r="347" spans="1:37" ht="13.5" customHeight="1" x14ac:dyDescent="0.15">
      <c r="A347" s="552"/>
      <c r="B347" s="557"/>
      <c r="C347" s="557"/>
      <c r="D347" s="553"/>
      <c r="E347" s="552" t="s">
        <v>48</v>
      </c>
      <c r="F347" s="557"/>
      <c r="G347" s="557"/>
      <c r="H347" s="557"/>
      <c r="I347" s="557"/>
      <c r="J347" s="557"/>
      <c r="K347" s="553"/>
      <c r="L347" s="62"/>
      <c r="M347" s="62">
        <f>SUM(M344:M346)</f>
        <v>18.049355600000002</v>
      </c>
      <c r="N347" s="63"/>
      <c r="O347" s="62">
        <f>SUM(O317:O343)</f>
        <v>0</v>
      </c>
      <c r="P347" s="63"/>
      <c r="Q347" s="337"/>
      <c r="R347" s="64"/>
      <c r="S347" s="64"/>
      <c r="T347" s="460"/>
      <c r="X347" s="264"/>
      <c r="Y347" s="265"/>
      <c r="Z347" s="264"/>
      <c r="AA347" s="265"/>
      <c r="AB347" s="264"/>
      <c r="AC347" s="265"/>
      <c r="AD347" s="264"/>
      <c r="AE347" s="265"/>
      <c r="AF347" s="264"/>
      <c r="AG347" s="265"/>
      <c r="AH347" s="264"/>
      <c r="AI347" s="265"/>
      <c r="AJ347" s="264"/>
      <c r="AK347" s="265"/>
    </row>
    <row r="348" spans="1:37" ht="24" x14ac:dyDescent="0.15">
      <c r="A348" s="65"/>
      <c r="B348" s="560" t="s">
        <v>49</v>
      </c>
      <c r="C348" s="561"/>
      <c r="D348" s="561"/>
      <c r="E348" s="562"/>
      <c r="F348" s="565" t="s">
        <v>26</v>
      </c>
      <c r="G348" s="566"/>
      <c r="H348" s="66" t="s">
        <v>1167</v>
      </c>
      <c r="I348" s="351" t="s">
        <v>1168</v>
      </c>
      <c r="J348" s="66" t="s">
        <v>50</v>
      </c>
      <c r="K348" s="66" t="s">
        <v>51</v>
      </c>
      <c r="L348" s="67" t="s">
        <v>30</v>
      </c>
      <c r="M348" s="66" t="s">
        <v>52</v>
      </c>
      <c r="N348" s="68" t="s">
        <v>53</v>
      </c>
      <c r="O348" s="68" t="s">
        <v>34</v>
      </c>
      <c r="P348" s="69" t="s">
        <v>35</v>
      </c>
      <c r="Q348" s="42"/>
      <c r="R348" s="67"/>
      <c r="S348" s="67"/>
      <c r="T348" s="461"/>
      <c r="V348" s="270" t="s">
        <v>352</v>
      </c>
      <c r="W348" s="270" t="s">
        <v>353</v>
      </c>
      <c r="X348" s="271" t="s">
        <v>352</v>
      </c>
      <c r="Y348" s="272" t="s">
        <v>353</v>
      </c>
      <c r="Z348" s="271" t="s">
        <v>352</v>
      </c>
      <c r="AA348" s="272" t="s">
        <v>353</v>
      </c>
      <c r="AB348" s="271" t="s">
        <v>352</v>
      </c>
      <c r="AC348" s="272" t="s">
        <v>353</v>
      </c>
      <c r="AD348" s="271" t="s">
        <v>352</v>
      </c>
      <c r="AE348" s="272" t="s">
        <v>353</v>
      </c>
      <c r="AF348" s="271" t="s">
        <v>352</v>
      </c>
      <c r="AG348" s="272" t="s">
        <v>353</v>
      </c>
      <c r="AH348" s="271" t="s">
        <v>352</v>
      </c>
      <c r="AI348" s="272" t="s">
        <v>353</v>
      </c>
      <c r="AJ348" s="271" t="s">
        <v>352</v>
      </c>
      <c r="AK348" s="272" t="s">
        <v>353</v>
      </c>
    </row>
    <row r="349" spans="1:37" x14ac:dyDescent="0.15">
      <c r="A349" s="302">
        <v>1</v>
      </c>
      <c r="B349" s="542" t="s">
        <v>133</v>
      </c>
      <c r="C349" s="543"/>
      <c r="D349" s="543"/>
      <c r="E349" s="544"/>
      <c r="F349" s="545" t="s">
        <v>55</v>
      </c>
      <c r="G349" s="547"/>
      <c r="H349" s="45" t="s">
        <v>1311</v>
      </c>
      <c r="I349" s="207" t="s">
        <v>1643</v>
      </c>
      <c r="J349" s="46">
        <f>IF(G302=55,M309-V349,IF(G302=551,M309-X349,IF(G302=60,M309-Z349,IF(G302=601,M309-AB349,IF(G302=65,M309-AD349,IF(G302=70,M309-AF349,IF(G302=75,M309-AH349,IF(G302=50,M309-AJ349))))))))</f>
        <v>495.2</v>
      </c>
      <c r="K349" s="70">
        <f>IF(G302=55,M306-W349,IF(G302=551,M306-Y349,IF(G302=60,M306-AA349,IF(G302=601,M306-AC349,IF(G302=65,M306-AE349,IF(G302=70,M306-AG349,IF(G302=75,M306-AI349,IF(G302=50,M306-AK349))))))))</f>
        <v>1080.2</v>
      </c>
      <c r="L349" s="70">
        <v>1</v>
      </c>
      <c r="M349" s="46">
        <f>J349*K349*L349/1000000</f>
        <v>0.53491504000000001</v>
      </c>
      <c r="N349" s="46"/>
      <c r="O349" s="46">
        <f>N349*M349</f>
        <v>0</v>
      </c>
      <c r="P349" s="71"/>
      <c r="Q349" s="71"/>
      <c r="R349" s="72"/>
      <c r="S349" s="72"/>
      <c r="T349" s="462" t="s">
        <v>1621</v>
      </c>
      <c r="U349" s="374" t="s">
        <v>1642</v>
      </c>
      <c r="V349" s="259">
        <f t="shared" ref="V349:AD349" si="60">109.9+94.9</f>
        <v>204.8</v>
      </c>
      <c r="W349" s="259">
        <f>109.9*2</f>
        <v>219.8</v>
      </c>
      <c r="X349" s="286">
        <f t="shared" si="60"/>
        <v>204.8</v>
      </c>
      <c r="Y349" s="304">
        <f>109.9*2</f>
        <v>219.8</v>
      </c>
      <c r="Z349" s="286">
        <f t="shared" si="60"/>
        <v>204.8</v>
      </c>
      <c r="AA349" s="304">
        <f>109.9*2</f>
        <v>219.8</v>
      </c>
      <c r="AB349" s="286">
        <f t="shared" si="60"/>
        <v>204.8</v>
      </c>
      <c r="AC349" s="304">
        <f>109.9*2</f>
        <v>219.8</v>
      </c>
      <c r="AD349" s="286">
        <f t="shared" si="60"/>
        <v>204.8</v>
      </c>
      <c r="AE349" s="304">
        <f>109.9*2</f>
        <v>219.8</v>
      </c>
      <c r="AF349" s="286">
        <f>117.4+102.4</f>
        <v>219.8</v>
      </c>
      <c r="AG349" s="304">
        <f>117.4*2</f>
        <v>234.8</v>
      </c>
      <c r="AH349" s="286">
        <f>117.4+102.4</f>
        <v>219.8</v>
      </c>
      <c r="AI349" s="304">
        <f>117.4*2</f>
        <v>234.8</v>
      </c>
      <c r="AJ349" s="259">
        <f>98.4+83.1</f>
        <v>181.5</v>
      </c>
      <c r="AK349" s="265">
        <f>98.4*2</f>
        <v>196.8</v>
      </c>
    </row>
    <row r="350" spans="1:37" x14ac:dyDescent="0.15">
      <c r="A350" s="238">
        <v>2</v>
      </c>
      <c r="B350" s="542" t="s">
        <v>134</v>
      </c>
      <c r="C350" s="543"/>
      <c r="D350" s="543"/>
      <c r="E350" s="544"/>
      <c r="F350" s="545" t="s">
        <v>135</v>
      </c>
      <c r="G350" s="547"/>
      <c r="H350" s="207" t="s">
        <v>1306</v>
      </c>
      <c r="I350" s="207" t="s">
        <v>1307</v>
      </c>
      <c r="J350" s="208">
        <f>IF(G302=55,M310-V350,IF(G302=551,M310-X350,IF(G302=60,M310-Z350,IF(G302=601,M310-AB350,IF(G302=65,M310-AD350,IF(G302=70,M310-AF350,IF(G302=75,M310-AH350,IF(G302=50,M310-AJ350))))))))</f>
        <v>747</v>
      </c>
      <c r="K350" s="239">
        <f>IF(G302=55,M304-W350,IF(G302=551,M304-Y350,IF(G302=60,M304-AA350,IF(G302=601,M304-AC350,IF(G302=65,M304-AE350,IF(G302=70,M304-AG350,IF(G302=75,M304-AI350,IF(G302=50,M304-AK350))))))))</f>
        <v>1230</v>
      </c>
      <c r="L350" s="239">
        <v>1</v>
      </c>
      <c r="M350" s="46">
        <f>J350*K350*L350/1000000</f>
        <v>0.91881000000000002</v>
      </c>
      <c r="N350" s="208"/>
      <c r="O350" s="46">
        <f>N350*M350</f>
        <v>0</v>
      </c>
      <c r="P350" s="240"/>
      <c r="Q350" s="71"/>
      <c r="R350" s="209"/>
      <c r="S350" s="209"/>
      <c r="T350" s="462" t="s">
        <v>1622</v>
      </c>
      <c r="U350" s="374" t="s">
        <v>1623</v>
      </c>
      <c r="V350" s="259">
        <f>18+35</f>
        <v>53</v>
      </c>
      <c r="W350" s="259">
        <f>35*2</f>
        <v>70</v>
      </c>
      <c r="X350" s="286">
        <f>18+35</f>
        <v>53</v>
      </c>
      <c r="Y350" s="259">
        <f>35*2</f>
        <v>70</v>
      </c>
      <c r="Z350" s="286">
        <f>18+35</f>
        <v>53</v>
      </c>
      <c r="AA350" s="259">
        <f>35*2</f>
        <v>70</v>
      </c>
      <c r="AB350" s="286">
        <f>18+35</f>
        <v>53</v>
      </c>
      <c r="AC350" s="259">
        <f>35*2</f>
        <v>70</v>
      </c>
      <c r="AD350" s="286">
        <f>18+35</f>
        <v>53</v>
      </c>
      <c r="AE350" s="259">
        <f>35*2</f>
        <v>70</v>
      </c>
      <c r="AF350" s="286">
        <f>20+35</f>
        <v>55</v>
      </c>
      <c r="AG350" s="259">
        <f>35*2</f>
        <v>70</v>
      </c>
      <c r="AH350" s="286">
        <f>20+35</f>
        <v>55</v>
      </c>
      <c r="AI350" s="259">
        <f>35*2</f>
        <v>70</v>
      </c>
      <c r="AJ350" s="264">
        <f>16+31.3</f>
        <v>47.3</v>
      </c>
      <c r="AK350" s="265">
        <f>31.3*2</f>
        <v>62.6</v>
      </c>
    </row>
    <row r="351" spans="1:37" x14ac:dyDescent="0.15">
      <c r="A351" s="414"/>
      <c r="B351" s="446"/>
      <c r="C351" s="447"/>
      <c r="D351" s="447"/>
      <c r="E351" s="448"/>
      <c r="F351" s="434"/>
      <c r="G351" s="436"/>
      <c r="H351" s="207"/>
      <c r="I351" s="207"/>
      <c r="J351" s="208"/>
      <c r="K351" s="239"/>
      <c r="L351" s="239"/>
      <c r="M351" s="208"/>
      <c r="N351" s="208"/>
      <c r="O351" s="208"/>
      <c r="P351" s="240"/>
      <c r="Q351" s="240"/>
      <c r="R351" s="209"/>
      <c r="S351" s="209"/>
      <c r="T351" s="462"/>
      <c r="X351" s="286"/>
      <c r="Z351" s="286"/>
      <c r="AA351" s="259"/>
      <c r="AB351" s="286"/>
      <c r="AC351" s="259"/>
      <c r="AD351" s="286"/>
      <c r="AE351" s="259"/>
      <c r="AF351" s="286"/>
      <c r="AG351" s="259"/>
      <c r="AH351" s="286"/>
      <c r="AI351" s="259"/>
      <c r="AJ351" s="264"/>
      <c r="AK351" s="265"/>
    </row>
    <row r="352" spans="1:37" x14ac:dyDescent="0.15">
      <c r="A352" s="414"/>
      <c r="B352" s="446"/>
      <c r="C352" s="447"/>
      <c r="D352" s="447"/>
      <c r="E352" s="448"/>
      <c r="F352" s="434"/>
      <c r="G352" s="436"/>
      <c r="H352" s="207"/>
      <c r="I352" s="207"/>
      <c r="J352" s="208"/>
      <c r="K352" s="239"/>
      <c r="L352" s="239"/>
      <c r="M352" s="208"/>
      <c r="N352" s="208"/>
      <c r="O352" s="208"/>
      <c r="P352" s="240"/>
      <c r="Q352" s="240"/>
      <c r="R352" s="209"/>
      <c r="S352" s="209"/>
      <c r="T352" s="462"/>
      <c r="X352" s="286"/>
      <c r="Z352" s="286"/>
      <c r="AA352" s="259"/>
      <c r="AB352" s="286"/>
      <c r="AC352" s="259"/>
      <c r="AD352" s="286"/>
      <c r="AE352" s="259"/>
      <c r="AF352" s="286"/>
      <c r="AG352" s="259"/>
      <c r="AH352" s="286"/>
      <c r="AI352" s="259"/>
      <c r="AJ352" s="264"/>
      <c r="AK352" s="265"/>
    </row>
    <row r="353" spans="1:37" x14ac:dyDescent="0.15">
      <c r="A353" s="302"/>
      <c r="B353" s="542"/>
      <c r="C353" s="543"/>
      <c r="D353" s="543"/>
      <c r="E353" s="544"/>
      <c r="F353" s="545"/>
      <c r="G353" s="547"/>
      <c r="H353" s="45"/>
      <c r="I353" s="207"/>
      <c r="J353" s="45"/>
      <c r="K353" s="45"/>
      <c r="L353" s="70"/>
      <c r="M353" s="46"/>
      <c r="N353" s="46"/>
      <c r="O353" s="46"/>
      <c r="P353" s="71"/>
      <c r="Q353" s="71"/>
      <c r="R353" s="72"/>
      <c r="S353" s="72"/>
      <c r="T353" s="462"/>
      <c r="X353" s="264"/>
      <c r="Y353" s="265"/>
      <c r="Z353" s="264"/>
      <c r="AA353" s="265"/>
      <c r="AB353" s="264"/>
      <c r="AC353" s="265"/>
      <c r="AD353" s="264"/>
      <c r="AE353" s="265"/>
      <c r="AF353" s="264"/>
      <c r="AG353" s="265"/>
      <c r="AH353" s="264"/>
      <c r="AI353" s="265"/>
      <c r="AJ353" s="264"/>
      <c r="AK353" s="265"/>
    </row>
    <row r="354" spans="1:37" x14ac:dyDescent="0.15">
      <c r="A354" s="302"/>
      <c r="B354" s="542"/>
      <c r="C354" s="543"/>
      <c r="D354" s="543"/>
      <c r="E354" s="544"/>
      <c r="F354" s="545"/>
      <c r="G354" s="547"/>
      <c r="H354" s="45"/>
      <c r="I354" s="207"/>
      <c r="J354" s="46"/>
      <c r="K354" s="302"/>
      <c r="L354" s="70"/>
      <c r="M354" s="46"/>
      <c r="N354" s="46"/>
      <c r="O354" s="46"/>
      <c r="P354" s="48"/>
      <c r="Q354" s="48"/>
      <c r="R354" s="73"/>
      <c r="S354" s="73"/>
      <c r="T354" s="463"/>
      <c r="X354" s="264"/>
      <c r="Y354" s="265"/>
      <c r="Z354" s="264"/>
      <c r="AA354" s="265"/>
    </row>
    <row r="355" spans="1:37" x14ac:dyDescent="0.15">
      <c r="A355" s="74"/>
      <c r="B355" s="552"/>
      <c r="C355" s="557"/>
      <c r="D355" s="557"/>
      <c r="E355" s="553"/>
      <c r="F355" s="554" t="s">
        <v>56</v>
      </c>
      <c r="G355" s="554"/>
      <c r="H355" s="554"/>
      <c r="I355" s="579"/>
      <c r="J355" s="570"/>
      <c r="K355" s="570"/>
      <c r="L355" s="554"/>
      <c r="M355" s="62">
        <f>SUM(M349:M354)</f>
        <v>1.4537250400000001</v>
      </c>
      <c r="N355" s="300"/>
      <c r="O355" s="62">
        <f>SUM(O349:O354)</f>
        <v>0</v>
      </c>
      <c r="P355" s="63" t="s">
        <v>57</v>
      </c>
      <c r="Q355" s="337"/>
      <c r="R355" s="64"/>
      <c r="S355" s="64"/>
      <c r="T355" s="460"/>
    </row>
    <row r="356" spans="1:37" ht="24" x14ac:dyDescent="0.15">
      <c r="A356" s="65"/>
      <c r="B356" s="560" t="s">
        <v>58</v>
      </c>
      <c r="C356" s="561"/>
      <c r="D356" s="561"/>
      <c r="E356" s="562"/>
      <c r="F356" s="565" t="s">
        <v>26</v>
      </c>
      <c r="G356" s="566"/>
      <c r="H356" s="66" t="s">
        <v>59</v>
      </c>
      <c r="I356" s="351"/>
      <c r="J356" s="66" t="s">
        <v>60</v>
      </c>
      <c r="K356" s="66" t="s">
        <v>6</v>
      </c>
      <c r="L356" s="67" t="s">
        <v>61</v>
      </c>
      <c r="M356" s="66" t="s">
        <v>30</v>
      </c>
      <c r="N356" s="68" t="s">
        <v>62</v>
      </c>
      <c r="O356" s="68" t="s">
        <v>34</v>
      </c>
      <c r="P356" s="69" t="s">
        <v>57</v>
      </c>
      <c r="Q356" s="42"/>
      <c r="R356" s="67"/>
      <c r="S356" s="67"/>
      <c r="T356" s="461"/>
    </row>
    <row r="357" spans="1:37" ht="25.5" customHeight="1" x14ac:dyDescent="0.15">
      <c r="A357" s="302">
        <v>1</v>
      </c>
      <c r="B357" s="542"/>
      <c r="C357" s="543"/>
      <c r="D357" s="543"/>
      <c r="E357" s="544"/>
      <c r="F357" s="545" t="s">
        <v>872</v>
      </c>
      <c r="G357" s="547"/>
      <c r="H357" s="45"/>
      <c r="I357" s="207"/>
      <c r="J357" s="45"/>
      <c r="K357" s="46" t="str">
        <f>VLOOKUP($F:$F,材料单价表!$B$3:$G$42,4,0)</f>
        <v>套</v>
      </c>
      <c r="L357" s="72"/>
      <c r="M357" s="46">
        <v>1</v>
      </c>
      <c r="N357" s="46">
        <f>VLOOKUP($F:$F,材料单价表!$B$3:$G$42,5,0)</f>
        <v>0</v>
      </c>
      <c r="O357" s="46">
        <f t="shared" ref="O357" si="61">N357*M357</f>
        <v>0</v>
      </c>
      <c r="P357" s="48"/>
      <c r="Q357" s="48"/>
      <c r="R357" s="73"/>
      <c r="S357" s="73"/>
      <c r="T357" s="463"/>
    </row>
    <row r="358" spans="1:37" x14ac:dyDescent="0.15">
      <c r="A358" s="74"/>
      <c r="B358" s="552"/>
      <c r="C358" s="557"/>
      <c r="D358" s="557"/>
      <c r="E358" s="553"/>
      <c r="F358" s="554" t="s">
        <v>64</v>
      </c>
      <c r="G358" s="554"/>
      <c r="H358" s="554"/>
      <c r="I358" s="579"/>
      <c r="J358" s="570"/>
      <c r="K358" s="570"/>
      <c r="L358" s="554"/>
      <c r="M358" s="62">
        <f>M357</f>
        <v>1</v>
      </c>
      <c r="N358" s="300"/>
      <c r="O358" s="62">
        <f>SUM(O357:O357)</f>
        <v>0</v>
      </c>
      <c r="P358" s="63" t="s">
        <v>57</v>
      </c>
      <c r="Q358" s="337"/>
      <c r="R358" s="64"/>
      <c r="S358" s="64"/>
      <c r="T358" s="460"/>
    </row>
    <row r="359" spans="1:37" ht="24" x14ac:dyDescent="0.15">
      <c r="A359" s="65"/>
      <c r="B359" s="560" t="s">
        <v>65</v>
      </c>
      <c r="C359" s="561"/>
      <c r="D359" s="561"/>
      <c r="E359" s="562"/>
      <c r="F359" s="565" t="s">
        <v>26</v>
      </c>
      <c r="G359" s="566"/>
      <c r="H359" s="66" t="s">
        <v>59</v>
      </c>
      <c r="I359" s="351"/>
      <c r="J359" s="66" t="s">
        <v>60</v>
      </c>
      <c r="K359" s="66" t="s">
        <v>6</v>
      </c>
      <c r="L359" s="67" t="s">
        <v>61</v>
      </c>
      <c r="M359" s="66" t="s">
        <v>30</v>
      </c>
      <c r="N359" s="68" t="s">
        <v>62</v>
      </c>
      <c r="O359" s="68" t="s">
        <v>34</v>
      </c>
      <c r="P359" s="69" t="s">
        <v>57</v>
      </c>
      <c r="Q359" s="42"/>
      <c r="R359" s="67"/>
      <c r="S359" s="67"/>
      <c r="T359" s="461"/>
    </row>
    <row r="360" spans="1:37" ht="13.5" customHeight="1" x14ac:dyDescent="0.15">
      <c r="A360" s="76">
        <v>1</v>
      </c>
      <c r="B360" s="542"/>
      <c r="C360" s="543"/>
      <c r="D360" s="543"/>
      <c r="E360" s="544"/>
      <c r="F360" s="558" t="s">
        <v>66</v>
      </c>
      <c r="G360" s="559"/>
      <c r="H360" s="78"/>
      <c r="I360" s="352"/>
      <c r="J360" s="77"/>
      <c r="K360" s="46" t="str">
        <f>VLOOKUP($F:$F,材料单价表!$B$3:$G$42,4,0)</f>
        <v>m</v>
      </c>
      <c r="L360" s="46"/>
      <c r="M360" s="80">
        <f>M315</f>
        <v>6</v>
      </c>
      <c r="N360" s="46">
        <f>VLOOKUP($F:$F,材料单价表!$B$3:$G$42,5,0)</f>
        <v>0</v>
      </c>
      <c r="O360" s="46">
        <f>N360*M360</f>
        <v>0</v>
      </c>
      <c r="P360" s="48"/>
      <c r="Q360" s="59"/>
      <c r="R360" s="81"/>
      <c r="S360" s="79"/>
      <c r="T360" s="464"/>
    </row>
    <row r="361" spans="1:37" ht="15.75" customHeight="1" x14ac:dyDescent="0.15">
      <c r="A361" s="76">
        <v>2</v>
      </c>
      <c r="B361" s="542"/>
      <c r="C361" s="543"/>
      <c r="D361" s="543"/>
      <c r="E361" s="544"/>
      <c r="F361" s="558" t="s">
        <v>68</v>
      </c>
      <c r="G361" s="559"/>
      <c r="H361" s="78" t="s">
        <v>67</v>
      </c>
      <c r="I361" s="352"/>
      <c r="J361" s="77"/>
      <c r="K361" s="46" t="str">
        <f>VLOOKUP($F:$F,材料单价表!$B$3:$G$42,4,0)</f>
        <v>m</v>
      </c>
      <c r="L361" s="46"/>
      <c r="M361" s="80">
        <f>(J327*K327+J330*K330+J328*K328+J329*K329)/1000*2</f>
        <v>14.553599999999999</v>
      </c>
      <c r="N361" s="46">
        <f>VLOOKUP($F:$F,材料单价表!$B$3:$G$42,5,0)</f>
        <v>0</v>
      </c>
      <c r="O361" s="46">
        <f t="shared" ref="O361:O366" si="62">N361*M361</f>
        <v>0</v>
      </c>
      <c r="P361" s="48"/>
      <c r="Q361" s="59"/>
      <c r="R361" s="81"/>
      <c r="S361" s="79"/>
      <c r="T361" s="464"/>
      <c r="V361" s="104"/>
      <c r="W361" s="104"/>
    </row>
    <row r="362" spans="1:37" ht="13.5" customHeight="1" x14ac:dyDescent="0.15">
      <c r="A362" s="76">
        <v>3</v>
      </c>
      <c r="B362" s="542"/>
      <c r="C362" s="543"/>
      <c r="D362" s="543"/>
      <c r="E362" s="544"/>
      <c r="F362" s="558" t="s">
        <v>68</v>
      </c>
      <c r="G362" s="559"/>
      <c r="H362" s="78" t="s">
        <v>69</v>
      </c>
      <c r="I362" s="352"/>
      <c r="J362" s="77"/>
      <c r="K362" s="46" t="str">
        <f>VLOOKUP($F:$F,材料单价表!$B$3:$G$42,4,0)</f>
        <v>m</v>
      </c>
      <c r="L362" s="46"/>
      <c r="M362" s="80">
        <f>M315</f>
        <v>6</v>
      </c>
      <c r="N362" s="46">
        <f>VLOOKUP($F:$F,材料单价表!$B$3:$G$42,5,0)</f>
        <v>0</v>
      </c>
      <c r="O362" s="46">
        <f t="shared" si="62"/>
        <v>0</v>
      </c>
      <c r="P362" s="48"/>
      <c r="Q362" s="59"/>
      <c r="R362" s="81"/>
      <c r="S362" s="79"/>
      <c r="T362" s="464"/>
      <c r="V362" s="104"/>
      <c r="W362" s="104"/>
    </row>
    <row r="363" spans="1:37" ht="13.5" customHeight="1" x14ac:dyDescent="0.15">
      <c r="A363" s="76">
        <v>4</v>
      </c>
      <c r="B363" s="542"/>
      <c r="C363" s="543"/>
      <c r="D363" s="543"/>
      <c r="E363" s="544"/>
      <c r="F363" s="558" t="s">
        <v>68</v>
      </c>
      <c r="G363" s="559"/>
      <c r="H363" s="78" t="s">
        <v>70</v>
      </c>
      <c r="I363" s="352"/>
      <c r="J363" s="77"/>
      <c r="K363" s="46" t="str">
        <f>VLOOKUP($F:$F,材料单价表!$B$3:$G$42,4,0)</f>
        <v>m</v>
      </c>
      <c r="L363" s="46"/>
      <c r="M363" s="80">
        <f>M315</f>
        <v>6</v>
      </c>
      <c r="N363" s="46">
        <f>VLOOKUP($F:$F,材料单价表!$B$3:$G$42,5,0)</f>
        <v>0</v>
      </c>
      <c r="O363" s="46">
        <f t="shared" si="62"/>
        <v>0</v>
      </c>
      <c r="P363" s="48"/>
      <c r="Q363" s="59"/>
      <c r="R363" s="81"/>
      <c r="S363" s="79"/>
      <c r="T363" s="464"/>
      <c r="V363" s="104"/>
      <c r="W363" s="104"/>
    </row>
    <row r="364" spans="1:37" ht="13.5" customHeight="1" x14ac:dyDescent="0.15">
      <c r="A364" s="76">
        <v>5</v>
      </c>
      <c r="B364" s="542"/>
      <c r="C364" s="543"/>
      <c r="D364" s="543"/>
      <c r="E364" s="544"/>
      <c r="F364" s="558" t="s">
        <v>71</v>
      </c>
      <c r="G364" s="559"/>
      <c r="H364" s="78"/>
      <c r="I364" s="352"/>
      <c r="J364" s="77"/>
      <c r="K364" s="46" t="str">
        <f>VLOOKUP($F:$F,材料单价表!$B$3:$G$42,4,0)</f>
        <v>个</v>
      </c>
      <c r="L364" s="79"/>
      <c r="M364" s="80">
        <f>SUM(K331:K333)</f>
        <v>10</v>
      </c>
      <c r="N364" s="46">
        <f>VLOOKUP($F:$F,材料单价表!$B$3:$G$42,5,0)</f>
        <v>0</v>
      </c>
      <c r="O364" s="46">
        <f t="shared" si="62"/>
        <v>0</v>
      </c>
      <c r="P364" s="48"/>
      <c r="Q364" s="59"/>
      <c r="R364" s="81"/>
      <c r="S364" s="79"/>
      <c r="T364" s="464"/>
    </row>
    <row r="365" spans="1:37" ht="13.5" customHeight="1" x14ac:dyDescent="0.15">
      <c r="A365" s="76">
        <v>6</v>
      </c>
      <c r="B365" s="542"/>
      <c r="C365" s="543"/>
      <c r="D365" s="543"/>
      <c r="E365" s="544"/>
      <c r="F365" s="558" t="s">
        <v>833</v>
      </c>
      <c r="G365" s="559"/>
      <c r="H365" s="78"/>
      <c r="I365" s="352"/>
      <c r="J365" s="77"/>
      <c r="K365" s="46" t="str">
        <f>VLOOKUP($F:$F,材料单价表!$B$3:$G$42,4,0)</f>
        <v>m</v>
      </c>
      <c r="L365" s="79"/>
      <c r="M365" s="80">
        <f>(J321*K321+J322*K322)/1000*2</f>
        <v>7.2776000000000005</v>
      </c>
      <c r="N365" s="46">
        <f>VLOOKUP($F:$F,材料单价表!$B$3:$G$42,5,0)</f>
        <v>0</v>
      </c>
      <c r="O365" s="46">
        <f t="shared" si="62"/>
        <v>0</v>
      </c>
      <c r="P365" s="48"/>
      <c r="Q365" s="59"/>
      <c r="R365" s="81"/>
      <c r="S365" s="46"/>
      <c r="T365" s="465"/>
    </row>
    <row r="366" spans="1:37" x14ac:dyDescent="0.15">
      <c r="A366" s="76">
        <v>7</v>
      </c>
      <c r="B366" s="542"/>
      <c r="C366" s="543"/>
      <c r="D366" s="543"/>
      <c r="E366" s="544"/>
      <c r="F366" s="558" t="s">
        <v>72</v>
      </c>
      <c r="G366" s="559"/>
      <c r="H366" s="45"/>
      <c r="I366" s="207"/>
      <c r="J366" s="45"/>
      <c r="K366" s="46" t="str">
        <f>VLOOKUP($F:$F,材料单价表!$B$3:$G$42,4,0)</f>
        <v>m2</v>
      </c>
      <c r="L366" s="72"/>
      <c r="M366" s="46">
        <f>M372</f>
        <v>2.2400000000000002</v>
      </c>
      <c r="N366" s="46">
        <f>VLOOKUP($F:$F,材料单价表!$B$3:$G$42,5,0)</f>
        <v>0</v>
      </c>
      <c r="O366" s="46">
        <f t="shared" si="62"/>
        <v>0</v>
      </c>
      <c r="P366" s="48"/>
      <c r="Q366" s="48"/>
      <c r="R366" s="73"/>
      <c r="S366" s="73"/>
      <c r="T366" s="463"/>
    </row>
    <row r="367" spans="1:37" x14ac:dyDescent="0.15">
      <c r="A367" s="76">
        <v>8</v>
      </c>
      <c r="B367" s="542"/>
      <c r="C367" s="543"/>
      <c r="D367" s="543"/>
      <c r="E367" s="544"/>
      <c r="F367" s="297"/>
      <c r="G367" s="298"/>
      <c r="H367" s="207"/>
      <c r="I367" s="207"/>
      <c r="J367" s="207"/>
      <c r="K367" s="208"/>
      <c r="L367" s="209"/>
      <c r="M367" s="208"/>
      <c r="N367" s="208"/>
      <c r="O367" s="208"/>
      <c r="P367" s="211"/>
      <c r="Q367" s="48"/>
      <c r="R367" s="212"/>
      <c r="S367" s="212"/>
      <c r="T367" s="463"/>
    </row>
    <row r="368" spans="1:37" x14ac:dyDescent="0.15">
      <c r="A368" s="76">
        <v>9</v>
      </c>
      <c r="B368" s="542"/>
      <c r="C368" s="543"/>
      <c r="D368" s="543"/>
      <c r="E368" s="544"/>
      <c r="F368" s="558"/>
      <c r="G368" s="559"/>
      <c r="H368" s="45"/>
      <c r="I368" s="207"/>
      <c r="J368" s="45"/>
      <c r="K368" s="45"/>
      <c r="L368" s="72"/>
      <c r="M368" s="46"/>
      <c r="N368" s="46"/>
      <c r="O368" s="82"/>
      <c r="P368" s="48"/>
      <c r="Q368" s="48"/>
      <c r="R368" s="73"/>
      <c r="S368" s="73"/>
      <c r="T368" s="463"/>
    </row>
    <row r="369" spans="1:20" x14ac:dyDescent="0.15">
      <c r="A369" s="74"/>
      <c r="B369" s="552"/>
      <c r="C369" s="557"/>
      <c r="D369" s="557"/>
      <c r="E369" s="553"/>
      <c r="F369" s="552" t="s">
        <v>73</v>
      </c>
      <c r="G369" s="557"/>
      <c r="H369" s="557"/>
      <c r="I369" s="557"/>
      <c r="J369" s="557"/>
      <c r="K369" s="557"/>
      <c r="L369" s="557"/>
      <c r="M369" s="61"/>
      <c r="N369" s="61"/>
      <c r="O369" s="62">
        <f>SUM(O360:O368)</f>
        <v>0</v>
      </c>
      <c r="P369" s="63" t="s">
        <v>57</v>
      </c>
      <c r="Q369" s="337"/>
      <c r="R369" s="64"/>
      <c r="S369" s="64"/>
      <c r="T369" s="460"/>
    </row>
    <row r="370" spans="1:20" x14ac:dyDescent="0.15">
      <c r="A370" s="74"/>
      <c r="B370" s="552"/>
      <c r="C370" s="557"/>
      <c r="D370" s="557"/>
      <c r="E370" s="553"/>
      <c r="F370" s="552" t="s">
        <v>74</v>
      </c>
      <c r="G370" s="557"/>
      <c r="H370" s="557"/>
      <c r="I370" s="557"/>
      <c r="J370" s="557"/>
      <c r="K370" s="557"/>
      <c r="L370" s="557"/>
      <c r="M370" s="557"/>
      <c r="N370" s="553"/>
      <c r="O370" s="62">
        <f>O369+O358+O355+O347</f>
        <v>0</v>
      </c>
      <c r="P370" s="63" t="s">
        <v>57</v>
      </c>
      <c r="Q370" s="337"/>
      <c r="R370" s="64"/>
      <c r="S370" s="64"/>
      <c r="T370" s="460"/>
    </row>
    <row r="371" spans="1:20" ht="24" x14ac:dyDescent="0.15">
      <c r="A371" s="65"/>
      <c r="B371" s="560" t="s">
        <v>75</v>
      </c>
      <c r="C371" s="561"/>
      <c r="D371" s="561"/>
      <c r="E371" s="562"/>
      <c r="F371" s="565" t="s">
        <v>26</v>
      </c>
      <c r="G371" s="566"/>
      <c r="H371" s="66"/>
      <c r="I371" s="351"/>
      <c r="J371" s="66"/>
      <c r="K371" s="66" t="s">
        <v>6</v>
      </c>
      <c r="L371" s="83" t="s">
        <v>61</v>
      </c>
      <c r="M371" s="66" t="s">
        <v>76</v>
      </c>
      <c r="N371" s="68" t="s">
        <v>62</v>
      </c>
      <c r="O371" s="68" t="s">
        <v>34</v>
      </c>
      <c r="P371" s="84" t="s">
        <v>57</v>
      </c>
      <c r="Q371" s="84"/>
      <c r="R371" s="67"/>
      <c r="S371" s="67"/>
      <c r="T371" s="461"/>
    </row>
    <row r="372" spans="1:20" x14ac:dyDescent="0.15">
      <c r="A372" s="302">
        <v>1</v>
      </c>
      <c r="B372" s="542"/>
      <c r="C372" s="543"/>
      <c r="D372" s="543"/>
      <c r="E372" s="544"/>
      <c r="F372" s="545" t="s">
        <v>77</v>
      </c>
      <c r="G372" s="547"/>
      <c r="H372" s="45"/>
      <c r="I372" s="207"/>
      <c r="J372" s="46"/>
      <c r="K372" s="45" t="s">
        <v>78</v>
      </c>
      <c r="L372" s="72"/>
      <c r="M372" s="85">
        <f>O302</f>
        <v>2.2400000000000002</v>
      </c>
      <c r="N372" s="46">
        <f>VLOOKUP($F:$F,材料单价表!$B$3:$G$42,5,0)</f>
        <v>0</v>
      </c>
      <c r="O372" s="46">
        <f>N372*M372</f>
        <v>0</v>
      </c>
      <c r="P372" s="48"/>
      <c r="Q372" s="48"/>
      <c r="R372" s="72"/>
      <c r="S372" s="72"/>
      <c r="T372" s="462"/>
    </row>
    <row r="373" spans="1:20" x14ac:dyDescent="0.15">
      <c r="A373" s="302">
        <v>2</v>
      </c>
      <c r="B373" s="542"/>
      <c r="C373" s="543"/>
      <c r="D373" s="543"/>
      <c r="E373" s="544"/>
      <c r="F373" s="545" t="s">
        <v>79</v>
      </c>
      <c r="G373" s="547"/>
      <c r="H373" s="45"/>
      <c r="I373" s="207"/>
      <c r="J373" s="46"/>
      <c r="K373" s="45" t="s">
        <v>78</v>
      </c>
      <c r="L373" s="72"/>
      <c r="M373" s="85">
        <f>M372</f>
        <v>2.2400000000000002</v>
      </c>
      <c r="N373" s="46">
        <f>VLOOKUP($F:$F,材料单价表!$B$3:$G$42,5,0)</f>
        <v>0</v>
      </c>
      <c r="O373" s="46">
        <f>N373*M373</f>
        <v>0</v>
      </c>
      <c r="P373" s="48"/>
      <c r="Q373" s="48"/>
      <c r="R373" s="72"/>
      <c r="S373" s="72"/>
      <c r="T373" s="462"/>
    </row>
    <row r="374" spans="1:20" ht="24.75" customHeight="1" x14ac:dyDescent="0.15">
      <c r="A374" s="74"/>
      <c r="B374" s="552"/>
      <c r="C374" s="557"/>
      <c r="D374" s="557"/>
      <c r="E374" s="553"/>
      <c r="F374" s="552" t="s">
        <v>80</v>
      </c>
      <c r="G374" s="553"/>
      <c r="H374" s="299"/>
      <c r="I374" s="348"/>
      <c r="J374" s="554" t="s">
        <v>81</v>
      </c>
      <c r="K374" s="554"/>
      <c r="L374" s="554"/>
      <c r="M374" s="554"/>
      <c r="N374" s="87"/>
      <c r="O374" s="62">
        <f>O370+O372+O373</f>
        <v>0</v>
      </c>
      <c r="P374" s="63" t="s">
        <v>57</v>
      </c>
      <c r="Q374" s="337"/>
      <c r="R374" s="64"/>
      <c r="S374" s="64"/>
      <c r="T374" s="460"/>
    </row>
    <row r="375" spans="1:20" ht="24" customHeight="1" x14ac:dyDescent="0.15">
      <c r="A375" s="74"/>
      <c r="B375" s="552"/>
      <c r="C375" s="557"/>
      <c r="D375" s="557"/>
      <c r="E375" s="553"/>
      <c r="F375" s="555" t="s">
        <v>82</v>
      </c>
      <c r="G375" s="556"/>
      <c r="H375" s="301"/>
      <c r="I375" s="349"/>
      <c r="J375" s="552" t="s">
        <v>81</v>
      </c>
      <c r="K375" s="557"/>
      <c r="L375" s="557"/>
      <c r="M375" s="557"/>
      <c r="N375" s="62"/>
      <c r="O375" s="62">
        <f>O374/O302</f>
        <v>0</v>
      </c>
      <c r="P375" s="89" t="s">
        <v>57</v>
      </c>
      <c r="Q375" s="89"/>
      <c r="R375" s="90"/>
      <c r="S375" s="90"/>
      <c r="T375" s="466"/>
    </row>
    <row r="376" spans="1:20" ht="18.75" customHeight="1" x14ac:dyDescent="0.15">
      <c r="A376" s="549" t="s">
        <v>0</v>
      </c>
      <c r="B376" s="549"/>
      <c r="C376" s="549"/>
      <c r="D376" s="549"/>
      <c r="E376" s="549"/>
      <c r="F376" s="549"/>
      <c r="G376" s="549"/>
      <c r="H376" s="549"/>
      <c r="I376" s="549"/>
      <c r="J376" s="549"/>
      <c r="K376" s="549"/>
      <c r="L376" s="550"/>
      <c r="M376" s="549"/>
      <c r="N376" s="549"/>
      <c r="O376" s="549"/>
      <c r="P376" s="549"/>
      <c r="Q376" s="549"/>
      <c r="R376" s="551"/>
      <c r="S376" s="551"/>
      <c r="T376" s="415"/>
    </row>
    <row r="377" spans="1:20" ht="15" customHeight="1" x14ac:dyDescent="0.15">
      <c r="A377" s="2" t="s">
        <v>1</v>
      </c>
      <c r="B377" s="3" t="str">
        <f>$B$152</f>
        <v>WC</v>
      </c>
      <c r="C377" s="3">
        <v>6</v>
      </c>
      <c r="D377" s="3"/>
      <c r="E377" s="3"/>
      <c r="F377" s="4" t="s">
        <v>2</v>
      </c>
      <c r="G377" s="5">
        <v>60</v>
      </c>
      <c r="H377" s="106" t="s">
        <v>86</v>
      </c>
      <c r="I377" s="106"/>
      <c r="J377" s="4" t="s">
        <v>3</v>
      </c>
      <c r="K377" s="6">
        <f>L380</f>
        <v>1300</v>
      </c>
      <c r="L377" s="7" t="s">
        <v>83</v>
      </c>
      <c r="M377" s="6">
        <f>L379</f>
        <v>1400</v>
      </c>
      <c r="N377" s="8" t="s">
        <v>4</v>
      </c>
      <c r="O377" s="9">
        <f>M389</f>
        <v>1.82</v>
      </c>
      <c r="P377" s="10"/>
      <c r="Q377" s="10"/>
      <c r="R377" s="10" t="s">
        <v>5</v>
      </c>
      <c r="S377" s="11"/>
      <c r="T377" s="457"/>
    </row>
    <row r="378" spans="1:20" ht="15" customHeight="1" x14ac:dyDescent="0.2">
      <c r="A378" s="12"/>
      <c r="B378" s="13"/>
      <c r="C378" s="13"/>
      <c r="D378" s="13"/>
      <c r="E378" s="13"/>
      <c r="F378" s="14"/>
      <c r="G378" s="14"/>
      <c r="H378" s="15"/>
      <c r="I378" s="15"/>
      <c r="J378" s="16"/>
      <c r="K378" s="16" t="s">
        <v>6</v>
      </c>
      <c r="L378" s="17" t="s">
        <v>7</v>
      </c>
      <c r="M378" s="16" t="s">
        <v>8</v>
      </c>
      <c r="N378" s="18"/>
      <c r="O378" s="548" t="s">
        <v>940</v>
      </c>
      <c r="P378" s="548"/>
      <c r="Q378" s="16" t="s">
        <v>1018</v>
      </c>
      <c r="R378" s="529" t="s">
        <v>1187</v>
      </c>
      <c r="S378" s="530" t="s">
        <v>1592</v>
      </c>
      <c r="T378" s="468"/>
    </row>
    <row r="379" spans="1:20" ht="15" customHeight="1" x14ac:dyDescent="0.2">
      <c r="A379" s="398" t="s">
        <v>918</v>
      </c>
      <c r="B379" s="406" t="s">
        <v>982</v>
      </c>
      <c r="C379" s="362"/>
      <c r="D379" s="362"/>
      <c r="E379" s="362"/>
      <c r="F379" s="23"/>
      <c r="G379" s="23"/>
      <c r="H379" s="107"/>
      <c r="I379" s="107"/>
      <c r="J379" s="24" t="s">
        <v>9</v>
      </c>
      <c r="K379" s="16" t="s">
        <v>10</v>
      </c>
      <c r="L379" s="25">
        <v>1400</v>
      </c>
      <c r="M379" s="113">
        <f>L379-M388*2</f>
        <v>1300</v>
      </c>
      <c r="N379" s="18"/>
      <c r="O379" s="356" t="s">
        <v>941</v>
      </c>
      <c r="P379" s="357"/>
      <c r="Q379" s="16" t="s">
        <v>1019</v>
      </c>
      <c r="R379" s="529"/>
      <c r="S379" s="530"/>
      <c r="T379" s="468"/>
    </row>
    <row r="380" spans="1:20" ht="15" customHeight="1" x14ac:dyDescent="0.2">
      <c r="A380" s="21"/>
      <c r="B380" s="22"/>
      <c r="C380" s="22"/>
      <c r="D380" s="22"/>
      <c r="E380" s="22"/>
      <c r="F380" s="23"/>
      <c r="G380" s="23"/>
      <c r="H380" s="18"/>
      <c r="I380" s="18"/>
      <c r="J380" s="24" t="s">
        <v>11</v>
      </c>
      <c r="K380" s="16" t="s">
        <v>10</v>
      </c>
      <c r="L380" s="25">
        <v>1300</v>
      </c>
      <c r="M380" s="113">
        <f>L380-M388*2</f>
        <v>1200</v>
      </c>
      <c r="N380" s="18"/>
      <c r="O380" s="356" t="s">
        <v>924</v>
      </c>
      <c r="P380" s="357"/>
      <c r="Q380" s="16" t="s">
        <v>1020</v>
      </c>
      <c r="R380" s="529" t="s">
        <v>1188</v>
      </c>
      <c r="S380" s="530" t="s">
        <v>1086</v>
      </c>
      <c r="T380" s="468"/>
    </row>
    <row r="381" spans="1:20" ht="15" customHeight="1" x14ac:dyDescent="0.2">
      <c r="A381" s="21"/>
      <c r="B381" s="22"/>
      <c r="C381" s="22"/>
      <c r="D381" s="22"/>
      <c r="E381" s="22"/>
      <c r="F381" s="23"/>
      <c r="G381" s="23"/>
      <c r="H381" s="18"/>
      <c r="I381" s="18"/>
      <c r="J381" s="24" t="s">
        <v>12</v>
      </c>
      <c r="K381" s="16" t="s">
        <v>10</v>
      </c>
      <c r="L381" s="26"/>
      <c r="M381" s="113">
        <f>M379</f>
        <v>1300</v>
      </c>
      <c r="N381" s="18"/>
      <c r="O381" s="356" t="s">
        <v>925</v>
      </c>
      <c r="P381" s="357"/>
      <c r="Q381" s="16" t="s">
        <v>1021</v>
      </c>
      <c r="R381" s="529"/>
      <c r="S381" s="530"/>
      <c r="T381" s="468"/>
    </row>
    <row r="382" spans="1:20" ht="15" customHeight="1" x14ac:dyDescent="0.2">
      <c r="A382" s="21"/>
      <c r="B382" s="22"/>
      <c r="C382" s="22"/>
      <c r="D382" s="22"/>
      <c r="E382" s="22"/>
      <c r="F382" s="23"/>
      <c r="G382" s="23"/>
      <c r="H382" s="18"/>
      <c r="I382" s="18"/>
      <c r="J382" s="24" t="s">
        <v>13</v>
      </c>
      <c r="K382" s="16" t="s">
        <v>10</v>
      </c>
      <c r="L382" s="26"/>
      <c r="M382" s="113"/>
      <c r="N382" s="18"/>
      <c r="O382" s="356" t="s">
        <v>926</v>
      </c>
      <c r="P382" s="357"/>
      <c r="Q382" s="16" t="s">
        <v>1022</v>
      </c>
      <c r="R382" s="27"/>
      <c r="S382" s="28"/>
      <c r="T382" s="27"/>
    </row>
    <row r="383" spans="1:20" ht="15" customHeight="1" x14ac:dyDescent="0.2">
      <c r="A383" s="21"/>
      <c r="B383" s="22"/>
      <c r="C383" s="22"/>
      <c r="D383" s="22"/>
      <c r="E383" s="22"/>
      <c r="F383" s="23"/>
      <c r="G383" s="23"/>
      <c r="H383" s="18"/>
      <c r="I383" s="18"/>
      <c r="J383" s="24" t="s">
        <v>14</v>
      </c>
      <c r="K383" s="16" t="s">
        <v>10</v>
      </c>
      <c r="L383" s="26"/>
      <c r="M383" s="113"/>
      <c r="N383" s="18"/>
      <c r="O383" s="356" t="s">
        <v>927</v>
      </c>
      <c r="P383" s="357"/>
      <c r="Q383" s="16" t="s">
        <v>1023</v>
      </c>
      <c r="R383" s="27"/>
      <c r="S383" s="28"/>
      <c r="T383" s="27"/>
    </row>
    <row r="384" spans="1:20" ht="15" customHeight="1" x14ac:dyDescent="0.2">
      <c r="A384" s="21"/>
      <c r="B384" s="22"/>
      <c r="C384" s="22"/>
      <c r="D384" s="22"/>
      <c r="E384" s="22"/>
      <c r="F384" s="23"/>
      <c r="G384" s="23"/>
      <c r="H384" s="18"/>
      <c r="I384" s="18"/>
      <c r="J384" s="24" t="s">
        <v>15</v>
      </c>
      <c r="K384" s="16" t="s">
        <v>10</v>
      </c>
      <c r="L384" s="26"/>
      <c r="M384" s="113">
        <f>M380/2</f>
        <v>600</v>
      </c>
      <c r="N384" s="18"/>
      <c r="O384" s="356" t="s">
        <v>928</v>
      </c>
      <c r="P384" s="357"/>
      <c r="Q384" s="16" t="s">
        <v>1005</v>
      </c>
      <c r="R384" s="27"/>
      <c r="S384" s="28"/>
      <c r="T384" s="27"/>
    </row>
    <row r="385" spans="1:37" ht="15" customHeight="1" x14ac:dyDescent="0.2">
      <c r="A385" s="21"/>
      <c r="B385" s="22"/>
      <c r="C385" s="22"/>
      <c r="D385" s="22"/>
      <c r="E385" s="22"/>
      <c r="F385" s="23"/>
      <c r="G385" s="23"/>
      <c r="H385" s="18"/>
      <c r="I385" s="18"/>
      <c r="J385" s="24" t="s">
        <v>16</v>
      </c>
      <c r="K385" s="16" t="s">
        <v>10</v>
      </c>
      <c r="L385" s="26"/>
      <c r="M385" s="113"/>
      <c r="N385" s="18"/>
      <c r="O385" s="356" t="s">
        <v>929</v>
      </c>
      <c r="P385" s="357"/>
      <c r="Q385" s="16" t="s">
        <v>1024</v>
      </c>
      <c r="R385" s="27"/>
      <c r="S385" s="28"/>
      <c r="T385" s="27"/>
    </row>
    <row r="386" spans="1:37" ht="15" customHeight="1" x14ac:dyDescent="0.2">
      <c r="A386" s="21"/>
      <c r="B386" s="22"/>
      <c r="C386" s="22"/>
      <c r="D386" s="22"/>
      <c r="E386" s="22"/>
      <c r="F386" s="23"/>
      <c r="G386" s="23"/>
      <c r="H386" s="18"/>
      <c r="I386" s="18"/>
      <c r="J386" s="24" t="s">
        <v>17</v>
      </c>
      <c r="K386" s="16" t="s">
        <v>10</v>
      </c>
      <c r="L386" s="26"/>
      <c r="M386" s="113"/>
      <c r="N386" s="18"/>
      <c r="O386" s="356" t="s">
        <v>930</v>
      </c>
      <c r="P386" s="357"/>
      <c r="Q386" s="16" t="s">
        <v>931</v>
      </c>
      <c r="R386" s="27"/>
      <c r="S386" s="28"/>
      <c r="T386" s="27"/>
    </row>
    <row r="387" spans="1:37" ht="15" customHeight="1" x14ac:dyDescent="0.2">
      <c r="A387" s="21"/>
      <c r="B387" s="22"/>
      <c r="C387" s="22"/>
      <c r="D387" s="22"/>
      <c r="E387" s="22"/>
      <c r="F387" s="23"/>
      <c r="G387" s="23"/>
      <c r="H387" s="18"/>
      <c r="I387" s="18"/>
      <c r="J387" s="24" t="s">
        <v>18</v>
      </c>
      <c r="K387" s="16" t="s">
        <v>10</v>
      </c>
      <c r="L387" s="26"/>
      <c r="M387" s="113"/>
      <c r="N387" s="18"/>
      <c r="O387" s="356" t="s">
        <v>932</v>
      </c>
      <c r="P387" s="357"/>
      <c r="Q387" s="16" t="s">
        <v>933</v>
      </c>
      <c r="R387" s="27"/>
      <c r="S387" s="28"/>
      <c r="T387" s="27"/>
    </row>
    <row r="388" spans="1:37" ht="15" customHeight="1" x14ac:dyDescent="0.2">
      <c r="A388" s="21"/>
      <c r="B388" s="22"/>
      <c r="C388" s="22"/>
      <c r="D388" s="22"/>
      <c r="E388" s="22"/>
      <c r="F388" s="23"/>
      <c r="G388" s="23"/>
      <c r="H388" s="18"/>
      <c r="I388" s="18"/>
      <c r="J388" s="24" t="s">
        <v>19</v>
      </c>
      <c r="K388" s="16" t="s">
        <v>10</v>
      </c>
      <c r="L388" s="26"/>
      <c r="M388" s="25">
        <v>50</v>
      </c>
      <c r="N388" s="18"/>
      <c r="O388" s="356" t="s">
        <v>934</v>
      </c>
      <c r="P388" s="357"/>
      <c r="Q388" s="16" t="s">
        <v>935</v>
      </c>
      <c r="R388" s="27"/>
      <c r="S388" s="28"/>
      <c r="T388" s="27"/>
    </row>
    <row r="389" spans="1:37" ht="15" customHeight="1" x14ac:dyDescent="0.2">
      <c r="A389" s="21"/>
      <c r="B389" s="22"/>
      <c r="C389" s="22"/>
      <c r="D389" s="22"/>
      <c r="E389" s="22"/>
      <c r="F389" s="23"/>
      <c r="G389" s="23"/>
      <c r="H389" s="18"/>
      <c r="I389" s="18"/>
      <c r="J389" s="29" t="s">
        <v>20</v>
      </c>
      <c r="K389" s="16" t="s">
        <v>21</v>
      </c>
      <c r="L389" s="30"/>
      <c r="M389" s="31">
        <f>L379*L380/1000000</f>
        <v>1.82</v>
      </c>
      <c r="N389" s="18"/>
      <c r="O389" s="356" t="s">
        <v>936</v>
      </c>
      <c r="P389" s="357"/>
      <c r="Q389" s="16" t="s">
        <v>937</v>
      </c>
      <c r="R389" s="27"/>
      <c r="S389" s="28"/>
      <c r="T389" s="27"/>
    </row>
    <row r="390" spans="1:37" ht="15" customHeight="1" x14ac:dyDescent="0.2">
      <c r="A390" s="32"/>
      <c r="B390" s="33"/>
      <c r="C390" s="33"/>
      <c r="D390" s="33"/>
      <c r="E390" s="33"/>
      <c r="F390" s="34"/>
      <c r="G390" s="34"/>
      <c r="H390" s="35"/>
      <c r="I390" s="35"/>
      <c r="J390" s="29" t="s">
        <v>22</v>
      </c>
      <c r="K390" s="16" t="s">
        <v>23</v>
      </c>
      <c r="L390" s="30"/>
      <c r="M390" s="36">
        <f>(L380+L379)*2/1000</f>
        <v>5.4</v>
      </c>
      <c r="N390" s="35"/>
      <c r="O390" s="356" t="s">
        <v>938</v>
      </c>
      <c r="P390" s="357"/>
      <c r="Q390" s="16" t="s">
        <v>939</v>
      </c>
      <c r="R390" s="37"/>
      <c r="S390" s="38"/>
      <c r="T390" s="27"/>
    </row>
    <row r="391" spans="1:37" ht="48.75" customHeight="1" x14ac:dyDescent="0.15">
      <c r="A391" s="39" t="s">
        <v>24</v>
      </c>
      <c r="B391" s="560" t="s">
        <v>25</v>
      </c>
      <c r="C391" s="561"/>
      <c r="D391" s="561"/>
      <c r="E391" s="562"/>
      <c r="F391" s="40" t="s">
        <v>26</v>
      </c>
      <c r="G391" s="40" t="s">
        <v>27</v>
      </c>
      <c r="H391" s="40" t="s">
        <v>28</v>
      </c>
      <c r="I391" s="40" t="s">
        <v>1166</v>
      </c>
      <c r="J391" s="40" t="s">
        <v>29</v>
      </c>
      <c r="K391" s="40" t="s">
        <v>30</v>
      </c>
      <c r="L391" s="41" t="s">
        <v>31</v>
      </c>
      <c r="M391" s="40" t="s">
        <v>32</v>
      </c>
      <c r="N391" s="40" t="s">
        <v>33</v>
      </c>
      <c r="O391" s="40" t="s">
        <v>34</v>
      </c>
      <c r="P391" s="42" t="s">
        <v>35</v>
      </c>
      <c r="Q391" s="359" t="s">
        <v>974</v>
      </c>
      <c r="R391" s="43" t="s">
        <v>36</v>
      </c>
      <c r="S391" s="43" t="s">
        <v>37</v>
      </c>
      <c r="T391" s="458"/>
      <c r="V391" s="261" t="s">
        <v>128</v>
      </c>
      <c r="W391" s="261"/>
      <c r="X391" s="262" t="s">
        <v>359</v>
      </c>
      <c r="Y391" s="263"/>
      <c r="Z391" s="262" t="s">
        <v>355</v>
      </c>
      <c r="AA391" s="263"/>
      <c r="AB391" s="262" t="s">
        <v>360</v>
      </c>
      <c r="AC391" s="263"/>
      <c r="AD391" s="262" t="s">
        <v>127</v>
      </c>
      <c r="AE391" s="263"/>
      <c r="AF391" s="262" t="s">
        <v>357</v>
      </c>
      <c r="AG391" s="263"/>
      <c r="AH391" s="262" t="s">
        <v>358</v>
      </c>
      <c r="AI391" s="263"/>
      <c r="AJ391" s="262" t="s">
        <v>840</v>
      </c>
      <c r="AK391" s="263"/>
    </row>
    <row r="392" spans="1:37" ht="13.5" customHeight="1" x14ac:dyDescent="0.15">
      <c r="A392" s="302">
        <v>1</v>
      </c>
      <c r="B392" s="531" t="s">
        <v>38</v>
      </c>
      <c r="C392" s="532"/>
      <c r="D392" s="532"/>
      <c r="E392" s="533"/>
      <c r="F392" s="47" t="str">
        <f>VLOOKUP($H:$H,型材表!$B$5:$I$448,2,0)</f>
        <v>边框</v>
      </c>
      <c r="G392" s="45" t="s">
        <v>39</v>
      </c>
      <c r="H392" s="45" t="str">
        <f>IF(G377=55,"SW55K001",IF(G377=551,"SW55BK001",IF(G377=60,"SW60K001",IF(G377=601,"SW60AK001",IF(G377=65,"SW65AK001",IF(G377=70,"SW70K001",IF(G377=75,"SW75K001",IF(G377=50,"SW50K002"))))))))</f>
        <v>SW60K001</v>
      </c>
      <c r="I392" s="207" t="s">
        <v>1213</v>
      </c>
      <c r="J392" s="46">
        <f>M379</f>
        <v>1300</v>
      </c>
      <c r="K392" s="45">
        <v>2</v>
      </c>
      <c r="L392" s="47">
        <f>VLOOKUP($H:$H,型材表!$B$5:$I$448,4,0)</f>
        <v>0.99199999999999999</v>
      </c>
      <c r="M392" s="46">
        <f>J392*K392*L392/1000</f>
        <v>2.5791999999999997</v>
      </c>
      <c r="N392" s="72">
        <f>VLOOKUP($H:$H,型材表!$B$5:$I$448,7,0)</f>
        <v>0</v>
      </c>
      <c r="O392" s="46">
        <f>N392*M392</f>
        <v>0</v>
      </c>
      <c r="P392" s="100">
        <f>VLOOKUP($H:$H,型材表!$B$5:$I$448,5,0)</f>
        <v>0.125</v>
      </c>
      <c r="Q392" s="100" t="str">
        <f>VLOOKUP($H:$H,型材表!$B$5:$I$448,6,0)</f>
        <v>断桥隔热铝型材</v>
      </c>
      <c r="R392" s="49"/>
      <c r="S392" s="50"/>
      <c r="T392" s="459"/>
      <c r="X392" s="264"/>
      <c r="Y392" s="265"/>
      <c r="Z392" s="264"/>
      <c r="AA392" s="265"/>
      <c r="AB392" s="264"/>
      <c r="AC392" s="265"/>
      <c r="AD392" s="264"/>
      <c r="AE392" s="265"/>
      <c r="AF392" s="264"/>
      <c r="AG392" s="265"/>
      <c r="AH392" s="264"/>
      <c r="AI392" s="265"/>
      <c r="AJ392" s="264"/>
      <c r="AK392" s="265"/>
    </row>
    <row r="393" spans="1:37" x14ac:dyDescent="0.15">
      <c r="A393" s="302">
        <v>2</v>
      </c>
      <c r="B393" s="534"/>
      <c r="C393" s="535"/>
      <c r="D393" s="535"/>
      <c r="E393" s="536"/>
      <c r="F393" s="47" t="str">
        <f>VLOOKUP($H:$H,型材表!$B$5:$I$448,2,0)</f>
        <v>边框</v>
      </c>
      <c r="G393" s="45" t="s">
        <v>144</v>
      </c>
      <c r="H393" s="45" t="str">
        <f>H392</f>
        <v>SW60K001</v>
      </c>
      <c r="I393" s="207" t="s">
        <v>1214</v>
      </c>
      <c r="J393" s="46">
        <f>M380</f>
        <v>1200</v>
      </c>
      <c r="K393" s="45">
        <v>2</v>
      </c>
      <c r="L393" s="47">
        <f>VLOOKUP($H:$H,型材表!$B$5:$I$448,4,0)</f>
        <v>0.99199999999999999</v>
      </c>
      <c r="M393" s="46">
        <f t="shared" ref="M393" si="63">J393*K393*L393/1000</f>
        <v>2.3808000000000002</v>
      </c>
      <c r="N393" s="72">
        <f>VLOOKUP($H:$H,型材表!$B$5:$I$448,7,0)</f>
        <v>0</v>
      </c>
      <c r="O393" s="46">
        <f t="shared" ref="O393" si="64">N393*M393</f>
        <v>0</v>
      </c>
      <c r="P393" s="100">
        <f>VLOOKUP($H:$H,型材表!$B$5:$I$448,5,0)</f>
        <v>0.125</v>
      </c>
      <c r="Q393" s="100" t="str">
        <f>VLOOKUP($H:$H,型材表!$B$5:$I$448,6,0)</f>
        <v>断桥隔热铝型材</v>
      </c>
      <c r="R393" s="49"/>
      <c r="S393" s="50"/>
      <c r="T393" s="459"/>
      <c r="X393" s="264"/>
      <c r="Y393" s="265"/>
      <c r="Z393" s="264"/>
      <c r="AA393" s="265"/>
      <c r="AB393" s="264"/>
      <c r="AC393" s="265"/>
      <c r="AD393" s="264"/>
      <c r="AE393" s="265"/>
      <c r="AF393" s="264"/>
      <c r="AG393" s="265"/>
      <c r="AH393" s="264"/>
      <c r="AI393" s="265"/>
      <c r="AJ393" s="264"/>
      <c r="AK393" s="265"/>
    </row>
    <row r="394" spans="1:37" x14ac:dyDescent="0.15">
      <c r="A394" s="413">
        <v>3</v>
      </c>
      <c r="B394" s="534"/>
      <c r="C394" s="535"/>
      <c r="D394" s="535"/>
      <c r="E394" s="536"/>
      <c r="F394" s="47"/>
      <c r="G394" s="207"/>
      <c r="H394" s="207"/>
      <c r="I394" s="207"/>
      <c r="J394" s="208"/>
      <c r="K394" s="207"/>
      <c r="L394" s="47"/>
      <c r="M394" s="46"/>
      <c r="N394" s="72"/>
      <c r="O394" s="46"/>
      <c r="P394" s="100"/>
      <c r="Q394" s="100"/>
      <c r="R394" s="210"/>
      <c r="S394" s="50"/>
      <c r="T394" s="459"/>
      <c r="X394" s="264"/>
      <c r="Y394" s="265"/>
      <c r="Z394" s="264"/>
      <c r="AA394" s="265"/>
      <c r="AB394" s="264"/>
      <c r="AC394" s="265"/>
      <c r="AD394" s="264"/>
      <c r="AE394" s="265"/>
      <c r="AF394" s="264"/>
      <c r="AG394" s="265"/>
      <c r="AH394" s="264"/>
      <c r="AI394" s="265"/>
      <c r="AJ394" s="264"/>
      <c r="AK394" s="265"/>
    </row>
    <row r="395" spans="1:37" s="229" customFormat="1" x14ac:dyDescent="0.15">
      <c r="A395" s="413">
        <v>4</v>
      </c>
      <c r="B395" s="537"/>
      <c r="C395" s="538"/>
      <c r="D395" s="538"/>
      <c r="E395" s="539"/>
      <c r="F395" s="221"/>
      <c r="G395" s="222"/>
      <c r="H395" s="222"/>
      <c r="I395" s="222"/>
      <c r="J395" s="223"/>
      <c r="K395" s="222"/>
      <c r="L395" s="221"/>
      <c r="M395" s="224"/>
      <c r="N395" s="225"/>
      <c r="O395" s="224"/>
      <c r="P395" s="226"/>
      <c r="Q395" s="100"/>
      <c r="R395" s="227"/>
      <c r="S395" s="228"/>
      <c r="T395" s="467"/>
      <c r="U395" s="375"/>
      <c r="V395" s="266"/>
      <c r="W395" s="266"/>
      <c r="X395" s="267"/>
      <c r="Y395" s="268"/>
      <c r="Z395" s="267"/>
      <c r="AA395" s="268"/>
      <c r="AB395" s="267"/>
      <c r="AC395" s="268"/>
      <c r="AD395" s="267"/>
      <c r="AE395" s="268"/>
      <c r="AF395" s="267"/>
      <c r="AG395" s="268"/>
      <c r="AH395" s="267"/>
      <c r="AI395" s="268"/>
      <c r="AJ395" s="267"/>
      <c r="AK395" s="268"/>
    </row>
    <row r="396" spans="1:37" ht="13.5" customHeight="1" x14ac:dyDescent="0.15">
      <c r="A396" s="413">
        <v>5</v>
      </c>
      <c r="B396" s="531" t="s">
        <v>41</v>
      </c>
      <c r="C396" s="532"/>
      <c r="D396" s="532"/>
      <c r="E396" s="533"/>
      <c r="F396" s="47" t="str">
        <f>VLOOKUP($H:$H,型材表!$B$5:$I$448,2,0)</f>
        <v>外开扇</v>
      </c>
      <c r="G396" s="45" t="s">
        <v>39</v>
      </c>
      <c r="H396" s="45" t="str">
        <f>IF(G377=55,"SW55S001",IF(G377=551,"SW55BS001",IF(G377=60,"SW60S001",IF(G377=601,"SW60AS001",IF(G377=65,"SW65AS001",IF(G377=70,"SW70S001",IF(G377=75,"SW75S001",IF(G377=50,"SW50S001"))))))))</f>
        <v>SW60S001</v>
      </c>
      <c r="I396" s="207" t="s">
        <v>1224</v>
      </c>
      <c r="J396" s="46">
        <f>IF(G377=55,M381-V396,IF(G377=551,M381-X396,IF(G377=60,M381-Z396,IF(G377=601,M381-AB396,IF(G377=65,M381-AD396,IF(G377=70,M381-AF396,IF(G377=75,M381-AH396,IF(G377=50,M381-AJ396))))))))</f>
        <v>1256</v>
      </c>
      <c r="K396" s="45">
        <v>4</v>
      </c>
      <c r="L396" s="47">
        <f>VLOOKUP($H:$H,型材表!$B$5:$I$448,4,0)</f>
        <v>1.47</v>
      </c>
      <c r="M396" s="46">
        <f t="shared" ref="M396:M398" si="65">J396*K396*L396/1000</f>
        <v>7.3852799999999998</v>
      </c>
      <c r="N396" s="72">
        <f>VLOOKUP($H:$H,型材表!$B$5:$I$448,7,0)</f>
        <v>0</v>
      </c>
      <c r="O396" s="46">
        <f t="shared" ref="O396:O398" si="66">N396*M396</f>
        <v>0</v>
      </c>
      <c r="P396" s="100">
        <f>VLOOKUP($H:$H,型材表!$B$5:$I$448,5,0)</f>
        <v>0.125</v>
      </c>
      <c r="Q396" s="100" t="str">
        <f>VLOOKUP($H:$H,型材表!$B$5:$I$448,6,0)</f>
        <v>断桥隔热铝型材</v>
      </c>
      <c r="R396" s="49"/>
      <c r="S396" s="50"/>
      <c r="T396" s="459"/>
      <c r="U396" s="374" t="s">
        <v>1229</v>
      </c>
      <c r="V396" s="259">
        <f>22*2</f>
        <v>44</v>
      </c>
      <c r="X396" s="286">
        <f>22*2</f>
        <v>44</v>
      </c>
      <c r="Y396" s="265"/>
      <c r="Z396" s="286">
        <f>22*2</f>
        <v>44</v>
      </c>
      <c r="AA396" s="265"/>
      <c r="AB396" s="286">
        <f>22*2</f>
        <v>44</v>
      </c>
      <c r="AC396" s="265"/>
      <c r="AD396" s="286">
        <f>22*2</f>
        <v>44</v>
      </c>
      <c r="AE396" s="265"/>
      <c r="AF396" s="286">
        <f>22*2</f>
        <v>44</v>
      </c>
      <c r="AG396" s="265"/>
      <c r="AH396" s="286">
        <f>22*2</f>
        <v>44</v>
      </c>
      <c r="AI396" s="265"/>
      <c r="AJ396" s="264">
        <f>21.3*2</f>
        <v>42.6</v>
      </c>
      <c r="AK396" s="265"/>
    </row>
    <row r="397" spans="1:37" x14ac:dyDescent="0.15">
      <c r="A397" s="413">
        <v>6</v>
      </c>
      <c r="B397" s="534"/>
      <c r="C397" s="535"/>
      <c r="D397" s="535"/>
      <c r="E397" s="536"/>
      <c r="F397" s="47" t="str">
        <f>VLOOKUP($H:$H,型材表!$B$5:$I$448,2,0)</f>
        <v>外开扇</v>
      </c>
      <c r="G397" s="45" t="s">
        <v>144</v>
      </c>
      <c r="H397" s="207" t="str">
        <f>H396</f>
        <v>SW60S001</v>
      </c>
      <c r="I397" s="207" t="s">
        <v>1215</v>
      </c>
      <c r="J397" s="208">
        <f>IF(G377=55,M384-V397,IF(G377=551,M384-X397,IF(G377=60,M384-Z397,IF(G377=601,M384-AB397,IF(G377=65,M384-AD397,IF(G377=70,M384-AF397,IF(G377=75,M384-AH397,IF(G377=50,M384-AJ397))))))))</f>
        <v>575.5</v>
      </c>
      <c r="K397" s="207">
        <v>4</v>
      </c>
      <c r="L397" s="47">
        <f>VLOOKUP($H:$H,型材表!$B$5:$I$448,4,0)</f>
        <v>1.47</v>
      </c>
      <c r="M397" s="46">
        <f t="shared" si="65"/>
        <v>3.3839399999999999</v>
      </c>
      <c r="N397" s="72">
        <f>VLOOKUP($H:$H,型材表!$B$5:$I$448,7,0)</f>
        <v>0</v>
      </c>
      <c r="O397" s="46">
        <f t="shared" si="66"/>
        <v>0</v>
      </c>
      <c r="P397" s="100">
        <f>VLOOKUP($H:$H,型材表!$B$5:$I$448,5,0)</f>
        <v>0.125</v>
      </c>
      <c r="Q397" s="100" t="str">
        <f>VLOOKUP($H:$H,型材表!$B$5:$I$448,6,0)</f>
        <v>断桥隔热铝型材</v>
      </c>
      <c r="R397" s="210"/>
      <c r="S397" s="50"/>
      <c r="T397" s="459"/>
      <c r="U397" s="374" t="s">
        <v>1233</v>
      </c>
      <c r="V397" s="259">
        <f>22+2.5</f>
        <v>24.5</v>
      </c>
      <c r="X397" s="286">
        <f>22+2.5</f>
        <v>24.5</v>
      </c>
      <c r="Y397" s="265"/>
      <c r="Z397" s="286">
        <f>22+2.5</f>
        <v>24.5</v>
      </c>
      <c r="AA397" s="265"/>
      <c r="AB397" s="286">
        <f>22+2.5</f>
        <v>24.5</v>
      </c>
      <c r="AC397" s="265"/>
      <c r="AD397" s="286">
        <f>22+2.5</f>
        <v>24.5</v>
      </c>
      <c r="AE397" s="265"/>
      <c r="AF397" s="286">
        <f>22+2.5</f>
        <v>24.5</v>
      </c>
      <c r="AG397" s="265"/>
      <c r="AH397" s="286">
        <f>22+2.5</f>
        <v>24.5</v>
      </c>
      <c r="AI397" s="265"/>
      <c r="AJ397" s="264">
        <f>21.3+6</f>
        <v>27.3</v>
      </c>
      <c r="AK397" s="265"/>
    </row>
    <row r="398" spans="1:37" x14ac:dyDescent="0.15">
      <c r="A398" s="413">
        <v>7</v>
      </c>
      <c r="B398" s="534"/>
      <c r="C398" s="535"/>
      <c r="D398" s="535"/>
      <c r="E398" s="536"/>
      <c r="F398" s="47" t="str">
        <f>VLOOKUP($H:$H,型材表!$B$5:$I$448,2,0)</f>
        <v>假中梃</v>
      </c>
      <c r="G398" s="45"/>
      <c r="H398" s="45" t="str">
        <f>IF(G377=55,"SN55T101",IF(G377=551,"SN55BT101",IF(G377=60,"SN60T101",IF(G377=601,"SN60AT101",IF(G377=65,"SN65AT101",IF(G377=70,"SN70T101",IF(G377=75,"SN75T101",IF(G377=50,"SW50Z001"))))))))</f>
        <v>SN60T101</v>
      </c>
      <c r="I398" s="207" t="s">
        <v>1216</v>
      </c>
      <c r="J398" s="46">
        <f>IF(G377=55,M381-V398,IF(G377=551,M381-X398,IF(G377=60,M381-Z398,IF(G377=601,M381-AB398,IF(G377=65,M381-AD398,IF(G377=70,M381-AF398,IF(G377=75,M381-AH398,IF(G377=50,M381-AJ397))))))))</f>
        <v>1254</v>
      </c>
      <c r="K398" s="45">
        <v>1</v>
      </c>
      <c r="L398" s="47">
        <f>VLOOKUP($H:$H,型材表!$B$5:$I$448,4,0)</f>
        <v>1.218</v>
      </c>
      <c r="M398" s="46">
        <f t="shared" si="65"/>
        <v>1.5273720000000002</v>
      </c>
      <c r="N398" s="72">
        <f>VLOOKUP($H:$H,型材表!$B$5:$I$448,7,0)</f>
        <v>0</v>
      </c>
      <c r="O398" s="46">
        <f t="shared" si="66"/>
        <v>0</v>
      </c>
      <c r="P398" s="100">
        <f>VLOOKUP($H:$H,型材表!$B$5:$I$448,5,0)</f>
        <v>0.125</v>
      </c>
      <c r="Q398" s="100" t="str">
        <f>VLOOKUP($H:$H,型材表!$B$5:$I$448,6,0)</f>
        <v>断桥隔热铝型材</v>
      </c>
      <c r="R398" s="49"/>
      <c r="S398" s="50"/>
      <c r="T398" s="459"/>
      <c r="U398" s="374" t="s">
        <v>1234</v>
      </c>
      <c r="V398" s="259">
        <f>23*2</f>
        <v>46</v>
      </c>
      <c r="X398" s="286">
        <f>23*2</f>
        <v>46</v>
      </c>
      <c r="Y398" s="265"/>
      <c r="Z398" s="286">
        <f>23*2</f>
        <v>46</v>
      </c>
      <c r="AA398" s="265"/>
      <c r="AB398" s="286">
        <f>23*2</f>
        <v>46</v>
      </c>
      <c r="AC398" s="265"/>
      <c r="AD398" s="286">
        <f>23*2</f>
        <v>46</v>
      </c>
      <c r="AE398" s="265"/>
      <c r="AF398" s="286">
        <f>23*2</f>
        <v>46</v>
      </c>
      <c r="AG398" s="265"/>
      <c r="AH398" s="286">
        <f>23*2</f>
        <v>46</v>
      </c>
      <c r="AI398" s="265"/>
      <c r="AJ398" s="264">
        <f>23.3*2</f>
        <v>46.6</v>
      </c>
      <c r="AK398" s="265"/>
    </row>
    <row r="399" spans="1:37" s="315" customFormat="1" x14ac:dyDescent="0.15">
      <c r="A399" s="413">
        <v>8</v>
      </c>
      <c r="B399" s="534"/>
      <c r="C399" s="535"/>
      <c r="D399" s="535"/>
      <c r="E399" s="536"/>
      <c r="F399" s="310"/>
      <c r="G399" s="116"/>
      <c r="H399" s="116"/>
      <c r="I399" s="328"/>
      <c r="J399" s="147"/>
      <c r="K399" s="116"/>
      <c r="L399" s="310"/>
      <c r="M399" s="147"/>
      <c r="N399" s="311"/>
      <c r="O399" s="147"/>
      <c r="P399" s="312"/>
      <c r="Q399" s="100"/>
      <c r="R399" s="313"/>
      <c r="S399" s="314"/>
      <c r="T399" s="469"/>
      <c r="U399" s="376"/>
      <c r="V399" s="316"/>
      <c r="W399" s="316"/>
      <c r="X399" s="317"/>
      <c r="Y399" s="318"/>
      <c r="Z399" s="317"/>
      <c r="AA399" s="318"/>
      <c r="AB399" s="317"/>
      <c r="AC399" s="318"/>
      <c r="AD399" s="317"/>
      <c r="AE399" s="318"/>
      <c r="AF399" s="317"/>
      <c r="AG399" s="318"/>
      <c r="AH399" s="317"/>
      <c r="AI399" s="318"/>
      <c r="AJ399" s="317"/>
      <c r="AK399" s="318"/>
    </row>
    <row r="400" spans="1:37" s="315" customFormat="1" x14ac:dyDescent="0.15">
      <c r="A400" s="413">
        <v>9</v>
      </c>
      <c r="B400" s="534"/>
      <c r="C400" s="535"/>
      <c r="D400" s="535"/>
      <c r="E400" s="536"/>
      <c r="F400" s="310"/>
      <c r="G400" s="116"/>
      <c r="H400" s="328"/>
      <c r="I400" s="328"/>
      <c r="J400" s="329"/>
      <c r="K400" s="328"/>
      <c r="L400" s="310"/>
      <c r="M400" s="147"/>
      <c r="N400" s="311"/>
      <c r="O400" s="147"/>
      <c r="P400" s="312"/>
      <c r="Q400" s="100"/>
      <c r="R400" s="330"/>
      <c r="S400" s="314"/>
      <c r="T400" s="469"/>
      <c r="U400" s="376"/>
      <c r="V400" s="316"/>
      <c r="W400" s="316"/>
      <c r="X400" s="317"/>
      <c r="Y400" s="318"/>
      <c r="Z400" s="317"/>
      <c r="AA400" s="318"/>
      <c r="AB400" s="317"/>
      <c r="AC400" s="318"/>
      <c r="AD400" s="317"/>
      <c r="AE400" s="318"/>
      <c r="AF400" s="317"/>
      <c r="AG400" s="318"/>
      <c r="AH400" s="317"/>
      <c r="AI400" s="318"/>
      <c r="AJ400" s="317"/>
      <c r="AK400" s="318"/>
    </row>
    <row r="401" spans="1:37" x14ac:dyDescent="0.15">
      <c r="A401" s="413">
        <v>10</v>
      </c>
      <c r="B401" s="537"/>
      <c r="C401" s="538"/>
      <c r="D401" s="538"/>
      <c r="E401" s="539"/>
      <c r="F401" s="47"/>
      <c r="G401" s="45"/>
      <c r="H401" s="45"/>
      <c r="I401" s="207"/>
      <c r="J401" s="46"/>
      <c r="K401" s="45"/>
      <c r="L401" s="47"/>
      <c r="M401" s="46"/>
      <c r="N401" s="72"/>
      <c r="O401" s="46"/>
      <c r="P401" s="100"/>
      <c r="Q401" s="100"/>
      <c r="R401" s="49"/>
      <c r="S401" s="50"/>
      <c r="T401" s="459"/>
      <c r="X401" s="286"/>
      <c r="Y401" s="265"/>
      <c r="Z401" s="286"/>
      <c r="AA401" s="265"/>
      <c r="AB401" s="286"/>
      <c r="AC401" s="265"/>
      <c r="AD401" s="286"/>
      <c r="AE401" s="265"/>
      <c r="AF401" s="286"/>
      <c r="AG401" s="265"/>
      <c r="AH401" s="286"/>
      <c r="AI401" s="265"/>
      <c r="AJ401" s="264"/>
      <c r="AK401" s="265"/>
    </row>
    <row r="402" spans="1:37" ht="13.5" customHeight="1" x14ac:dyDescent="0.15">
      <c r="A402" s="413">
        <v>11</v>
      </c>
      <c r="B402" s="531" t="s">
        <v>44</v>
      </c>
      <c r="C402" s="532"/>
      <c r="D402" s="532"/>
      <c r="E402" s="533"/>
      <c r="F402" s="47" t="str">
        <f>VLOOKUP($H:$H,型材表!$B$5:$I$448,2,0)</f>
        <v>压线</v>
      </c>
      <c r="G402" s="45" t="s">
        <v>39</v>
      </c>
      <c r="H402" s="45" t="str">
        <f>IF(G377=55,"SN55Y001",IF(G377=551,"SW55BY001",IF(G377=60,"SN60Y001",IF(G377=601,"SW60AY001",IF(G377=65,"SN65AY001",IF(G377=70,"SN70Y001",IF(G377=75,"SN75Y001",IF(G377=50,"SW50Y001"))))))))</f>
        <v>SN60Y001</v>
      </c>
      <c r="I402" s="207" t="s">
        <v>1218</v>
      </c>
      <c r="J402" s="52">
        <f>IF(G377=55,M381-V402,IF(G377=551,M381-X402,IF(G377=60,M381-Z402,IF(G377=601,M381-AB402,IF(G377=65,M381-AD402,IF(G377=70,M381-AF402,IF(G377=75,M381-AH402,IF(G377=50,M381-AJ402))))))))</f>
        <v>1157</v>
      </c>
      <c r="K402" s="45">
        <f>K397</f>
        <v>4</v>
      </c>
      <c r="L402" s="47">
        <f>VLOOKUP($H:$H,型材表!$B$5:$I$448,4,0)</f>
        <v>0.23799999999999999</v>
      </c>
      <c r="M402" s="46">
        <f t="shared" ref="M402:M406" si="67">J402*K402*L402/1000</f>
        <v>1.101464</v>
      </c>
      <c r="N402" s="72">
        <f>VLOOKUP($H:$H,型材表!$B$5:$I$448,7,0)</f>
        <v>0</v>
      </c>
      <c r="O402" s="46">
        <f t="shared" ref="O402:O406" si="68">N402*M402</f>
        <v>0</v>
      </c>
      <c r="P402" s="100">
        <f>VLOOKUP($H:$H,型材表!$B$5:$I$448,5,0)</f>
        <v>0.125</v>
      </c>
      <c r="Q402" s="100" t="str">
        <f>VLOOKUP($H:$H,型材表!$B$5:$I$448,6,0)</f>
        <v>非断桥隔热铝型材</v>
      </c>
      <c r="R402" s="49"/>
      <c r="S402" s="50"/>
      <c r="T402" s="459"/>
      <c r="U402" s="374" t="s">
        <v>1231</v>
      </c>
      <c r="V402" s="269">
        <f>71.5*2</f>
        <v>143</v>
      </c>
      <c r="X402" s="279">
        <f>71.5*2</f>
        <v>143</v>
      </c>
      <c r="Y402" s="265"/>
      <c r="Z402" s="279">
        <f>71.5*2</f>
        <v>143</v>
      </c>
      <c r="AA402" s="265"/>
      <c r="AB402" s="279">
        <f>71.5*2</f>
        <v>143</v>
      </c>
      <c r="AC402" s="265"/>
      <c r="AD402" s="279">
        <f>71.5*2</f>
        <v>143</v>
      </c>
      <c r="AE402" s="265"/>
      <c r="AF402" s="279">
        <f>75*2</f>
        <v>150</v>
      </c>
      <c r="AG402" s="265"/>
      <c r="AH402" s="279">
        <f>75*2</f>
        <v>150</v>
      </c>
      <c r="AI402" s="265"/>
      <c r="AJ402" s="279">
        <f>66*2</f>
        <v>132</v>
      </c>
      <c r="AK402" s="265"/>
    </row>
    <row r="403" spans="1:37" x14ac:dyDescent="0.15">
      <c r="A403" s="413">
        <v>12</v>
      </c>
      <c r="B403" s="534"/>
      <c r="C403" s="535"/>
      <c r="D403" s="535"/>
      <c r="E403" s="536"/>
      <c r="F403" s="47" t="str">
        <f>VLOOKUP($H:$H,型材表!$B$5:$I$448,2,0)</f>
        <v>压线</v>
      </c>
      <c r="G403" s="45" t="s">
        <v>144</v>
      </c>
      <c r="H403" s="207" t="str">
        <f>H402</f>
        <v>SN60Y001</v>
      </c>
      <c r="I403" s="207" t="s">
        <v>1225</v>
      </c>
      <c r="J403" s="214">
        <f>IF(G377=55,M384-V403,IF(G377=551,M384-X403,IF(G377=60,M384-Z403,IF(G377=601,M384-AB403,IF(G377=65,M384-AD403,IF(G377=70,M384-AF403,IF(G377=75,M384-AH403,IF(G377=50,M384-AJ403))))))))</f>
        <v>476.5</v>
      </c>
      <c r="K403" s="207">
        <v>4</v>
      </c>
      <c r="L403" s="47">
        <f>VLOOKUP($H:$H,型材表!$B$5:$I$448,4,0)</f>
        <v>0.23799999999999999</v>
      </c>
      <c r="M403" s="46">
        <f t="shared" si="67"/>
        <v>0.45362799999999998</v>
      </c>
      <c r="N403" s="72">
        <f>VLOOKUP($H:$H,型材表!$B$5:$I$448,7,0)</f>
        <v>0</v>
      </c>
      <c r="O403" s="46">
        <f t="shared" si="68"/>
        <v>0</v>
      </c>
      <c r="P403" s="100">
        <f>VLOOKUP($H:$H,型材表!$B$5:$I$448,5,0)</f>
        <v>0.125</v>
      </c>
      <c r="Q403" s="100" t="str">
        <f>VLOOKUP($H:$H,型材表!$B$5:$I$448,6,0)</f>
        <v>非断桥隔热铝型材</v>
      </c>
      <c r="R403" s="210"/>
      <c r="S403" s="50"/>
      <c r="T403" s="459"/>
      <c r="U403" s="374" t="s">
        <v>1235</v>
      </c>
      <c r="V403" s="259">
        <f>71.5+104/2</f>
        <v>123.5</v>
      </c>
      <c r="X403" s="286">
        <f>71.5+104/2</f>
        <v>123.5</v>
      </c>
      <c r="Y403" s="265"/>
      <c r="Z403" s="286">
        <f>71.5+104/2</f>
        <v>123.5</v>
      </c>
      <c r="AA403" s="265"/>
      <c r="AB403" s="286">
        <f>71.5+104/2</f>
        <v>123.5</v>
      </c>
      <c r="AC403" s="265"/>
      <c r="AD403" s="286">
        <f>71.5+104/2</f>
        <v>123.5</v>
      </c>
      <c r="AE403" s="265"/>
      <c r="AF403" s="286">
        <f>75+111/2</f>
        <v>130.5</v>
      </c>
      <c r="AG403" s="265"/>
      <c r="AH403" s="286">
        <f>75+111/2</f>
        <v>130.5</v>
      </c>
      <c r="AI403" s="265"/>
      <c r="AJ403" s="264">
        <f>66+101.4/2</f>
        <v>116.7</v>
      </c>
      <c r="AK403" s="265"/>
    </row>
    <row r="404" spans="1:37" x14ac:dyDescent="0.15">
      <c r="A404" s="413">
        <v>13</v>
      </c>
      <c r="B404" s="534"/>
      <c r="C404" s="535"/>
      <c r="D404" s="535"/>
      <c r="E404" s="536"/>
      <c r="F404" s="47" t="str">
        <f>VLOOKUP($H:$H,型材表!$B$5:$I$448,2,0)</f>
        <v>角码</v>
      </c>
      <c r="G404" s="213" t="s">
        <v>446</v>
      </c>
      <c r="H404" s="207" t="str">
        <f>IF(G377=70,"SN55F003",IF(G377=75,"SN55F003",IF(G377=50,"SW50F002","SW55F001")))</f>
        <v>SW55F001</v>
      </c>
      <c r="I404" s="207" t="s">
        <v>1210</v>
      </c>
      <c r="J404" s="214">
        <f>IF(G377=55,V404,IF(G377=551,X404,IF(G377=60,Z404,IF(G377=601,AB404,IF(G377=65,AD404,IF(G377=70,AF404,IF(G377=75,AH404,IF(G377=50,AJ404))))))))</f>
        <v>32.200000000000003</v>
      </c>
      <c r="K404" s="207">
        <v>4</v>
      </c>
      <c r="L404" s="47">
        <f>VLOOKUP($H:$H,型材表!$B$5:$I$448,4,0)</f>
        <v>2.0950000000000002</v>
      </c>
      <c r="M404" s="46">
        <f t="shared" si="67"/>
        <v>0.26983600000000008</v>
      </c>
      <c r="N404" s="72">
        <f>VLOOKUP($H:$H,型材表!$B$5:$I$448,7,0)</f>
        <v>0</v>
      </c>
      <c r="O404" s="46">
        <f t="shared" si="68"/>
        <v>0</v>
      </c>
      <c r="P404" s="100">
        <f>VLOOKUP($H:$H,型材表!$B$5:$I$448,5,0)</f>
        <v>0.125</v>
      </c>
      <c r="Q404" s="100" t="str">
        <f>VLOOKUP($H:$H,型材表!$B$5:$I$448,6,0)</f>
        <v>阳极氧化铝型材</v>
      </c>
      <c r="R404" s="210"/>
      <c r="S404" s="50"/>
      <c r="T404" s="459"/>
      <c r="U404" s="374" t="s">
        <v>1210</v>
      </c>
      <c r="V404" s="259">
        <f>19.5-1+14.7-1</f>
        <v>32.200000000000003</v>
      </c>
      <c r="X404" s="264">
        <f>19.5-1+10.9-1</f>
        <v>28.4</v>
      </c>
      <c r="Y404" s="265"/>
      <c r="Z404" s="264">
        <f>19.5-1+14.7-1</f>
        <v>32.200000000000003</v>
      </c>
      <c r="AA404" s="265"/>
      <c r="AB404" s="264">
        <f>19.5-1+10.9-1</f>
        <v>28.4</v>
      </c>
      <c r="AC404" s="265"/>
      <c r="AD404" s="264">
        <f>19.5-1+14.7-1</f>
        <v>32.200000000000003</v>
      </c>
      <c r="AE404" s="265"/>
      <c r="AF404" s="264">
        <f>19.5-1+14.7-1</f>
        <v>32.200000000000003</v>
      </c>
      <c r="AG404" s="265"/>
      <c r="AH404" s="264">
        <f>19.5-1+14.7-1</f>
        <v>32.200000000000003</v>
      </c>
      <c r="AI404" s="265"/>
      <c r="AJ404" s="264">
        <f>15-1</f>
        <v>14</v>
      </c>
      <c r="AK404" s="265"/>
    </row>
    <row r="405" spans="1:37" s="229" customFormat="1" x14ac:dyDescent="0.15">
      <c r="A405" s="413">
        <v>14</v>
      </c>
      <c r="B405" s="534"/>
      <c r="C405" s="535"/>
      <c r="D405" s="535"/>
      <c r="E405" s="536"/>
      <c r="F405" s="47" t="str">
        <f>VLOOKUP($H:$H,型材表!$B$5:$I$448,2,0)</f>
        <v>角码</v>
      </c>
      <c r="G405" s="230" t="s">
        <v>447</v>
      </c>
      <c r="H405" s="222" t="str">
        <f>IF(G377=70,"SW70F001",IF(G377=75,"SW70F001",IF(G377=50,"SW50F003","SN55MF004")))</f>
        <v>SN55MF004</v>
      </c>
      <c r="I405" s="207" t="s">
        <v>995</v>
      </c>
      <c r="J405" s="214">
        <f>IF(G377=55,V405,IF(G377=551,X405,IF(G377=60,Z405,IF(G377=601,AB405,IF(G377=65,AD405,IF(G377=70,AF405,IF(G377=75,AH405,IF(G377=50,AJ405))))))))</f>
        <v>30.2</v>
      </c>
      <c r="K405" s="207">
        <v>4</v>
      </c>
      <c r="L405" s="47">
        <f>VLOOKUP($H:$H,型材表!$B$5:$I$448,4,0)</f>
        <v>2.996</v>
      </c>
      <c r="M405" s="46">
        <f t="shared" si="67"/>
        <v>0.36191679999999998</v>
      </c>
      <c r="N405" s="72">
        <f>VLOOKUP($H:$H,型材表!$B$5:$I$448,7,0)</f>
        <v>0</v>
      </c>
      <c r="O405" s="46">
        <f t="shared" si="68"/>
        <v>0</v>
      </c>
      <c r="P405" s="100">
        <f>VLOOKUP($H:$H,型材表!$B$5:$I$448,5,0)</f>
        <v>0.125</v>
      </c>
      <c r="Q405" s="100" t="str">
        <f>VLOOKUP($H:$H,型材表!$B$5:$I$448,6,0)</f>
        <v>阳极氧化铝型材</v>
      </c>
      <c r="R405" s="227"/>
      <c r="S405" s="228"/>
      <c r="T405" s="467"/>
      <c r="U405" s="375" t="s">
        <v>1219</v>
      </c>
      <c r="V405" s="266">
        <f>8-1+24.2-1</f>
        <v>30.2</v>
      </c>
      <c r="W405" s="266"/>
      <c r="X405" s="267">
        <f>4.2-1+24.2-1</f>
        <v>26.4</v>
      </c>
      <c r="Y405" s="268"/>
      <c r="Z405" s="267">
        <f>8-1+24.2-1</f>
        <v>30.2</v>
      </c>
      <c r="AA405" s="268"/>
      <c r="AB405" s="267">
        <f>4.2-1+24.2-1</f>
        <v>26.4</v>
      </c>
      <c r="AC405" s="268"/>
      <c r="AD405" s="267">
        <f>8-1+24.2-1</f>
        <v>30.2</v>
      </c>
      <c r="AE405" s="268"/>
      <c r="AF405" s="267">
        <f>7.3-1+24-1</f>
        <v>29.3</v>
      </c>
      <c r="AG405" s="268"/>
      <c r="AH405" s="267">
        <f>7.3-1+24-1</f>
        <v>29.3</v>
      </c>
      <c r="AI405" s="268"/>
      <c r="AJ405" s="267">
        <f>18.9-1</f>
        <v>17.899999999999999</v>
      </c>
      <c r="AK405" s="268"/>
    </row>
    <row r="406" spans="1:37" x14ac:dyDescent="0.15">
      <c r="A406" s="413">
        <v>15</v>
      </c>
      <c r="B406" s="534"/>
      <c r="C406" s="535"/>
      <c r="D406" s="535"/>
      <c r="E406" s="536"/>
      <c r="F406" s="47">
        <f>VLOOKUP($H:$H,型材表!$B$5:$I$448,2,0)</f>
        <v>0</v>
      </c>
      <c r="G406" s="51"/>
      <c r="H406" s="45">
        <f>IF(G377=50,"SW50F004",0)</f>
        <v>0</v>
      </c>
      <c r="I406" s="207" t="s">
        <v>1226</v>
      </c>
      <c r="J406" s="52">
        <f>IF(G377=55,V406,IF(G377=551,X406,IF(G377=60,Z406,IF(G377=601,AB406,IF(G377=65,AD406,IF(G377=70,AF406,IF(G377=75,AH406,IF(G377=50,AJ406))))))))</f>
        <v>0</v>
      </c>
      <c r="K406" s="45">
        <f>IF(G377=50,2,0)</f>
        <v>0</v>
      </c>
      <c r="L406" s="47">
        <f>VLOOKUP($H:$H,型材表!$B$5:$I$448,4,0)</f>
        <v>0</v>
      </c>
      <c r="M406" s="46">
        <f t="shared" si="67"/>
        <v>0</v>
      </c>
      <c r="N406" s="72">
        <f>VLOOKUP($H:$H,型材表!$B$5:$I$448,7,0)</f>
        <v>0</v>
      </c>
      <c r="O406" s="46">
        <f t="shared" si="68"/>
        <v>0</v>
      </c>
      <c r="P406" s="100">
        <f>VLOOKUP($H:$H,型材表!$B$5:$I$448,5,0)</f>
        <v>0</v>
      </c>
      <c r="Q406" s="100">
        <f>VLOOKUP($H:$H,型材表!$B$5:$I$448,6,0)</f>
        <v>0</v>
      </c>
      <c r="R406" s="49"/>
      <c r="S406" s="50"/>
      <c r="T406" s="459"/>
      <c r="U406" s="374" t="s">
        <v>1226</v>
      </c>
      <c r="X406" s="264"/>
      <c r="Y406" s="265"/>
      <c r="Z406" s="286"/>
      <c r="AA406" s="265"/>
      <c r="AB406" s="264"/>
      <c r="AC406" s="265"/>
      <c r="AD406" s="286"/>
      <c r="AE406" s="265"/>
      <c r="AF406" s="286"/>
      <c r="AG406" s="265"/>
      <c r="AH406" s="286"/>
      <c r="AI406" s="265"/>
      <c r="AJ406" s="264">
        <f>13.2-1</f>
        <v>12.2</v>
      </c>
      <c r="AK406" s="265"/>
    </row>
    <row r="407" spans="1:37" x14ac:dyDescent="0.15">
      <c r="A407" s="413">
        <v>16</v>
      </c>
      <c r="B407" s="534"/>
      <c r="C407" s="535"/>
      <c r="D407" s="535"/>
      <c r="E407" s="536"/>
      <c r="F407" s="47"/>
      <c r="G407" s="213"/>
      <c r="H407" s="207"/>
      <c r="I407" s="207"/>
      <c r="J407" s="214"/>
      <c r="K407" s="207"/>
      <c r="L407" s="47"/>
      <c r="M407" s="46"/>
      <c r="N407" s="72"/>
      <c r="O407" s="46"/>
      <c r="P407" s="100"/>
      <c r="Q407" s="100"/>
      <c r="R407" s="210"/>
      <c r="S407" s="50"/>
      <c r="T407" s="459"/>
      <c r="X407" s="264"/>
      <c r="Y407" s="265"/>
      <c r="Z407" s="286"/>
      <c r="AA407" s="265"/>
      <c r="AB407" s="264"/>
      <c r="AC407" s="265"/>
      <c r="AD407" s="286"/>
      <c r="AE407" s="265"/>
      <c r="AF407" s="286"/>
      <c r="AG407" s="265"/>
      <c r="AH407" s="286"/>
      <c r="AI407" s="265"/>
      <c r="AJ407" s="264"/>
      <c r="AK407" s="265"/>
    </row>
    <row r="408" spans="1:37" x14ac:dyDescent="0.15">
      <c r="A408" s="413">
        <v>17</v>
      </c>
      <c r="B408" s="534"/>
      <c r="C408" s="535"/>
      <c r="D408" s="535"/>
      <c r="E408" s="536"/>
      <c r="F408" s="306"/>
      <c r="G408" s="213"/>
      <c r="H408" s="207"/>
      <c r="I408" s="207"/>
      <c r="J408" s="214"/>
      <c r="K408" s="207"/>
      <c r="L408" s="306"/>
      <c r="M408" s="208"/>
      <c r="N408" s="209"/>
      <c r="O408" s="208"/>
      <c r="P408" s="307"/>
      <c r="Q408" s="100"/>
      <c r="R408" s="210"/>
      <c r="S408" s="50"/>
      <c r="T408" s="459"/>
      <c r="X408" s="264"/>
      <c r="Y408" s="265"/>
      <c r="Z408" s="264"/>
      <c r="AA408" s="265"/>
      <c r="AB408" s="264"/>
      <c r="AC408" s="265"/>
      <c r="AD408" s="264"/>
      <c r="AE408" s="265"/>
      <c r="AF408" s="264"/>
      <c r="AG408" s="265"/>
      <c r="AH408" s="264"/>
      <c r="AI408" s="265"/>
      <c r="AJ408" s="264"/>
      <c r="AK408" s="265"/>
    </row>
    <row r="409" spans="1:37" x14ac:dyDescent="0.15">
      <c r="A409" s="413">
        <v>18</v>
      </c>
      <c r="B409" s="534"/>
      <c r="C409" s="535"/>
      <c r="D409" s="535"/>
      <c r="E409" s="536"/>
      <c r="F409" s="306"/>
      <c r="G409" s="213"/>
      <c r="H409" s="207"/>
      <c r="I409" s="207"/>
      <c r="J409" s="214"/>
      <c r="K409" s="207"/>
      <c r="L409" s="306"/>
      <c r="M409" s="208"/>
      <c r="N409" s="209"/>
      <c r="O409" s="208"/>
      <c r="P409" s="307"/>
      <c r="Q409" s="100"/>
      <c r="R409" s="210"/>
      <c r="S409" s="50"/>
      <c r="T409" s="459"/>
      <c r="X409" s="264"/>
      <c r="Y409" s="265"/>
      <c r="Z409" s="264"/>
      <c r="AA409" s="265"/>
      <c r="AB409" s="264"/>
      <c r="AC409" s="265"/>
      <c r="AD409" s="264"/>
      <c r="AE409" s="265"/>
      <c r="AF409" s="264"/>
      <c r="AG409" s="265"/>
      <c r="AH409" s="264"/>
      <c r="AI409" s="265"/>
      <c r="AJ409" s="264"/>
      <c r="AK409" s="265"/>
    </row>
    <row r="410" spans="1:37" x14ac:dyDescent="0.15">
      <c r="A410" s="413">
        <v>19</v>
      </c>
      <c r="B410" s="534"/>
      <c r="C410" s="535"/>
      <c r="D410" s="535"/>
      <c r="E410" s="536"/>
      <c r="F410" s="306"/>
      <c r="G410" s="213"/>
      <c r="H410" s="207"/>
      <c r="I410" s="207"/>
      <c r="J410" s="214"/>
      <c r="K410" s="207"/>
      <c r="L410" s="306"/>
      <c r="M410" s="208"/>
      <c r="N410" s="209"/>
      <c r="O410" s="208"/>
      <c r="P410" s="307"/>
      <c r="Q410" s="100"/>
      <c r="R410" s="210"/>
      <c r="S410" s="50"/>
      <c r="T410" s="459"/>
      <c r="X410" s="264"/>
      <c r="Y410" s="265"/>
      <c r="Z410" s="264"/>
      <c r="AA410" s="265"/>
      <c r="AB410" s="264"/>
      <c r="AC410" s="265"/>
      <c r="AD410" s="264"/>
      <c r="AE410" s="265"/>
      <c r="AF410" s="264"/>
      <c r="AG410" s="265"/>
      <c r="AH410" s="264"/>
      <c r="AI410" s="265"/>
      <c r="AJ410" s="264"/>
      <c r="AK410" s="265"/>
    </row>
    <row r="411" spans="1:37" x14ac:dyDescent="0.15">
      <c r="A411" s="413">
        <v>20</v>
      </c>
      <c r="B411" s="534"/>
      <c r="C411" s="535"/>
      <c r="D411" s="535"/>
      <c r="E411" s="536"/>
      <c r="F411" s="306"/>
      <c r="G411" s="213"/>
      <c r="H411" s="207"/>
      <c r="I411" s="207"/>
      <c r="J411" s="214"/>
      <c r="K411" s="207"/>
      <c r="L411" s="306"/>
      <c r="M411" s="208"/>
      <c r="N411" s="209"/>
      <c r="O411" s="208"/>
      <c r="P411" s="307"/>
      <c r="Q411" s="307"/>
      <c r="R411" s="210"/>
      <c r="S411" s="50"/>
      <c r="T411" s="459"/>
      <c r="X411" s="264"/>
      <c r="Y411" s="265"/>
      <c r="Z411" s="264"/>
      <c r="AA411" s="265"/>
      <c r="AB411" s="264"/>
      <c r="AC411" s="265"/>
      <c r="AD411" s="264"/>
      <c r="AE411" s="265"/>
      <c r="AF411" s="264"/>
      <c r="AG411" s="265"/>
      <c r="AH411" s="264"/>
      <c r="AI411" s="265"/>
      <c r="AJ411" s="264"/>
      <c r="AK411" s="265"/>
    </row>
    <row r="412" spans="1:37" x14ac:dyDescent="0.15">
      <c r="A412" s="413">
        <v>21</v>
      </c>
      <c r="B412" s="534"/>
      <c r="C412" s="535"/>
      <c r="D412" s="535"/>
      <c r="E412" s="536"/>
      <c r="F412" s="306"/>
      <c r="G412" s="213"/>
      <c r="H412" s="207"/>
      <c r="I412" s="207"/>
      <c r="J412" s="214"/>
      <c r="K412" s="207"/>
      <c r="L412" s="306"/>
      <c r="M412" s="208"/>
      <c r="N412" s="209"/>
      <c r="O412" s="208"/>
      <c r="P412" s="307"/>
      <c r="Q412" s="307"/>
      <c r="R412" s="210"/>
      <c r="S412" s="50"/>
      <c r="T412" s="459"/>
      <c r="X412" s="264"/>
      <c r="Y412" s="265"/>
      <c r="Z412" s="264"/>
      <c r="AA412" s="265"/>
      <c r="AB412" s="264"/>
      <c r="AC412" s="265"/>
      <c r="AD412" s="264"/>
      <c r="AE412" s="265"/>
      <c r="AF412" s="264"/>
      <c r="AG412" s="265"/>
      <c r="AH412" s="264"/>
      <c r="AI412" s="265"/>
      <c r="AJ412" s="264"/>
      <c r="AK412" s="265"/>
    </row>
    <row r="413" spans="1:37" x14ac:dyDescent="0.15">
      <c r="A413" s="413">
        <v>22</v>
      </c>
      <c r="B413" s="534"/>
      <c r="C413" s="535"/>
      <c r="D413" s="535"/>
      <c r="E413" s="536"/>
      <c r="F413" s="306"/>
      <c r="G413" s="213"/>
      <c r="H413" s="207"/>
      <c r="I413" s="207"/>
      <c r="J413" s="214"/>
      <c r="K413" s="207"/>
      <c r="L413" s="306"/>
      <c r="M413" s="208"/>
      <c r="N413" s="209"/>
      <c r="O413" s="208"/>
      <c r="P413" s="307"/>
      <c r="Q413" s="307"/>
      <c r="R413" s="210"/>
      <c r="S413" s="50"/>
      <c r="T413" s="459"/>
      <c r="X413" s="264"/>
      <c r="Y413" s="265"/>
      <c r="Z413" s="264"/>
      <c r="AA413" s="265"/>
      <c r="AB413" s="264"/>
      <c r="AC413" s="265"/>
      <c r="AD413" s="264"/>
      <c r="AE413" s="265"/>
      <c r="AF413" s="264"/>
      <c r="AG413" s="265"/>
      <c r="AH413" s="264"/>
      <c r="AI413" s="265"/>
      <c r="AJ413" s="264"/>
      <c r="AK413" s="265"/>
    </row>
    <row r="414" spans="1:37" x14ac:dyDescent="0.15">
      <c r="A414" s="413">
        <v>23</v>
      </c>
      <c r="B414" s="534"/>
      <c r="C414" s="535"/>
      <c r="D414" s="535"/>
      <c r="E414" s="536"/>
      <c r="F414" s="306"/>
      <c r="G414" s="213"/>
      <c r="H414" s="207"/>
      <c r="I414" s="207"/>
      <c r="J414" s="214"/>
      <c r="K414" s="207"/>
      <c r="L414" s="306"/>
      <c r="M414" s="208"/>
      <c r="N414" s="209"/>
      <c r="O414" s="208"/>
      <c r="P414" s="307"/>
      <c r="Q414" s="307"/>
      <c r="R414" s="210"/>
      <c r="S414" s="50"/>
      <c r="T414" s="459"/>
      <c r="X414" s="264"/>
      <c r="Y414" s="265"/>
      <c r="Z414" s="264"/>
      <c r="AA414" s="265"/>
      <c r="AB414" s="264"/>
      <c r="AC414" s="265"/>
      <c r="AD414" s="264"/>
      <c r="AE414" s="265"/>
      <c r="AF414" s="264"/>
      <c r="AG414" s="265"/>
      <c r="AH414" s="264"/>
      <c r="AI414" s="265"/>
      <c r="AJ414" s="264"/>
      <c r="AK414" s="265"/>
    </row>
    <row r="415" spans="1:37" x14ac:dyDescent="0.15">
      <c r="A415" s="413">
        <v>24</v>
      </c>
      <c r="B415" s="534"/>
      <c r="C415" s="535"/>
      <c r="D415" s="535"/>
      <c r="E415" s="536"/>
      <c r="F415" s="306"/>
      <c r="G415" s="213"/>
      <c r="H415" s="207"/>
      <c r="I415" s="207"/>
      <c r="J415" s="214"/>
      <c r="K415" s="207"/>
      <c r="L415" s="306"/>
      <c r="M415" s="208"/>
      <c r="N415" s="209"/>
      <c r="O415" s="208"/>
      <c r="P415" s="307"/>
      <c r="Q415" s="100"/>
      <c r="R415" s="210"/>
      <c r="S415" s="50"/>
      <c r="T415" s="459"/>
      <c r="X415" s="264"/>
      <c r="Y415" s="265"/>
      <c r="Z415" s="264"/>
      <c r="AA415" s="265"/>
      <c r="AB415" s="264"/>
      <c r="AC415" s="265"/>
      <c r="AD415" s="264"/>
      <c r="AE415" s="265"/>
      <c r="AF415" s="264"/>
      <c r="AG415" s="265"/>
      <c r="AH415" s="264"/>
      <c r="AI415" s="265"/>
      <c r="AJ415" s="264"/>
      <c r="AK415" s="265"/>
    </row>
    <row r="416" spans="1:37" x14ac:dyDescent="0.15">
      <c r="A416" s="413">
        <v>25</v>
      </c>
      <c r="B416" s="534"/>
      <c r="C416" s="535"/>
      <c r="D416" s="535"/>
      <c r="E416" s="536"/>
      <c r="F416" s="306"/>
      <c r="G416" s="213"/>
      <c r="H416" s="207"/>
      <c r="I416" s="207"/>
      <c r="J416" s="214"/>
      <c r="K416" s="207"/>
      <c r="L416" s="306"/>
      <c r="M416" s="208"/>
      <c r="N416" s="209"/>
      <c r="O416" s="208"/>
      <c r="P416" s="307"/>
      <c r="Q416" s="100"/>
      <c r="R416" s="210"/>
      <c r="S416" s="50"/>
      <c r="T416" s="459"/>
      <c r="X416" s="264"/>
      <c r="Y416" s="265"/>
      <c r="Z416" s="264"/>
      <c r="AA416" s="265"/>
      <c r="AB416" s="264"/>
      <c r="AC416" s="265"/>
      <c r="AD416" s="264"/>
      <c r="AE416" s="265"/>
      <c r="AF416" s="264"/>
      <c r="AG416" s="265"/>
      <c r="AH416" s="264"/>
      <c r="AI416" s="265"/>
      <c r="AJ416" s="264"/>
      <c r="AK416" s="265"/>
    </row>
    <row r="417" spans="1:37" x14ac:dyDescent="0.15">
      <c r="A417" s="413">
        <v>26</v>
      </c>
      <c r="B417" s="534"/>
      <c r="C417" s="535"/>
      <c r="D417" s="535"/>
      <c r="E417" s="536"/>
      <c r="F417" s="47"/>
      <c r="G417" s="213"/>
      <c r="H417" s="207"/>
      <c r="I417" s="207"/>
      <c r="J417" s="214"/>
      <c r="K417" s="207"/>
      <c r="L417" s="47"/>
      <c r="M417" s="46"/>
      <c r="N417" s="72"/>
      <c r="O417" s="46"/>
      <c r="P417" s="100"/>
      <c r="Q417" s="100"/>
      <c r="R417" s="210"/>
      <c r="S417" s="50"/>
      <c r="T417" s="459"/>
      <c r="X417" s="264"/>
      <c r="Y417" s="265"/>
      <c r="Z417" s="264"/>
      <c r="AA417" s="265"/>
      <c r="AB417" s="264"/>
      <c r="AC417" s="265"/>
      <c r="AD417" s="264"/>
      <c r="AE417" s="265"/>
      <c r="AF417" s="264"/>
      <c r="AG417" s="265"/>
      <c r="AH417" s="264"/>
      <c r="AI417" s="265"/>
      <c r="AJ417" s="264"/>
      <c r="AK417" s="265"/>
    </row>
    <row r="418" spans="1:37" s="229" customFormat="1" x14ac:dyDescent="0.15">
      <c r="A418" s="413">
        <v>27</v>
      </c>
      <c r="B418" s="537"/>
      <c r="C418" s="538"/>
      <c r="D418" s="538"/>
      <c r="E418" s="539"/>
      <c r="F418" s="221"/>
      <c r="G418" s="232"/>
      <c r="H418" s="233"/>
      <c r="I418" s="222"/>
      <c r="J418" s="234"/>
      <c r="K418" s="233"/>
      <c r="L418" s="221"/>
      <c r="M418" s="224"/>
      <c r="N418" s="225"/>
      <c r="O418" s="224"/>
      <c r="P418" s="226"/>
      <c r="Q418" s="226"/>
      <c r="R418" s="235"/>
      <c r="S418" s="228"/>
      <c r="T418" s="467"/>
      <c r="U418" s="375"/>
      <c r="V418" s="266"/>
      <c r="W418" s="266"/>
      <c r="X418" s="267"/>
      <c r="Y418" s="268"/>
      <c r="Z418" s="267"/>
      <c r="AA418" s="268"/>
      <c r="AB418" s="267"/>
      <c r="AC418" s="268"/>
      <c r="AD418" s="267"/>
      <c r="AE418" s="268"/>
      <c r="AF418" s="267"/>
      <c r="AG418" s="268"/>
      <c r="AH418" s="267"/>
      <c r="AI418" s="268"/>
      <c r="AJ418" s="267"/>
      <c r="AK418" s="268"/>
    </row>
    <row r="419" spans="1:37" s="229" customFormat="1" ht="13.5" customHeight="1" x14ac:dyDescent="0.15">
      <c r="A419" s="542" t="s">
        <v>975</v>
      </c>
      <c r="B419" s="543"/>
      <c r="C419" s="543"/>
      <c r="D419" s="543"/>
      <c r="E419" s="543"/>
      <c r="F419" s="543"/>
      <c r="G419" s="543"/>
      <c r="H419" s="543"/>
      <c r="I419" s="543"/>
      <c r="J419" s="543"/>
      <c r="K419" s="543"/>
      <c r="L419" s="544"/>
      <c r="M419" s="224">
        <f>SUMIF($Q$392:$Q$418,A419,$M$392:$M$418)</f>
        <v>17.256591999999998</v>
      </c>
      <c r="N419" s="353"/>
      <c r="O419" s="224"/>
      <c r="P419" s="354"/>
      <c r="Q419" s="355"/>
      <c r="R419" s="296"/>
      <c r="S419" s="228"/>
      <c r="T419" s="467"/>
      <c r="U419" s="375"/>
      <c r="V419" s="266"/>
      <c r="W419" s="266"/>
      <c r="X419" s="267"/>
      <c r="Y419" s="268"/>
      <c r="Z419" s="267"/>
      <c r="AA419" s="268"/>
      <c r="AB419" s="267"/>
      <c r="AC419" s="268"/>
      <c r="AD419" s="267"/>
      <c r="AE419" s="268"/>
      <c r="AF419" s="267"/>
      <c r="AG419" s="268"/>
      <c r="AH419" s="267"/>
      <c r="AI419" s="268"/>
      <c r="AJ419" s="267"/>
      <c r="AK419" s="268"/>
    </row>
    <row r="420" spans="1:37" s="229" customFormat="1" ht="13.5" customHeight="1" x14ac:dyDescent="0.15">
      <c r="A420" s="542" t="s">
        <v>976</v>
      </c>
      <c r="B420" s="543"/>
      <c r="C420" s="543"/>
      <c r="D420" s="543"/>
      <c r="E420" s="543"/>
      <c r="F420" s="543"/>
      <c r="G420" s="543"/>
      <c r="H420" s="543"/>
      <c r="I420" s="543"/>
      <c r="J420" s="543"/>
      <c r="K420" s="543"/>
      <c r="L420" s="544"/>
      <c r="M420" s="224">
        <f>SUMIF($Q$392:$Q$418,A420,$M$392:$M$418)</f>
        <v>1.5550919999999999</v>
      </c>
      <c r="N420" s="353"/>
      <c r="O420" s="224"/>
      <c r="P420" s="354"/>
      <c r="Q420" s="355"/>
      <c r="R420" s="296"/>
      <c r="S420" s="228"/>
      <c r="T420" s="467"/>
      <c r="U420" s="375"/>
      <c r="V420" s="266"/>
      <c r="W420" s="266"/>
      <c r="X420" s="267"/>
      <c r="Y420" s="268"/>
      <c r="Z420" s="267"/>
      <c r="AA420" s="268"/>
      <c r="AB420" s="267"/>
      <c r="AC420" s="268"/>
      <c r="AD420" s="267"/>
      <c r="AE420" s="268"/>
      <c r="AF420" s="267"/>
      <c r="AG420" s="268"/>
      <c r="AH420" s="267"/>
      <c r="AI420" s="268"/>
      <c r="AJ420" s="267"/>
      <c r="AK420" s="268"/>
    </row>
    <row r="421" spans="1:37" s="229" customFormat="1" ht="13.5" customHeight="1" x14ac:dyDescent="0.15">
      <c r="A421" s="542" t="s">
        <v>977</v>
      </c>
      <c r="B421" s="543"/>
      <c r="C421" s="543"/>
      <c r="D421" s="543"/>
      <c r="E421" s="543"/>
      <c r="F421" s="543"/>
      <c r="G421" s="543"/>
      <c r="H421" s="543"/>
      <c r="I421" s="543"/>
      <c r="J421" s="543"/>
      <c r="K421" s="543"/>
      <c r="L421" s="544"/>
      <c r="M421" s="224">
        <f>SUMIF($Q$392:$Q$418,A421,$M$392:$M$418)</f>
        <v>0.63175280000000011</v>
      </c>
      <c r="N421" s="353"/>
      <c r="O421" s="224"/>
      <c r="P421" s="354"/>
      <c r="Q421" s="355"/>
      <c r="R421" s="296"/>
      <c r="S421" s="228"/>
      <c r="T421" s="467"/>
      <c r="U421" s="375"/>
      <c r="V421" s="266"/>
      <c r="W421" s="266"/>
      <c r="X421" s="267"/>
      <c r="Y421" s="268"/>
      <c r="Z421" s="267"/>
      <c r="AA421" s="268"/>
      <c r="AB421" s="267"/>
      <c r="AC421" s="268"/>
      <c r="AD421" s="267"/>
      <c r="AE421" s="268"/>
      <c r="AF421" s="267"/>
      <c r="AG421" s="268"/>
      <c r="AH421" s="267"/>
      <c r="AI421" s="268"/>
      <c r="AJ421" s="267"/>
      <c r="AK421" s="268"/>
    </row>
    <row r="422" spans="1:37" ht="13.5" customHeight="1" x14ac:dyDescent="0.15">
      <c r="A422" s="552"/>
      <c r="B422" s="557"/>
      <c r="C422" s="557"/>
      <c r="D422" s="553"/>
      <c r="E422" s="552" t="s">
        <v>48</v>
      </c>
      <c r="F422" s="557"/>
      <c r="G422" s="557"/>
      <c r="H422" s="557"/>
      <c r="I422" s="557"/>
      <c r="J422" s="557"/>
      <c r="K422" s="553"/>
      <c r="L422" s="62"/>
      <c r="M422" s="62">
        <f>SUM(M419:M421)</f>
        <v>19.443436799999997</v>
      </c>
      <c r="N422" s="63"/>
      <c r="O422" s="62">
        <f>SUM(O392:O418)</f>
        <v>0</v>
      </c>
      <c r="P422" s="63"/>
      <c r="Q422" s="337"/>
      <c r="R422" s="64"/>
      <c r="S422" s="64"/>
      <c r="T422" s="460"/>
      <c r="X422" s="264"/>
      <c r="Y422" s="265"/>
      <c r="Z422" s="264"/>
      <c r="AA422" s="265"/>
      <c r="AB422" s="264"/>
      <c r="AC422" s="265"/>
      <c r="AD422" s="264"/>
      <c r="AE422" s="265"/>
      <c r="AF422" s="264"/>
      <c r="AG422" s="265"/>
      <c r="AH422" s="264"/>
      <c r="AI422" s="265"/>
      <c r="AJ422" s="264"/>
      <c r="AK422" s="265"/>
    </row>
    <row r="423" spans="1:37" ht="24" x14ac:dyDescent="0.15">
      <c r="A423" s="65"/>
      <c r="B423" s="560" t="s">
        <v>49</v>
      </c>
      <c r="C423" s="561"/>
      <c r="D423" s="561"/>
      <c r="E423" s="562"/>
      <c r="F423" s="565" t="s">
        <v>26</v>
      </c>
      <c r="G423" s="566"/>
      <c r="H423" s="66" t="s">
        <v>1167</v>
      </c>
      <c r="I423" s="351" t="s">
        <v>1168</v>
      </c>
      <c r="J423" s="66" t="s">
        <v>50</v>
      </c>
      <c r="K423" s="66" t="s">
        <v>51</v>
      </c>
      <c r="L423" s="67" t="s">
        <v>30</v>
      </c>
      <c r="M423" s="66" t="s">
        <v>52</v>
      </c>
      <c r="N423" s="68" t="s">
        <v>53</v>
      </c>
      <c r="O423" s="68" t="s">
        <v>34</v>
      </c>
      <c r="P423" s="69" t="s">
        <v>35</v>
      </c>
      <c r="Q423" s="42"/>
      <c r="R423" s="67"/>
      <c r="S423" s="67"/>
      <c r="T423" s="461"/>
      <c r="V423" s="270" t="s">
        <v>352</v>
      </c>
      <c r="W423" s="270" t="s">
        <v>353</v>
      </c>
      <c r="X423" s="271" t="s">
        <v>352</v>
      </c>
      <c r="Y423" s="272" t="s">
        <v>353</v>
      </c>
      <c r="Z423" s="271" t="s">
        <v>352</v>
      </c>
      <c r="AA423" s="272" t="s">
        <v>353</v>
      </c>
      <c r="AB423" s="271" t="s">
        <v>352</v>
      </c>
      <c r="AC423" s="272" t="s">
        <v>353</v>
      </c>
      <c r="AD423" s="271" t="s">
        <v>352</v>
      </c>
      <c r="AE423" s="272" t="s">
        <v>353</v>
      </c>
      <c r="AF423" s="271" t="s">
        <v>352</v>
      </c>
      <c r="AG423" s="272" t="s">
        <v>353</v>
      </c>
      <c r="AH423" s="271" t="s">
        <v>352</v>
      </c>
      <c r="AI423" s="272" t="s">
        <v>353</v>
      </c>
      <c r="AJ423" s="271" t="s">
        <v>352</v>
      </c>
      <c r="AK423" s="272" t="s">
        <v>353</v>
      </c>
    </row>
    <row r="424" spans="1:37" x14ac:dyDescent="0.15">
      <c r="A424" s="302">
        <v>1</v>
      </c>
      <c r="B424" s="542" t="s">
        <v>133</v>
      </c>
      <c r="C424" s="543"/>
      <c r="D424" s="543"/>
      <c r="E424" s="544"/>
      <c r="F424" s="545" t="s">
        <v>55</v>
      </c>
      <c r="G424" s="547"/>
      <c r="H424" s="45" t="s">
        <v>1227</v>
      </c>
      <c r="I424" s="207" t="s">
        <v>1228</v>
      </c>
      <c r="J424" s="46">
        <f>IF(G377=55,M384-V424,IF(G377=551,M384-X424,IF(G377=60,M384-Z424,IF(G377=601,M384-AB424,IF(G377=65,M384-AD424,IF(G377=70,M384-AF424,IF(G377=75,M384-AH424,IF(G377=50,M384-AJ424))))))))</f>
        <v>452.5</v>
      </c>
      <c r="K424" s="70">
        <f>IF(G377=55,M381-W424,IF(G377=551,M381-Y424,IF(G377=60,M381-AA424,IF(G377=601,M381-AC424,IF(G377=65,M381-AE424,IF(G377=70,M381-AG424,IF(G377=75,M381-AI424,IF(G377=50,M381-AK424))))))))</f>
        <v>1125</v>
      </c>
      <c r="L424" s="70">
        <v>2</v>
      </c>
      <c r="M424" s="46">
        <f>J424*K424*L424/1000000</f>
        <v>1.0181249999999999</v>
      </c>
      <c r="N424" s="46"/>
      <c r="O424" s="46">
        <f>N424*M424</f>
        <v>0</v>
      </c>
      <c r="P424" s="71"/>
      <c r="Q424" s="71"/>
      <c r="R424" s="72"/>
      <c r="S424" s="72"/>
      <c r="T424" s="462" t="s">
        <v>1624</v>
      </c>
      <c r="U424" s="374" t="s">
        <v>1625</v>
      </c>
      <c r="V424" s="259">
        <f>83.5+128/2</f>
        <v>147.5</v>
      </c>
      <c r="W424" s="259">
        <f>87.5*2</f>
        <v>175</v>
      </c>
      <c r="X424" s="286">
        <f>83.5+128/2</f>
        <v>147.5</v>
      </c>
      <c r="Y424" s="304">
        <f>87.5*2</f>
        <v>175</v>
      </c>
      <c r="Z424" s="286">
        <f>83.5+128/2</f>
        <v>147.5</v>
      </c>
      <c r="AA424" s="304">
        <f>87.5*2</f>
        <v>175</v>
      </c>
      <c r="AB424" s="286">
        <f>83.5+128/2</f>
        <v>147.5</v>
      </c>
      <c r="AC424" s="304">
        <f>87.5*2</f>
        <v>175</v>
      </c>
      <c r="AD424" s="286">
        <f>83.5+128/2</f>
        <v>147.5</v>
      </c>
      <c r="AE424" s="304">
        <f>87.5*2</f>
        <v>175</v>
      </c>
      <c r="AF424" s="286">
        <f>87+135/2</f>
        <v>154.5</v>
      </c>
      <c r="AG424" s="304">
        <f>87*2</f>
        <v>174</v>
      </c>
      <c r="AH424" s="286">
        <f>87+135/2</f>
        <v>154.5</v>
      </c>
      <c r="AI424" s="304">
        <f>87*2</f>
        <v>174</v>
      </c>
      <c r="AJ424" s="264">
        <f>74+117.4/2</f>
        <v>132.69999999999999</v>
      </c>
      <c r="AK424" s="265">
        <f>74*2</f>
        <v>148</v>
      </c>
    </row>
    <row r="425" spans="1:37" x14ac:dyDescent="0.15">
      <c r="A425" s="238"/>
      <c r="B425" s="542"/>
      <c r="C425" s="543"/>
      <c r="D425" s="543"/>
      <c r="E425" s="544"/>
      <c r="F425" s="545"/>
      <c r="G425" s="547"/>
      <c r="H425" s="207"/>
      <c r="I425" s="207"/>
      <c r="J425" s="208"/>
      <c r="K425" s="239"/>
      <c r="L425" s="239"/>
      <c r="M425" s="46"/>
      <c r="N425" s="208"/>
      <c r="O425" s="46"/>
      <c r="P425" s="240"/>
      <c r="Q425" s="71"/>
      <c r="R425" s="209"/>
      <c r="S425" s="209"/>
      <c r="T425" s="462"/>
      <c r="X425" s="286"/>
      <c r="Y425" s="304"/>
      <c r="Z425" s="286"/>
      <c r="AA425" s="304"/>
      <c r="AB425" s="286"/>
      <c r="AC425" s="304"/>
      <c r="AD425" s="286"/>
      <c r="AE425" s="304"/>
      <c r="AF425" s="286"/>
      <c r="AG425" s="304"/>
      <c r="AH425" s="286"/>
      <c r="AI425" s="304"/>
      <c r="AJ425" s="264"/>
      <c r="AK425" s="265"/>
    </row>
    <row r="426" spans="1:37" x14ac:dyDescent="0.15">
      <c r="A426" s="414"/>
      <c r="B426" s="446"/>
      <c r="C426" s="447"/>
      <c r="D426" s="447"/>
      <c r="E426" s="448"/>
      <c r="F426" s="434"/>
      <c r="G426" s="436"/>
      <c r="H426" s="207"/>
      <c r="I426" s="207"/>
      <c r="J426" s="208"/>
      <c r="K426" s="239"/>
      <c r="L426" s="239"/>
      <c r="M426" s="208"/>
      <c r="N426" s="208"/>
      <c r="O426" s="208"/>
      <c r="P426" s="240"/>
      <c r="Q426" s="240"/>
      <c r="R426" s="209"/>
      <c r="S426" s="209"/>
      <c r="T426" s="462"/>
      <c r="X426" s="286"/>
      <c r="Y426" s="288"/>
      <c r="Z426" s="286"/>
      <c r="AA426" s="288"/>
      <c r="AB426" s="286"/>
      <c r="AC426" s="288"/>
      <c r="AD426" s="286"/>
      <c r="AE426" s="288"/>
      <c r="AF426" s="286"/>
      <c r="AG426" s="288"/>
      <c r="AH426" s="286"/>
      <c r="AI426" s="288"/>
      <c r="AJ426" s="264"/>
      <c r="AK426" s="265"/>
    </row>
    <row r="427" spans="1:37" x14ac:dyDescent="0.15">
      <c r="A427" s="414"/>
      <c r="B427" s="446"/>
      <c r="C427" s="447"/>
      <c r="D427" s="447"/>
      <c r="E427" s="448"/>
      <c r="F427" s="434"/>
      <c r="G427" s="436"/>
      <c r="H427" s="207"/>
      <c r="I427" s="207"/>
      <c r="J427" s="208"/>
      <c r="K427" s="239"/>
      <c r="L427" s="239"/>
      <c r="M427" s="208"/>
      <c r="N427" s="208"/>
      <c r="O427" s="208"/>
      <c r="P427" s="240"/>
      <c r="Q427" s="240"/>
      <c r="R427" s="209"/>
      <c r="S427" s="209"/>
      <c r="T427" s="462"/>
      <c r="X427" s="286"/>
      <c r="Y427" s="288"/>
      <c r="Z427" s="286"/>
      <c r="AA427" s="288"/>
      <c r="AB427" s="286"/>
      <c r="AC427" s="288"/>
      <c r="AD427" s="286"/>
      <c r="AE427" s="288"/>
      <c r="AF427" s="286"/>
      <c r="AG427" s="288"/>
      <c r="AH427" s="286"/>
      <c r="AI427" s="288"/>
      <c r="AJ427" s="264"/>
      <c r="AK427" s="265"/>
    </row>
    <row r="428" spans="1:37" x14ac:dyDescent="0.15">
      <c r="A428" s="302"/>
      <c r="B428" s="542"/>
      <c r="C428" s="543"/>
      <c r="D428" s="543"/>
      <c r="E428" s="544"/>
      <c r="F428" s="545"/>
      <c r="G428" s="547"/>
      <c r="H428" s="45"/>
      <c r="I428" s="207"/>
      <c r="J428" s="45"/>
      <c r="K428" s="45"/>
      <c r="L428" s="70"/>
      <c r="M428" s="46"/>
      <c r="N428" s="46"/>
      <c r="O428" s="46"/>
      <c r="P428" s="71"/>
      <c r="Q428" s="71"/>
      <c r="R428" s="72"/>
      <c r="S428" s="72"/>
      <c r="T428" s="462"/>
      <c r="X428" s="264"/>
      <c r="Y428" s="265"/>
      <c r="Z428" s="264"/>
      <c r="AA428" s="265"/>
      <c r="AB428" s="264"/>
      <c r="AC428" s="265"/>
      <c r="AD428" s="264"/>
      <c r="AE428" s="265"/>
      <c r="AF428" s="264"/>
      <c r="AG428" s="265"/>
      <c r="AH428" s="264"/>
      <c r="AI428" s="265"/>
      <c r="AJ428" s="264"/>
      <c r="AK428" s="265"/>
    </row>
    <row r="429" spans="1:37" x14ac:dyDescent="0.15">
      <c r="A429" s="302"/>
      <c r="B429" s="542"/>
      <c r="C429" s="543"/>
      <c r="D429" s="543"/>
      <c r="E429" s="544"/>
      <c r="F429" s="545"/>
      <c r="G429" s="547"/>
      <c r="H429" s="45"/>
      <c r="I429" s="207"/>
      <c r="J429" s="46"/>
      <c r="K429" s="302"/>
      <c r="L429" s="70"/>
      <c r="M429" s="46"/>
      <c r="N429" s="46"/>
      <c r="O429" s="46"/>
      <c r="P429" s="48"/>
      <c r="Q429" s="48"/>
      <c r="R429" s="73"/>
      <c r="S429" s="73"/>
      <c r="T429" s="463"/>
      <c r="X429" s="264"/>
      <c r="Y429" s="265"/>
      <c r="Z429" s="264"/>
      <c r="AA429" s="265"/>
    </row>
    <row r="430" spans="1:37" x14ac:dyDescent="0.15">
      <c r="A430" s="74"/>
      <c r="B430" s="552"/>
      <c r="C430" s="557"/>
      <c r="D430" s="557"/>
      <c r="E430" s="553"/>
      <c r="F430" s="554" t="s">
        <v>56</v>
      </c>
      <c r="G430" s="554"/>
      <c r="H430" s="554"/>
      <c r="I430" s="579"/>
      <c r="J430" s="570"/>
      <c r="K430" s="570"/>
      <c r="L430" s="554"/>
      <c r="M430" s="62">
        <f>SUM(M424:M429)</f>
        <v>1.0181249999999999</v>
      </c>
      <c r="N430" s="300"/>
      <c r="O430" s="62">
        <f>SUM(O424:O429)</f>
        <v>0</v>
      </c>
      <c r="P430" s="63" t="s">
        <v>57</v>
      </c>
      <c r="Q430" s="337"/>
      <c r="R430" s="64"/>
      <c r="S430" s="64"/>
      <c r="T430" s="460"/>
    </row>
    <row r="431" spans="1:37" ht="24" x14ac:dyDescent="0.15">
      <c r="A431" s="65"/>
      <c r="B431" s="560" t="s">
        <v>58</v>
      </c>
      <c r="C431" s="561"/>
      <c r="D431" s="561"/>
      <c r="E431" s="562"/>
      <c r="F431" s="565" t="s">
        <v>26</v>
      </c>
      <c r="G431" s="566"/>
      <c r="H431" s="66" t="s">
        <v>59</v>
      </c>
      <c r="I431" s="351"/>
      <c r="J431" s="66" t="s">
        <v>60</v>
      </c>
      <c r="K431" s="66" t="s">
        <v>6</v>
      </c>
      <c r="L431" s="67" t="s">
        <v>61</v>
      </c>
      <c r="M431" s="66" t="s">
        <v>30</v>
      </c>
      <c r="N431" s="68" t="s">
        <v>62</v>
      </c>
      <c r="O431" s="68" t="s">
        <v>34</v>
      </c>
      <c r="P431" s="69" t="s">
        <v>57</v>
      </c>
      <c r="Q431" s="42"/>
      <c r="R431" s="67"/>
      <c r="S431" s="67"/>
      <c r="T431" s="461"/>
    </row>
    <row r="432" spans="1:37" ht="25.5" customHeight="1" x14ac:dyDescent="0.15">
      <c r="A432" s="302">
        <v>1</v>
      </c>
      <c r="B432" s="542"/>
      <c r="C432" s="543"/>
      <c r="D432" s="543"/>
      <c r="E432" s="544"/>
      <c r="F432" s="545" t="s">
        <v>872</v>
      </c>
      <c r="G432" s="547"/>
      <c r="H432" s="45"/>
      <c r="I432" s="207"/>
      <c r="J432" s="45"/>
      <c r="K432" s="46" t="str">
        <f>VLOOKUP($F:$F,材料单价表!$B$3:$G$42,4,0)</f>
        <v>套</v>
      </c>
      <c r="L432" s="72"/>
      <c r="M432" s="46">
        <v>2</v>
      </c>
      <c r="N432" s="46">
        <f>VLOOKUP($F:$F,材料单价表!$B$3:$G$42,5,0)</f>
        <v>0</v>
      </c>
      <c r="O432" s="46">
        <f t="shared" ref="O432" si="69">N432*M432</f>
        <v>0</v>
      </c>
      <c r="P432" s="48"/>
      <c r="Q432" s="48"/>
      <c r="R432" s="73"/>
      <c r="S432" s="73"/>
      <c r="T432" s="463"/>
    </row>
    <row r="433" spans="1:23" x14ac:dyDescent="0.15">
      <c r="A433" s="74"/>
      <c r="B433" s="552"/>
      <c r="C433" s="557"/>
      <c r="D433" s="557"/>
      <c r="E433" s="553"/>
      <c r="F433" s="554" t="s">
        <v>64</v>
      </c>
      <c r="G433" s="554"/>
      <c r="H433" s="554"/>
      <c r="I433" s="579"/>
      <c r="J433" s="570"/>
      <c r="K433" s="570"/>
      <c r="L433" s="554"/>
      <c r="M433" s="62">
        <f>M432</f>
        <v>2</v>
      </c>
      <c r="N433" s="300"/>
      <c r="O433" s="62">
        <f>SUM(O432:O432)</f>
        <v>0</v>
      </c>
      <c r="P433" s="63" t="s">
        <v>57</v>
      </c>
      <c r="Q433" s="337"/>
      <c r="R433" s="64"/>
      <c r="S433" s="64"/>
      <c r="T433" s="460"/>
    </row>
    <row r="434" spans="1:23" ht="24" x14ac:dyDescent="0.15">
      <c r="A434" s="65"/>
      <c r="B434" s="560" t="s">
        <v>65</v>
      </c>
      <c r="C434" s="561"/>
      <c r="D434" s="561"/>
      <c r="E434" s="562"/>
      <c r="F434" s="565" t="s">
        <v>26</v>
      </c>
      <c r="G434" s="566"/>
      <c r="H434" s="66" t="s">
        <v>59</v>
      </c>
      <c r="I434" s="351"/>
      <c r="J434" s="66" t="s">
        <v>60</v>
      </c>
      <c r="K434" s="66" t="s">
        <v>6</v>
      </c>
      <c r="L434" s="67" t="s">
        <v>61</v>
      </c>
      <c r="M434" s="66" t="s">
        <v>30</v>
      </c>
      <c r="N434" s="68" t="s">
        <v>62</v>
      </c>
      <c r="O434" s="68" t="s">
        <v>34</v>
      </c>
      <c r="P434" s="69" t="s">
        <v>57</v>
      </c>
      <c r="Q434" s="42"/>
      <c r="R434" s="67"/>
      <c r="S434" s="67"/>
      <c r="T434" s="461"/>
    </row>
    <row r="435" spans="1:23" ht="13.5" customHeight="1" x14ac:dyDescent="0.15">
      <c r="A435" s="76">
        <v>1</v>
      </c>
      <c r="B435" s="542"/>
      <c r="C435" s="543"/>
      <c r="D435" s="543"/>
      <c r="E435" s="544"/>
      <c r="F435" s="558" t="s">
        <v>66</v>
      </c>
      <c r="G435" s="559"/>
      <c r="H435" s="78"/>
      <c r="I435" s="352"/>
      <c r="J435" s="77"/>
      <c r="K435" s="46" t="str">
        <f>VLOOKUP($F:$F,材料单价表!$B$3:$G$42,4,0)</f>
        <v>m</v>
      </c>
      <c r="L435" s="46"/>
      <c r="M435" s="80">
        <f>M390</f>
        <v>5.4</v>
      </c>
      <c r="N435" s="46">
        <f>VLOOKUP($F:$F,材料单价表!$B$3:$G$42,5,0)</f>
        <v>0</v>
      </c>
      <c r="O435" s="46">
        <f>N435*M435</f>
        <v>0</v>
      </c>
      <c r="P435" s="48"/>
      <c r="Q435" s="59"/>
      <c r="R435" s="81"/>
      <c r="S435" s="79"/>
      <c r="T435" s="464"/>
    </row>
    <row r="436" spans="1:23" ht="15.75" customHeight="1" x14ac:dyDescent="0.15">
      <c r="A436" s="76">
        <v>2</v>
      </c>
      <c r="B436" s="542"/>
      <c r="C436" s="543"/>
      <c r="D436" s="543"/>
      <c r="E436" s="544"/>
      <c r="F436" s="558" t="s">
        <v>68</v>
      </c>
      <c r="G436" s="559"/>
      <c r="H436" s="78" t="s">
        <v>67</v>
      </c>
      <c r="I436" s="352"/>
      <c r="J436" s="77"/>
      <c r="K436" s="46" t="str">
        <f>VLOOKUP($F:$F,材料单价表!$B$3:$G$42,4,0)</f>
        <v>m</v>
      </c>
      <c r="L436" s="46"/>
      <c r="M436" s="80">
        <f>(J402*K402+J403*K403)/1000*2</f>
        <v>13.068</v>
      </c>
      <c r="N436" s="46">
        <f>VLOOKUP($F:$F,材料单价表!$B$3:$G$42,5,0)</f>
        <v>0</v>
      </c>
      <c r="O436" s="46">
        <f t="shared" ref="O436:O441" si="70">N436*M436</f>
        <v>0</v>
      </c>
      <c r="P436" s="48"/>
      <c r="Q436" s="59"/>
      <c r="R436" s="81"/>
      <c r="S436" s="79"/>
      <c r="T436" s="464"/>
      <c r="V436" s="104"/>
      <c r="W436" s="104"/>
    </row>
    <row r="437" spans="1:23" ht="13.5" customHeight="1" x14ac:dyDescent="0.15">
      <c r="A437" s="76">
        <v>3</v>
      </c>
      <c r="B437" s="542"/>
      <c r="C437" s="543"/>
      <c r="D437" s="543"/>
      <c r="E437" s="544"/>
      <c r="F437" s="558" t="s">
        <v>68</v>
      </c>
      <c r="G437" s="559"/>
      <c r="H437" s="78" t="s">
        <v>69</v>
      </c>
      <c r="I437" s="352"/>
      <c r="J437" s="77"/>
      <c r="K437" s="46" t="str">
        <f>VLOOKUP($F:$F,材料单价表!$B$3:$G$42,4,0)</f>
        <v>m</v>
      </c>
      <c r="L437" s="46"/>
      <c r="M437" s="80">
        <f>M390</f>
        <v>5.4</v>
      </c>
      <c r="N437" s="46">
        <f>VLOOKUP($F:$F,材料单价表!$B$3:$G$42,5,0)</f>
        <v>0</v>
      </c>
      <c r="O437" s="46">
        <f t="shared" si="70"/>
        <v>0</v>
      </c>
      <c r="P437" s="48"/>
      <c r="Q437" s="59"/>
      <c r="R437" s="81"/>
      <c r="S437" s="79"/>
      <c r="T437" s="464"/>
      <c r="V437" s="104"/>
      <c r="W437" s="104"/>
    </row>
    <row r="438" spans="1:23" ht="13.5" customHeight="1" x14ac:dyDescent="0.15">
      <c r="A438" s="76">
        <v>4</v>
      </c>
      <c r="B438" s="542"/>
      <c r="C438" s="543"/>
      <c r="D438" s="543"/>
      <c r="E438" s="544"/>
      <c r="F438" s="558" t="s">
        <v>68</v>
      </c>
      <c r="G438" s="559"/>
      <c r="H438" s="78" t="s">
        <v>70</v>
      </c>
      <c r="I438" s="352"/>
      <c r="J438" s="77"/>
      <c r="K438" s="46" t="str">
        <f>VLOOKUP($F:$F,材料单价表!$B$3:$G$42,4,0)</f>
        <v>m</v>
      </c>
      <c r="L438" s="46"/>
      <c r="M438" s="80">
        <f>M390</f>
        <v>5.4</v>
      </c>
      <c r="N438" s="46">
        <f>VLOOKUP($F:$F,材料单价表!$B$3:$G$42,5,0)</f>
        <v>0</v>
      </c>
      <c r="O438" s="46">
        <f t="shared" si="70"/>
        <v>0</v>
      </c>
      <c r="P438" s="48"/>
      <c r="Q438" s="59"/>
      <c r="R438" s="81"/>
      <c r="S438" s="79"/>
      <c r="T438" s="464"/>
      <c r="V438" s="104"/>
      <c r="W438" s="104"/>
    </row>
    <row r="439" spans="1:23" ht="13.5" customHeight="1" x14ac:dyDescent="0.15">
      <c r="A439" s="76">
        <v>5</v>
      </c>
      <c r="B439" s="542"/>
      <c r="C439" s="543"/>
      <c r="D439" s="543"/>
      <c r="E439" s="544"/>
      <c r="F439" s="558" t="s">
        <v>71</v>
      </c>
      <c r="G439" s="559"/>
      <c r="H439" s="78"/>
      <c r="I439" s="352"/>
      <c r="J439" s="77"/>
      <c r="K439" s="46" t="str">
        <f>VLOOKUP($F:$F,材料单价表!$B$3:$G$42,4,0)</f>
        <v>个</v>
      </c>
      <c r="L439" s="79"/>
      <c r="M439" s="80">
        <f>SUM(K404:K406)</f>
        <v>8</v>
      </c>
      <c r="N439" s="46">
        <f>VLOOKUP($F:$F,材料单价表!$B$3:$G$42,5,0)</f>
        <v>0</v>
      </c>
      <c r="O439" s="46">
        <f t="shared" si="70"/>
        <v>0</v>
      </c>
      <c r="P439" s="48"/>
      <c r="Q439" s="59"/>
      <c r="R439" s="81"/>
      <c r="S439" s="79"/>
      <c r="T439" s="464"/>
    </row>
    <row r="440" spans="1:23" ht="13.5" customHeight="1" x14ac:dyDescent="0.15">
      <c r="A440" s="76">
        <v>6</v>
      </c>
      <c r="B440" s="542"/>
      <c r="C440" s="543"/>
      <c r="D440" s="543"/>
      <c r="E440" s="544"/>
      <c r="F440" s="558" t="s">
        <v>833</v>
      </c>
      <c r="G440" s="559"/>
      <c r="H440" s="78"/>
      <c r="I440" s="352"/>
      <c r="J440" s="77"/>
      <c r="K440" s="46" t="str">
        <f>VLOOKUP($F:$F,材料单价表!$B$3:$G$42,4,0)</f>
        <v>m</v>
      </c>
      <c r="L440" s="79"/>
      <c r="M440" s="80">
        <f>(J396*K396+J397*K397)/1000*2</f>
        <v>14.651999999999999</v>
      </c>
      <c r="N440" s="46">
        <f>VLOOKUP($F:$F,材料单价表!$B$3:$G$42,5,0)</f>
        <v>0</v>
      </c>
      <c r="O440" s="46">
        <f t="shared" si="70"/>
        <v>0</v>
      </c>
      <c r="P440" s="48"/>
      <c r="Q440" s="59"/>
      <c r="R440" s="81"/>
      <c r="S440" s="46"/>
      <c r="T440" s="465"/>
    </row>
    <row r="441" spans="1:23" x14ac:dyDescent="0.15">
      <c r="A441" s="76">
        <v>7</v>
      </c>
      <c r="B441" s="542"/>
      <c r="C441" s="543"/>
      <c r="D441" s="543"/>
      <c r="E441" s="544"/>
      <c r="F441" s="558" t="s">
        <v>72</v>
      </c>
      <c r="G441" s="559"/>
      <c r="H441" s="45"/>
      <c r="I441" s="207"/>
      <c r="J441" s="45"/>
      <c r="K441" s="46" t="str">
        <f>VLOOKUP($F:$F,材料单价表!$B$3:$G$42,4,0)</f>
        <v>m2</v>
      </c>
      <c r="L441" s="72"/>
      <c r="M441" s="46">
        <f>M447</f>
        <v>1.82</v>
      </c>
      <c r="N441" s="46">
        <f>VLOOKUP($F:$F,材料单价表!$B$3:$G$42,5,0)</f>
        <v>0</v>
      </c>
      <c r="O441" s="46">
        <f t="shared" si="70"/>
        <v>0</v>
      </c>
      <c r="P441" s="48"/>
      <c r="Q441" s="48"/>
      <c r="R441" s="73"/>
      <c r="S441" s="73"/>
      <c r="T441" s="463"/>
    </row>
    <row r="442" spans="1:23" x14ac:dyDescent="0.15">
      <c r="A442" s="76">
        <v>8</v>
      </c>
      <c r="B442" s="542"/>
      <c r="C442" s="543"/>
      <c r="D442" s="543"/>
      <c r="E442" s="544"/>
      <c r="F442" s="297"/>
      <c r="G442" s="298"/>
      <c r="H442" s="207"/>
      <c r="I442" s="207"/>
      <c r="J442" s="207"/>
      <c r="K442" s="208"/>
      <c r="L442" s="209"/>
      <c r="M442" s="208"/>
      <c r="N442" s="208"/>
      <c r="O442" s="208"/>
      <c r="P442" s="211"/>
      <c r="Q442" s="48"/>
      <c r="R442" s="212"/>
      <c r="S442" s="212"/>
      <c r="T442" s="463"/>
    </row>
    <row r="443" spans="1:23" x14ac:dyDescent="0.15">
      <c r="A443" s="76">
        <v>9</v>
      </c>
      <c r="B443" s="542"/>
      <c r="C443" s="543"/>
      <c r="D443" s="543"/>
      <c r="E443" s="544"/>
      <c r="F443" s="558"/>
      <c r="G443" s="559"/>
      <c r="H443" s="45"/>
      <c r="I443" s="207"/>
      <c r="J443" s="45"/>
      <c r="K443" s="45"/>
      <c r="L443" s="72"/>
      <c r="M443" s="46"/>
      <c r="N443" s="46"/>
      <c r="O443" s="82"/>
      <c r="P443" s="48"/>
      <c r="Q443" s="48"/>
      <c r="R443" s="73"/>
      <c r="S443" s="73"/>
      <c r="T443" s="463"/>
    </row>
    <row r="444" spans="1:23" x14ac:dyDescent="0.15">
      <c r="A444" s="74"/>
      <c r="B444" s="552"/>
      <c r="C444" s="557"/>
      <c r="D444" s="557"/>
      <c r="E444" s="553"/>
      <c r="F444" s="552" t="s">
        <v>73</v>
      </c>
      <c r="G444" s="557"/>
      <c r="H444" s="557"/>
      <c r="I444" s="557"/>
      <c r="J444" s="557"/>
      <c r="K444" s="557"/>
      <c r="L444" s="557"/>
      <c r="M444" s="61"/>
      <c r="N444" s="61"/>
      <c r="O444" s="62">
        <f>SUM(O435:O443)</f>
        <v>0</v>
      </c>
      <c r="P444" s="63" t="s">
        <v>57</v>
      </c>
      <c r="Q444" s="337"/>
      <c r="R444" s="64"/>
      <c r="S444" s="64"/>
      <c r="T444" s="460"/>
    </row>
    <row r="445" spans="1:23" x14ac:dyDescent="0.15">
      <c r="A445" s="74"/>
      <c r="B445" s="552"/>
      <c r="C445" s="557"/>
      <c r="D445" s="557"/>
      <c r="E445" s="553"/>
      <c r="F445" s="552" t="s">
        <v>74</v>
      </c>
      <c r="G445" s="557"/>
      <c r="H445" s="557"/>
      <c r="I445" s="557"/>
      <c r="J445" s="557"/>
      <c r="K445" s="557"/>
      <c r="L445" s="557"/>
      <c r="M445" s="557"/>
      <c r="N445" s="553"/>
      <c r="O445" s="62">
        <f>O444+O433+O430+O422</f>
        <v>0</v>
      </c>
      <c r="P445" s="63" t="s">
        <v>57</v>
      </c>
      <c r="Q445" s="337"/>
      <c r="R445" s="64"/>
      <c r="S445" s="64"/>
      <c r="T445" s="460"/>
    </row>
    <row r="446" spans="1:23" ht="24" x14ac:dyDescent="0.15">
      <c r="A446" s="65"/>
      <c r="B446" s="560" t="s">
        <v>75</v>
      </c>
      <c r="C446" s="561"/>
      <c r="D446" s="561"/>
      <c r="E446" s="562"/>
      <c r="F446" s="565" t="s">
        <v>26</v>
      </c>
      <c r="G446" s="566"/>
      <c r="H446" s="66"/>
      <c r="I446" s="351"/>
      <c r="J446" s="66"/>
      <c r="K446" s="66" t="s">
        <v>6</v>
      </c>
      <c r="L446" s="83" t="s">
        <v>61</v>
      </c>
      <c r="M446" s="66" t="s">
        <v>76</v>
      </c>
      <c r="N446" s="68" t="s">
        <v>62</v>
      </c>
      <c r="O446" s="68" t="s">
        <v>34</v>
      </c>
      <c r="P446" s="84" t="s">
        <v>57</v>
      </c>
      <c r="Q446" s="84"/>
      <c r="R446" s="67"/>
      <c r="S446" s="67"/>
      <c r="T446" s="461"/>
    </row>
    <row r="447" spans="1:23" x14ac:dyDescent="0.15">
      <c r="A447" s="302">
        <v>1</v>
      </c>
      <c r="B447" s="542"/>
      <c r="C447" s="543"/>
      <c r="D447" s="543"/>
      <c r="E447" s="544"/>
      <c r="F447" s="545" t="s">
        <v>77</v>
      </c>
      <c r="G447" s="547"/>
      <c r="H447" s="45"/>
      <c r="I447" s="207"/>
      <c r="J447" s="46"/>
      <c r="K447" s="45" t="s">
        <v>78</v>
      </c>
      <c r="L447" s="72"/>
      <c r="M447" s="85">
        <f>O377</f>
        <v>1.82</v>
      </c>
      <c r="N447" s="46">
        <f>VLOOKUP($F:$F,材料单价表!$B$3:$G$42,5,0)</f>
        <v>0</v>
      </c>
      <c r="O447" s="46">
        <f>N447*M447</f>
        <v>0</v>
      </c>
      <c r="P447" s="48"/>
      <c r="Q447" s="48"/>
      <c r="R447" s="72"/>
      <c r="S447" s="72"/>
      <c r="T447" s="462"/>
    </row>
    <row r="448" spans="1:23" x14ac:dyDescent="0.15">
      <c r="A448" s="302">
        <v>2</v>
      </c>
      <c r="B448" s="542"/>
      <c r="C448" s="543"/>
      <c r="D448" s="543"/>
      <c r="E448" s="544"/>
      <c r="F448" s="545" t="s">
        <v>79</v>
      </c>
      <c r="G448" s="547"/>
      <c r="H448" s="45"/>
      <c r="I448" s="207"/>
      <c r="J448" s="46"/>
      <c r="K448" s="45" t="s">
        <v>78</v>
      </c>
      <c r="L448" s="72"/>
      <c r="M448" s="85">
        <f>M447</f>
        <v>1.82</v>
      </c>
      <c r="N448" s="46">
        <f>VLOOKUP($F:$F,材料单价表!$B$3:$G$42,5,0)</f>
        <v>0</v>
      </c>
      <c r="O448" s="46">
        <f>N448*M448</f>
        <v>0</v>
      </c>
      <c r="P448" s="48"/>
      <c r="Q448" s="48"/>
      <c r="R448" s="72"/>
      <c r="S448" s="72"/>
      <c r="T448" s="462"/>
    </row>
    <row r="449" spans="1:20" ht="24.75" customHeight="1" x14ac:dyDescent="0.15">
      <c r="A449" s="74"/>
      <c r="B449" s="552"/>
      <c r="C449" s="557"/>
      <c r="D449" s="557"/>
      <c r="E449" s="553"/>
      <c r="F449" s="552" t="s">
        <v>80</v>
      </c>
      <c r="G449" s="553"/>
      <c r="H449" s="299"/>
      <c r="I449" s="348"/>
      <c r="J449" s="554" t="s">
        <v>81</v>
      </c>
      <c r="K449" s="554"/>
      <c r="L449" s="554"/>
      <c r="M449" s="554"/>
      <c r="N449" s="87"/>
      <c r="O449" s="62">
        <f>O445+O447+O448</f>
        <v>0</v>
      </c>
      <c r="P449" s="63" t="s">
        <v>57</v>
      </c>
      <c r="Q449" s="337"/>
      <c r="R449" s="64"/>
      <c r="S449" s="64"/>
      <c r="T449" s="460"/>
    </row>
    <row r="450" spans="1:20" ht="24" customHeight="1" x14ac:dyDescent="0.15">
      <c r="A450" s="74"/>
      <c r="B450" s="552"/>
      <c r="C450" s="557"/>
      <c r="D450" s="557"/>
      <c r="E450" s="553"/>
      <c r="F450" s="555" t="s">
        <v>82</v>
      </c>
      <c r="G450" s="556"/>
      <c r="H450" s="301"/>
      <c r="I450" s="349"/>
      <c r="J450" s="552" t="s">
        <v>81</v>
      </c>
      <c r="K450" s="557"/>
      <c r="L450" s="557"/>
      <c r="M450" s="557"/>
      <c r="N450" s="62"/>
      <c r="O450" s="62">
        <f>O449/O377</f>
        <v>0</v>
      </c>
      <c r="P450" s="89" t="s">
        <v>57</v>
      </c>
      <c r="Q450" s="89"/>
      <c r="R450" s="90"/>
      <c r="S450" s="90"/>
      <c r="T450" s="466"/>
    </row>
    <row r="451" spans="1:20" ht="18.75" customHeight="1" x14ac:dyDescent="0.15">
      <c r="A451" s="549" t="s">
        <v>0</v>
      </c>
      <c r="B451" s="549"/>
      <c r="C451" s="549"/>
      <c r="D451" s="549"/>
      <c r="E451" s="549"/>
      <c r="F451" s="549"/>
      <c r="G451" s="549"/>
      <c r="H451" s="549"/>
      <c r="I451" s="549"/>
      <c r="J451" s="549"/>
      <c r="K451" s="549"/>
      <c r="L451" s="550"/>
      <c r="M451" s="549"/>
      <c r="N451" s="549"/>
      <c r="O451" s="549"/>
      <c r="P451" s="549"/>
      <c r="Q451" s="549"/>
      <c r="R451" s="551"/>
      <c r="S451" s="551"/>
      <c r="T451" s="415"/>
    </row>
    <row r="452" spans="1:20" ht="15" customHeight="1" x14ac:dyDescent="0.15">
      <c r="A452" s="2" t="s">
        <v>1</v>
      </c>
      <c r="B452" s="3" t="str">
        <f>$B$152</f>
        <v>WC</v>
      </c>
      <c r="C452" s="3">
        <v>7</v>
      </c>
      <c r="D452" s="3"/>
      <c r="E452" s="3"/>
      <c r="F452" s="4" t="s">
        <v>2</v>
      </c>
      <c r="G452" s="5">
        <v>55</v>
      </c>
      <c r="H452" s="106" t="s">
        <v>86</v>
      </c>
      <c r="I452" s="106"/>
      <c r="J452" s="4" t="s">
        <v>3</v>
      </c>
      <c r="K452" s="6">
        <f>L455</f>
        <v>2100</v>
      </c>
      <c r="L452" s="7" t="s">
        <v>83</v>
      </c>
      <c r="M452" s="6">
        <f>L454</f>
        <v>1300</v>
      </c>
      <c r="N452" s="8" t="s">
        <v>4</v>
      </c>
      <c r="O452" s="9">
        <f>M464</f>
        <v>2.73</v>
      </c>
      <c r="P452" s="10"/>
      <c r="Q452" s="10"/>
      <c r="R452" s="10" t="s">
        <v>5</v>
      </c>
      <c r="S452" s="11"/>
      <c r="T452" s="457"/>
    </row>
    <row r="453" spans="1:20" ht="15" customHeight="1" x14ac:dyDescent="0.2">
      <c r="A453" s="12"/>
      <c r="B453" s="13"/>
      <c r="C453" s="13"/>
      <c r="D453" s="13"/>
      <c r="E453" s="13"/>
      <c r="F453" s="14"/>
      <c r="G453" s="14"/>
      <c r="H453" s="15"/>
      <c r="I453" s="15"/>
      <c r="J453" s="16"/>
      <c r="K453" s="16" t="s">
        <v>6</v>
      </c>
      <c r="L453" s="17" t="s">
        <v>7</v>
      </c>
      <c r="M453" s="16" t="s">
        <v>8</v>
      </c>
      <c r="N453" s="18"/>
      <c r="O453" s="548" t="s">
        <v>940</v>
      </c>
      <c r="P453" s="548"/>
      <c r="Q453" s="16" t="s">
        <v>1018</v>
      </c>
      <c r="R453" s="529" t="s">
        <v>1187</v>
      </c>
      <c r="S453" s="530" t="s">
        <v>1592</v>
      </c>
      <c r="T453" s="468"/>
    </row>
    <row r="454" spans="1:20" ht="15" customHeight="1" x14ac:dyDescent="0.2">
      <c r="A454" s="398" t="s">
        <v>918</v>
      </c>
      <c r="B454" s="407" t="s">
        <v>983</v>
      </c>
      <c r="C454" s="362"/>
      <c r="D454" s="362"/>
      <c r="E454" s="362"/>
      <c r="F454" s="23"/>
      <c r="G454" s="23"/>
      <c r="H454" s="107"/>
      <c r="I454" s="107"/>
      <c r="J454" s="24" t="s">
        <v>9</v>
      </c>
      <c r="K454" s="16" t="s">
        <v>10</v>
      </c>
      <c r="L454" s="25">
        <v>1300</v>
      </c>
      <c r="M454" s="113">
        <f>L454-M463*2</f>
        <v>1200</v>
      </c>
      <c r="N454" s="18"/>
      <c r="O454" s="356" t="s">
        <v>941</v>
      </c>
      <c r="P454" s="357"/>
      <c r="Q454" s="16" t="s">
        <v>1019</v>
      </c>
      <c r="R454" s="529"/>
      <c r="S454" s="530"/>
      <c r="T454" s="468"/>
    </row>
    <row r="455" spans="1:20" ht="15" customHeight="1" x14ac:dyDescent="0.2">
      <c r="A455" s="21"/>
      <c r="B455" s="22"/>
      <c r="C455" s="22"/>
      <c r="D455" s="22"/>
      <c r="E455" s="22"/>
      <c r="F455" s="23"/>
      <c r="G455" s="23"/>
      <c r="H455" s="18"/>
      <c r="I455" s="18"/>
      <c r="J455" s="24" t="s">
        <v>11</v>
      </c>
      <c r="K455" s="16" t="s">
        <v>10</v>
      </c>
      <c r="L455" s="25">
        <v>2100</v>
      </c>
      <c r="M455" s="113">
        <f>L455-M463*2</f>
        <v>2000</v>
      </c>
      <c r="N455" s="18"/>
      <c r="O455" s="356" t="s">
        <v>924</v>
      </c>
      <c r="P455" s="357"/>
      <c r="Q455" s="16" t="s">
        <v>1020</v>
      </c>
      <c r="R455" s="529" t="s">
        <v>1188</v>
      </c>
      <c r="S455" s="530" t="s">
        <v>1086</v>
      </c>
      <c r="T455" s="468"/>
    </row>
    <row r="456" spans="1:20" ht="15" customHeight="1" x14ac:dyDescent="0.2">
      <c r="A456" s="21"/>
      <c r="B456" s="22"/>
      <c r="C456" s="22"/>
      <c r="D456" s="22"/>
      <c r="E456" s="22"/>
      <c r="F456" s="23"/>
      <c r="G456" s="23"/>
      <c r="H456" s="18"/>
      <c r="I456" s="18"/>
      <c r="J456" s="24" t="s">
        <v>12</v>
      </c>
      <c r="K456" s="16" t="s">
        <v>10</v>
      </c>
      <c r="L456" s="26"/>
      <c r="M456" s="113">
        <f>M454</f>
        <v>1200</v>
      </c>
      <c r="N456" s="18"/>
      <c r="O456" s="356" t="s">
        <v>925</v>
      </c>
      <c r="P456" s="357"/>
      <c r="Q456" s="16" t="s">
        <v>1021</v>
      </c>
      <c r="R456" s="529"/>
      <c r="S456" s="530"/>
      <c r="T456" s="468"/>
    </row>
    <row r="457" spans="1:20" ht="15" customHeight="1" x14ac:dyDescent="0.2">
      <c r="A457" s="21"/>
      <c r="B457" s="22"/>
      <c r="C457" s="22"/>
      <c r="D457" s="22"/>
      <c r="E457" s="22"/>
      <c r="F457" s="23"/>
      <c r="G457" s="23"/>
      <c r="H457" s="18"/>
      <c r="I457" s="18"/>
      <c r="J457" s="24" t="s">
        <v>13</v>
      </c>
      <c r="K457" s="16" t="s">
        <v>10</v>
      </c>
      <c r="L457" s="26"/>
      <c r="M457" s="113"/>
      <c r="N457" s="18"/>
      <c r="O457" s="356" t="s">
        <v>926</v>
      </c>
      <c r="P457" s="357"/>
      <c r="Q457" s="16" t="s">
        <v>1022</v>
      </c>
      <c r="R457" s="27"/>
      <c r="S457" s="28"/>
      <c r="T457" s="27"/>
    </row>
    <row r="458" spans="1:20" ht="15" customHeight="1" x14ac:dyDescent="0.2">
      <c r="A458" s="21"/>
      <c r="B458" s="22"/>
      <c r="C458" s="22"/>
      <c r="D458" s="22"/>
      <c r="E458" s="22"/>
      <c r="F458" s="23"/>
      <c r="G458" s="23"/>
      <c r="H458" s="18"/>
      <c r="I458" s="18"/>
      <c r="J458" s="24" t="s">
        <v>14</v>
      </c>
      <c r="K458" s="16" t="s">
        <v>10</v>
      </c>
      <c r="L458" s="26"/>
      <c r="M458" s="113"/>
      <c r="N458" s="18"/>
      <c r="O458" s="356" t="s">
        <v>927</v>
      </c>
      <c r="P458" s="357"/>
      <c r="Q458" s="16" t="s">
        <v>1023</v>
      </c>
      <c r="R458" s="27"/>
      <c r="S458" s="28"/>
      <c r="T458" s="27"/>
    </row>
    <row r="459" spans="1:20" ht="15" customHeight="1" x14ac:dyDescent="0.2">
      <c r="A459" s="21"/>
      <c r="B459" s="22"/>
      <c r="C459" s="22"/>
      <c r="D459" s="22"/>
      <c r="E459" s="22"/>
      <c r="F459" s="23"/>
      <c r="G459" s="23"/>
      <c r="H459" s="18"/>
      <c r="I459" s="18"/>
      <c r="J459" s="24" t="s">
        <v>15</v>
      </c>
      <c r="K459" s="16" t="s">
        <v>10</v>
      </c>
      <c r="L459" s="26"/>
      <c r="M459" s="25">
        <v>700</v>
      </c>
      <c r="N459" s="112" t="s">
        <v>866</v>
      </c>
      <c r="O459" s="356" t="s">
        <v>928</v>
      </c>
      <c r="P459" s="357"/>
      <c r="Q459" s="16" t="s">
        <v>1005</v>
      </c>
      <c r="R459" s="27"/>
      <c r="S459" s="28"/>
      <c r="T459" s="27"/>
    </row>
    <row r="460" spans="1:20" ht="15" customHeight="1" x14ac:dyDescent="0.2">
      <c r="A460" s="21"/>
      <c r="B460" s="22"/>
      <c r="C460" s="22"/>
      <c r="D460" s="22"/>
      <c r="E460" s="22"/>
      <c r="F460" s="23"/>
      <c r="G460" s="23"/>
      <c r="H460" s="18"/>
      <c r="I460" s="18"/>
      <c r="J460" s="24" t="s">
        <v>16</v>
      </c>
      <c r="K460" s="16" t="s">
        <v>10</v>
      </c>
      <c r="L460" s="26"/>
      <c r="M460" s="113">
        <f>M455-M459*2</f>
        <v>600</v>
      </c>
      <c r="N460" s="18"/>
      <c r="O460" s="356" t="s">
        <v>929</v>
      </c>
      <c r="P460" s="357"/>
      <c r="Q460" s="16" t="s">
        <v>1024</v>
      </c>
      <c r="R460" s="27"/>
      <c r="S460" s="28"/>
      <c r="T460" s="27"/>
    </row>
    <row r="461" spans="1:20" ht="15" customHeight="1" x14ac:dyDescent="0.2">
      <c r="A461" s="21"/>
      <c r="B461" s="22"/>
      <c r="C461" s="22"/>
      <c r="D461" s="22"/>
      <c r="E461" s="22"/>
      <c r="F461" s="23"/>
      <c r="G461" s="23"/>
      <c r="H461" s="18"/>
      <c r="I461" s="18"/>
      <c r="J461" s="24" t="s">
        <v>17</v>
      </c>
      <c r="K461" s="16" t="s">
        <v>10</v>
      </c>
      <c r="L461" s="26"/>
      <c r="M461" s="113"/>
      <c r="N461" s="18"/>
      <c r="O461" s="356" t="s">
        <v>930</v>
      </c>
      <c r="P461" s="357"/>
      <c r="Q461" s="16" t="s">
        <v>931</v>
      </c>
      <c r="R461" s="27"/>
      <c r="S461" s="28"/>
      <c r="T461" s="27"/>
    </row>
    <row r="462" spans="1:20" ht="15" customHeight="1" x14ac:dyDescent="0.2">
      <c r="A462" s="21"/>
      <c r="B462" s="22"/>
      <c r="C462" s="22"/>
      <c r="D462" s="22"/>
      <c r="E462" s="22"/>
      <c r="F462" s="23"/>
      <c r="G462" s="23"/>
      <c r="H462" s="18"/>
      <c r="I462" s="18"/>
      <c r="J462" s="24" t="s">
        <v>18</v>
      </c>
      <c r="K462" s="16" t="s">
        <v>10</v>
      </c>
      <c r="L462" s="26"/>
      <c r="M462" s="113"/>
      <c r="N462" s="18"/>
      <c r="O462" s="356" t="s">
        <v>932</v>
      </c>
      <c r="P462" s="357"/>
      <c r="Q462" s="16" t="s">
        <v>933</v>
      </c>
      <c r="R462" s="27"/>
      <c r="S462" s="28"/>
      <c r="T462" s="27"/>
    </row>
    <row r="463" spans="1:20" ht="15" customHeight="1" x14ac:dyDescent="0.2">
      <c r="A463" s="21"/>
      <c r="B463" s="22"/>
      <c r="C463" s="22"/>
      <c r="D463" s="22"/>
      <c r="E463" s="22"/>
      <c r="F463" s="23"/>
      <c r="G463" s="23"/>
      <c r="H463" s="18"/>
      <c r="I463" s="18"/>
      <c r="J463" s="24" t="s">
        <v>19</v>
      </c>
      <c r="K463" s="16" t="s">
        <v>10</v>
      </c>
      <c r="L463" s="26"/>
      <c r="M463" s="25">
        <v>50</v>
      </c>
      <c r="N463" s="18"/>
      <c r="O463" s="356" t="s">
        <v>934</v>
      </c>
      <c r="P463" s="357"/>
      <c r="Q463" s="16" t="s">
        <v>935</v>
      </c>
      <c r="R463" s="27"/>
      <c r="S463" s="28"/>
      <c r="T463" s="27"/>
    </row>
    <row r="464" spans="1:20" ht="15" customHeight="1" x14ac:dyDescent="0.2">
      <c r="A464" s="21"/>
      <c r="B464" s="22"/>
      <c r="C464" s="22"/>
      <c r="D464" s="22"/>
      <c r="E464" s="22"/>
      <c r="F464" s="23"/>
      <c r="G464" s="23"/>
      <c r="H464" s="18"/>
      <c r="I464" s="18"/>
      <c r="J464" s="29" t="s">
        <v>20</v>
      </c>
      <c r="K464" s="16" t="s">
        <v>21</v>
      </c>
      <c r="L464" s="30"/>
      <c r="M464" s="31">
        <f>L454*L455/1000000</f>
        <v>2.73</v>
      </c>
      <c r="N464" s="18"/>
      <c r="O464" s="356" t="s">
        <v>936</v>
      </c>
      <c r="P464" s="357"/>
      <c r="Q464" s="16" t="s">
        <v>937</v>
      </c>
      <c r="R464" s="27"/>
      <c r="S464" s="28"/>
      <c r="T464" s="27"/>
    </row>
    <row r="465" spans="1:37" ht="15" customHeight="1" x14ac:dyDescent="0.2">
      <c r="A465" s="32"/>
      <c r="B465" s="33"/>
      <c r="C465" s="33"/>
      <c r="D465" s="33"/>
      <c r="E465" s="33"/>
      <c r="F465" s="34"/>
      <c r="G465" s="34"/>
      <c r="H465" s="35"/>
      <c r="I465" s="35"/>
      <c r="J465" s="29" t="s">
        <v>22</v>
      </c>
      <c r="K465" s="16" t="s">
        <v>23</v>
      </c>
      <c r="L465" s="30"/>
      <c r="M465" s="36">
        <f>(L455+L454)*2/1000</f>
        <v>6.8</v>
      </c>
      <c r="N465" s="35"/>
      <c r="O465" s="356" t="s">
        <v>938</v>
      </c>
      <c r="P465" s="357"/>
      <c r="Q465" s="16" t="s">
        <v>939</v>
      </c>
      <c r="R465" s="37"/>
      <c r="S465" s="38"/>
      <c r="T465" s="27"/>
    </row>
    <row r="466" spans="1:37" ht="48.75" customHeight="1" x14ac:dyDescent="0.15">
      <c r="A466" s="39" t="s">
        <v>24</v>
      </c>
      <c r="B466" s="560" t="s">
        <v>25</v>
      </c>
      <c r="C466" s="561"/>
      <c r="D466" s="561"/>
      <c r="E466" s="562"/>
      <c r="F466" s="40" t="s">
        <v>26</v>
      </c>
      <c r="G466" s="40" t="s">
        <v>27</v>
      </c>
      <c r="H466" s="40" t="s">
        <v>28</v>
      </c>
      <c r="I466" s="40" t="s">
        <v>1166</v>
      </c>
      <c r="J466" s="40" t="s">
        <v>29</v>
      </c>
      <c r="K466" s="40" t="s">
        <v>30</v>
      </c>
      <c r="L466" s="41" t="s">
        <v>31</v>
      </c>
      <c r="M466" s="40" t="s">
        <v>32</v>
      </c>
      <c r="N466" s="40" t="s">
        <v>33</v>
      </c>
      <c r="O466" s="40" t="s">
        <v>34</v>
      </c>
      <c r="P466" s="42" t="s">
        <v>35</v>
      </c>
      <c r="Q466" s="359" t="s">
        <v>974</v>
      </c>
      <c r="R466" s="43" t="s">
        <v>36</v>
      </c>
      <c r="S466" s="43" t="s">
        <v>37</v>
      </c>
      <c r="T466" s="458"/>
      <c r="V466" s="261" t="s">
        <v>128</v>
      </c>
      <c r="W466" s="261"/>
      <c r="X466" s="262" t="s">
        <v>359</v>
      </c>
      <c r="Y466" s="263"/>
      <c r="Z466" s="262" t="s">
        <v>355</v>
      </c>
      <c r="AA466" s="263"/>
      <c r="AB466" s="262" t="s">
        <v>360</v>
      </c>
      <c r="AC466" s="263"/>
      <c r="AD466" s="262" t="s">
        <v>127</v>
      </c>
      <c r="AE466" s="263"/>
      <c r="AF466" s="262" t="s">
        <v>357</v>
      </c>
      <c r="AG466" s="263"/>
      <c r="AH466" s="262" t="s">
        <v>358</v>
      </c>
      <c r="AI466" s="263"/>
      <c r="AJ466" s="262" t="s">
        <v>840</v>
      </c>
      <c r="AK466" s="263"/>
    </row>
    <row r="467" spans="1:37" ht="13.5" customHeight="1" x14ac:dyDescent="0.15">
      <c r="A467" s="302">
        <v>1</v>
      </c>
      <c r="B467" s="531" t="s">
        <v>38</v>
      </c>
      <c r="C467" s="532"/>
      <c r="D467" s="532"/>
      <c r="E467" s="533"/>
      <c r="F467" s="47" t="str">
        <f>VLOOKUP($H:$H,型材表!$B$5:$I$448,2,0)</f>
        <v>边框</v>
      </c>
      <c r="G467" s="45" t="s">
        <v>39</v>
      </c>
      <c r="H467" s="45" t="str">
        <f>IF(G452=55,"SW55K001",IF(G452=551,"SW55BK001",IF(G452=60,"SW60K001",IF(G452=601,"SW60AK001",IF(G452=65,"SW65AK001",IF(G452=70,"SW70K001",IF(G452=75,"SW75K001",IF(G452=50,"SW50K002"))))))))</f>
        <v>SW55K001</v>
      </c>
      <c r="I467" s="207" t="s">
        <v>1213</v>
      </c>
      <c r="J467" s="46">
        <f>M454</f>
        <v>1200</v>
      </c>
      <c r="K467" s="45">
        <v>2</v>
      </c>
      <c r="L467" s="47">
        <f>VLOOKUP($H:$H,型材表!$B$5:$I$448,4,0)</f>
        <v>0.96699999999999997</v>
      </c>
      <c r="M467" s="46">
        <f>J467*K467*L467/1000</f>
        <v>2.3207999999999998</v>
      </c>
      <c r="N467" s="72">
        <f>VLOOKUP($H:$H,型材表!$B$5:$I$448,7,0)</f>
        <v>0</v>
      </c>
      <c r="O467" s="46">
        <f>N467*M467</f>
        <v>0</v>
      </c>
      <c r="P467" s="100">
        <f>VLOOKUP($H:$H,型材表!$B$5:$I$448,5,0)</f>
        <v>0.125</v>
      </c>
      <c r="Q467" s="100" t="str">
        <f>VLOOKUP($H:$H,型材表!$B$5:$I$448,6,0)</f>
        <v>断桥隔热铝型材</v>
      </c>
      <c r="R467" s="49"/>
      <c r="S467" s="50"/>
      <c r="T467" s="459"/>
      <c r="X467" s="264"/>
      <c r="Y467" s="265"/>
      <c r="Z467" s="264"/>
      <c r="AA467" s="265"/>
      <c r="AB467" s="264"/>
      <c r="AC467" s="265"/>
      <c r="AD467" s="264"/>
      <c r="AE467" s="265"/>
      <c r="AF467" s="264"/>
      <c r="AG467" s="265"/>
      <c r="AH467" s="264"/>
      <c r="AI467" s="265"/>
      <c r="AJ467" s="264"/>
      <c r="AK467" s="265"/>
    </row>
    <row r="468" spans="1:37" x14ac:dyDescent="0.15">
      <c r="A468" s="302">
        <v>2</v>
      </c>
      <c r="B468" s="534"/>
      <c r="C468" s="535"/>
      <c r="D468" s="535"/>
      <c r="E468" s="536"/>
      <c r="F468" s="47" t="str">
        <f>VLOOKUP($H:$H,型材表!$B$5:$I$448,2,0)</f>
        <v>边框</v>
      </c>
      <c r="G468" s="45" t="s">
        <v>144</v>
      </c>
      <c r="H468" s="45" t="str">
        <f>H467</f>
        <v>SW55K001</v>
      </c>
      <c r="I468" s="207" t="s">
        <v>1214</v>
      </c>
      <c r="J468" s="46">
        <f>M455</f>
        <v>2000</v>
      </c>
      <c r="K468" s="45">
        <v>2</v>
      </c>
      <c r="L468" s="47">
        <f>VLOOKUP($H:$H,型材表!$B$5:$I$448,4,0)</f>
        <v>0.96699999999999997</v>
      </c>
      <c r="M468" s="46">
        <f t="shared" ref="M468" si="71">J468*K468*L468/1000</f>
        <v>3.8679999999999999</v>
      </c>
      <c r="N468" s="72">
        <f>VLOOKUP($H:$H,型材表!$B$5:$I$448,7,0)</f>
        <v>0</v>
      </c>
      <c r="O468" s="46">
        <f t="shared" ref="O468" si="72">N468*M468</f>
        <v>0</v>
      </c>
      <c r="P468" s="100">
        <f>VLOOKUP($H:$H,型材表!$B$5:$I$448,5,0)</f>
        <v>0.125</v>
      </c>
      <c r="Q468" s="100" t="str">
        <f>VLOOKUP($H:$H,型材表!$B$5:$I$448,6,0)</f>
        <v>断桥隔热铝型材</v>
      </c>
      <c r="R468" s="49"/>
      <c r="S468" s="50"/>
      <c r="T468" s="459"/>
      <c r="X468" s="264"/>
      <c r="Y468" s="265"/>
      <c r="Z468" s="264"/>
      <c r="AA468" s="265"/>
      <c r="AB468" s="264"/>
      <c r="AC468" s="265"/>
      <c r="AD468" s="264"/>
      <c r="AE468" s="265"/>
      <c r="AF468" s="264"/>
      <c r="AG468" s="265"/>
      <c r="AH468" s="264"/>
      <c r="AI468" s="265"/>
      <c r="AJ468" s="264"/>
      <c r="AK468" s="265"/>
    </row>
    <row r="469" spans="1:37" x14ac:dyDescent="0.15">
      <c r="A469" s="413">
        <v>3</v>
      </c>
      <c r="B469" s="534"/>
      <c r="C469" s="535"/>
      <c r="D469" s="535"/>
      <c r="E469" s="536"/>
      <c r="F469" s="47"/>
      <c r="G469" s="207"/>
      <c r="H469" s="207"/>
      <c r="I469" s="207"/>
      <c r="J469" s="208"/>
      <c r="K469" s="207"/>
      <c r="L469" s="47"/>
      <c r="M469" s="46"/>
      <c r="N469" s="72"/>
      <c r="O469" s="46"/>
      <c r="P469" s="100"/>
      <c r="Q469" s="100"/>
      <c r="R469" s="210"/>
      <c r="S469" s="50"/>
      <c r="T469" s="459"/>
      <c r="X469" s="286"/>
      <c r="Y469" s="265"/>
      <c r="Z469" s="286"/>
      <c r="AA469" s="265"/>
      <c r="AB469" s="286"/>
      <c r="AC469" s="265"/>
      <c r="AD469" s="286"/>
      <c r="AE469" s="265"/>
      <c r="AF469" s="286"/>
      <c r="AG469" s="265"/>
      <c r="AH469" s="286"/>
      <c r="AI469" s="265"/>
      <c r="AJ469" s="264"/>
      <c r="AK469" s="265"/>
    </row>
    <row r="470" spans="1:37" s="229" customFormat="1" x14ac:dyDescent="0.15">
      <c r="A470" s="413">
        <v>4</v>
      </c>
      <c r="B470" s="537"/>
      <c r="C470" s="538"/>
      <c r="D470" s="538"/>
      <c r="E470" s="539"/>
      <c r="F470" s="221"/>
      <c r="G470" s="222"/>
      <c r="H470" s="222"/>
      <c r="I470" s="222"/>
      <c r="J470" s="223"/>
      <c r="K470" s="222"/>
      <c r="L470" s="221"/>
      <c r="M470" s="224"/>
      <c r="N470" s="225"/>
      <c r="O470" s="224"/>
      <c r="P470" s="226"/>
      <c r="Q470" s="100"/>
      <c r="R470" s="227"/>
      <c r="S470" s="228"/>
      <c r="T470" s="467"/>
      <c r="U470" s="375"/>
      <c r="V470" s="266"/>
      <c r="W470" s="266"/>
      <c r="X470" s="267"/>
      <c r="Y470" s="268"/>
      <c r="Z470" s="267"/>
      <c r="AA470" s="268"/>
      <c r="AB470" s="267"/>
      <c r="AC470" s="268"/>
      <c r="AD470" s="267"/>
      <c r="AE470" s="268"/>
      <c r="AF470" s="267"/>
      <c r="AG470" s="268"/>
      <c r="AH470" s="267"/>
      <c r="AI470" s="268"/>
      <c r="AJ470" s="267"/>
      <c r="AK470" s="268"/>
    </row>
    <row r="471" spans="1:37" ht="13.5" customHeight="1" x14ac:dyDescent="0.15">
      <c r="A471" s="413">
        <v>5</v>
      </c>
      <c r="B471" s="531" t="s">
        <v>41</v>
      </c>
      <c r="C471" s="532"/>
      <c r="D471" s="532"/>
      <c r="E471" s="533"/>
      <c r="F471" s="47" t="str">
        <f>VLOOKUP($H:$H,型材表!$B$5:$I$448,2,0)</f>
        <v>外开扇</v>
      </c>
      <c r="G471" s="45" t="s">
        <v>39</v>
      </c>
      <c r="H471" s="45" t="str">
        <f>IF(G452=55,"SW55S001",IF(G452=551,"SW55BS001",IF(G452=60,"SW60S001",IF(G452=601,"SW60AS001",IF(G452=65,"SW65AS001",IF(G452=70,"SW70S001",IF(G452=75,"SW75S001",IF(G452=50,"SW50S001"))))))))</f>
        <v>SW55S001</v>
      </c>
      <c r="I471" s="207" t="s">
        <v>1300</v>
      </c>
      <c r="J471" s="46">
        <f>IF(G452=55,M456-V471,IF(G452=551,M456-X471,IF(G452=60,M456-Z471,IF(G452=601,M456-AB471,IF(G452=65,M456-AD471,IF(G452=70,M456-AF471,IF(G452=75,M456-AH471,IF(G452=50,M456-AJ471))))))))</f>
        <v>1102.2</v>
      </c>
      <c r="K471" s="45">
        <v>4</v>
      </c>
      <c r="L471" s="47">
        <f>VLOOKUP($H:$H,型材表!$B$5:$I$448,4,0)</f>
        <v>1.4450000000000001</v>
      </c>
      <c r="M471" s="46">
        <f t="shared" ref="M471:M475" si="73">J471*K471*L471/1000</f>
        <v>6.3707160000000007</v>
      </c>
      <c r="N471" s="72">
        <f>VLOOKUP($H:$H,型材表!$B$5:$I$448,7,0)</f>
        <v>0</v>
      </c>
      <c r="O471" s="46">
        <f t="shared" ref="O471:O475" si="74">N471*M471</f>
        <v>0</v>
      </c>
      <c r="P471" s="100">
        <f>VLOOKUP($H:$H,型材表!$B$5:$I$448,5,0)</f>
        <v>0.125</v>
      </c>
      <c r="Q471" s="100" t="str">
        <f>VLOOKUP($H:$H,型材表!$B$5:$I$448,6,0)</f>
        <v>断桥隔热铝型材</v>
      </c>
      <c r="R471" s="49"/>
      <c r="S471" s="50"/>
      <c r="T471" s="459"/>
      <c r="U471" s="374" t="s">
        <v>1571</v>
      </c>
      <c r="V471" s="259">
        <f>48.9*2</f>
        <v>97.8</v>
      </c>
      <c r="X471" s="286">
        <f>48.9*2</f>
        <v>97.8</v>
      </c>
      <c r="Y471" s="265"/>
      <c r="Z471" s="286">
        <f>48.9*2</f>
        <v>97.8</v>
      </c>
      <c r="AA471" s="265"/>
      <c r="AB471" s="286">
        <f>48.9*2</f>
        <v>97.8</v>
      </c>
      <c r="AC471" s="265"/>
      <c r="AD471" s="286">
        <f>48.9*2</f>
        <v>97.8</v>
      </c>
      <c r="AE471" s="265"/>
      <c r="AF471" s="286">
        <f>50.9*2</f>
        <v>101.8</v>
      </c>
      <c r="AG471" s="265"/>
      <c r="AH471" s="286">
        <f>50.9*2</f>
        <v>101.8</v>
      </c>
      <c r="AI471" s="265"/>
      <c r="AJ471" s="264">
        <f>45.7*2</f>
        <v>91.4</v>
      </c>
      <c r="AK471" s="265"/>
    </row>
    <row r="472" spans="1:37" x14ac:dyDescent="0.15">
      <c r="A472" s="413">
        <v>6</v>
      </c>
      <c r="B472" s="534"/>
      <c r="C472" s="535"/>
      <c r="D472" s="535"/>
      <c r="E472" s="536"/>
      <c r="F472" s="47" t="str">
        <f>VLOOKUP($H:$H,型材表!$B$5:$I$448,2,0)</f>
        <v>外开扇</v>
      </c>
      <c r="G472" s="45" t="s">
        <v>144</v>
      </c>
      <c r="H472" s="207" t="str">
        <f>H471</f>
        <v>SW55S001</v>
      </c>
      <c r="I472" s="207" t="s">
        <v>1576</v>
      </c>
      <c r="J472" s="208">
        <f>IF(G452=55,M459-V472,IF(G452=551,M459-X472,IF(G452=60,M459-Z472,IF(G452=601,M459-AB472,IF(G452=65,M459-AD472,IF(G452=70,M459-AF472,IF(G452=75,M459-AH472,IF(G452=50,M459-AJ472))))))))</f>
        <v>617.20000000000005</v>
      </c>
      <c r="K472" s="207">
        <v>4</v>
      </c>
      <c r="L472" s="47">
        <f>VLOOKUP($H:$H,型材表!$B$5:$I$448,4,0)</f>
        <v>1.4450000000000001</v>
      </c>
      <c r="M472" s="46">
        <f t="shared" si="73"/>
        <v>3.5674160000000006</v>
      </c>
      <c r="N472" s="72">
        <f>VLOOKUP($H:$H,型材表!$B$5:$I$448,7,0)</f>
        <v>0</v>
      </c>
      <c r="O472" s="46">
        <f t="shared" si="74"/>
        <v>0</v>
      </c>
      <c r="P472" s="100">
        <f>VLOOKUP($H:$H,型材表!$B$5:$I$448,5,0)</f>
        <v>0.125</v>
      </c>
      <c r="Q472" s="100" t="str">
        <f>VLOOKUP($H:$H,型材表!$B$5:$I$448,6,0)</f>
        <v>断桥隔热铝型材</v>
      </c>
      <c r="R472" s="210"/>
      <c r="S472" s="50"/>
      <c r="T472" s="459"/>
      <c r="U472" s="374" t="s">
        <v>1575</v>
      </c>
      <c r="V472" s="259">
        <f>48.9+33.9</f>
        <v>82.8</v>
      </c>
      <c r="X472" s="286">
        <f>48.9+33.9</f>
        <v>82.8</v>
      </c>
      <c r="Y472" s="265"/>
      <c r="Z472" s="286">
        <f>48.9+33.9</f>
        <v>82.8</v>
      </c>
      <c r="AA472" s="265"/>
      <c r="AB472" s="286">
        <f>48.9+33.9</f>
        <v>82.8</v>
      </c>
      <c r="AC472" s="265"/>
      <c r="AD472" s="286">
        <f>48.9+33.9</f>
        <v>82.8</v>
      </c>
      <c r="AE472" s="265"/>
      <c r="AF472" s="286">
        <f>50.9+35.9</f>
        <v>86.8</v>
      </c>
      <c r="AG472" s="265"/>
      <c r="AH472" s="286">
        <f>50.9+35.9</f>
        <v>86.8</v>
      </c>
      <c r="AI472" s="265"/>
      <c r="AJ472" s="264">
        <f>45.7+30.4</f>
        <v>76.099999999999994</v>
      </c>
      <c r="AK472" s="265"/>
    </row>
    <row r="473" spans="1:37" x14ac:dyDescent="0.15">
      <c r="A473" s="413">
        <v>7</v>
      </c>
      <c r="B473" s="534"/>
      <c r="C473" s="535"/>
      <c r="D473" s="535"/>
      <c r="E473" s="536"/>
      <c r="F473" s="47" t="str">
        <f>VLOOKUP($H:$H,型材表!$B$5:$I$448,2,0)</f>
        <v>中梃</v>
      </c>
      <c r="G473" s="45"/>
      <c r="H473" s="45" t="str">
        <f>IF(G452=55,"SW55T001",IF(G452=551,"SW55BT001",IF(G452=60,"SW60T001",IF(G452=601,"SW60AT001",IF(G452=65,"SW65AT001",IF(G452=70,"SW70T001",IF(G452=75,"SW75T001",IF(G452=50,"SW50Z001"))))))))</f>
        <v>SW55T001</v>
      </c>
      <c r="I473" s="207" t="s">
        <v>1216</v>
      </c>
      <c r="J473" s="46">
        <f>IF(G452=55,M456-V473,IF(G452=551,M456-X473,IF(G452=60,M456-Z473,IF(G452=601,M456-AB473,IF(G452=65,M456-AD473,IF(G452=70,M456-AF473,IF(G452=75,M456-AH473,IF(G452=50,M456-AJ472))))))))</f>
        <v>1154</v>
      </c>
      <c r="K473" s="45">
        <v>2</v>
      </c>
      <c r="L473" s="47">
        <f>VLOOKUP($H:$H,型材表!$B$5:$I$448,4,0)</f>
        <v>1.113</v>
      </c>
      <c r="M473" s="46">
        <f t="shared" si="73"/>
        <v>2.5688040000000001</v>
      </c>
      <c r="N473" s="72">
        <f>VLOOKUP($H:$H,型材表!$B$5:$I$448,7,0)</f>
        <v>0</v>
      </c>
      <c r="O473" s="46">
        <f t="shared" si="74"/>
        <v>0</v>
      </c>
      <c r="P473" s="100">
        <f>VLOOKUP($H:$H,型材表!$B$5:$I$448,5,0)</f>
        <v>0.125</v>
      </c>
      <c r="Q473" s="100" t="str">
        <f>VLOOKUP($H:$H,型材表!$B$5:$I$448,6,0)</f>
        <v>断桥隔热铝型材</v>
      </c>
      <c r="R473" s="49"/>
      <c r="S473" s="50"/>
      <c r="T473" s="459"/>
      <c r="U473" s="374" t="s">
        <v>1234</v>
      </c>
      <c r="V473" s="259">
        <f>23*2</f>
        <v>46</v>
      </c>
      <c r="X473" s="286">
        <f>23*2</f>
        <v>46</v>
      </c>
      <c r="Y473" s="265"/>
      <c r="Z473" s="286">
        <f>23*2</f>
        <v>46</v>
      </c>
      <c r="AA473" s="265"/>
      <c r="AB473" s="286">
        <f>23*2</f>
        <v>46</v>
      </c>
      <c r="AC473" s="265"/>
      <c r="AD473" s="286">
        <f>23*2</f>
        <v>46</v>
      </c>
      <c r="AE473" s="265"/>
      <c r="AF473" s="286">
        <f>23*2</f>
        <v>46</v>
      </c>
      <c r="AG473" s="265"/>
      <c r="AH473" s="286">
        <f>23*2</f>
        <v>46</v>
      </c>
      <c r="AI473" s="265"/>
      <c r="AJ473" s="264">
        <f>23.3*2</f>
        <v>46.6</v>
      </c>
      <c r="AK473" s="265"/>
    </row>
    <row r="474" spans="1:37" s="315" customFormat="1" x14ac:dyDescent="0.15">
      <c r="A474" s="413">
        <v>8</v>
      </c>
      <c r="B474" s="534"/>
      <c r="C474" s="535"/>
      <c r="D474" s="535"/>
      <c r="E474" s="536"/>
      <c r="F474" s="310" t="str">
        <f>VLOOKUP($H:$H,型材表!$B$5:$I$448,2,0)</f>
        <v>转向框</v>
      </c>
      <c r="G474" s="116" t="s">
        <v>39</v>
      </c>
      <c r="H474" s="116" t="str">
        <f>IF(G452=55,"SW55K102",IF(G452=551,"SW55BK102",IF(G452=60,"SW60K102",IF(G452=601,"SW60AK102",IF(G452=65,"SW65AK102",IF(G452=70,"SW70K102",IF(G452=75,"SW75K102",IF(G452=50,"SW50K101"))))))))</f>
        <v>SW55K102</v>
      </c>
      <c r="I474" s="328" t="s">
        <v>1217</v>
      </c>
      <c r="J474" s="147">
        <f>IF(G452=55,M456-V474,IF(G452=551,M456-X474,IF(G452=60,M456-Z474,IF(G452=601,M456-AB474,IF(G452=65,M456-AD474,IF(G452=70,M456-AF474,IF(G452=75,M456-AH474,IF(G452=50,M456-AJ474))))))))</f>
        <v>1149.4000000000001</v>
      </c>
      <c r="K474" s="116">
        <v>2</v>
      </c>
      <c r="L474" s="310">
        <f>VLOOKUP($H:$H,型材表!$B$5:$I$448,4,0)</f>
        <v>0.92300000000000004</v>
      </c>
      <c r="M474" s="147">
        <f t="shared" si="73"/>
        <v>2.1217924000000004</v>
      </c>
      <c r="N474" s="311">
        <f>VLOOKUP($H:$H,型材表!$B$5:$I$448,7,0)</f>
        <v>0</v>
      </c>
      <c r="O474" s="147">
        <f t="shared" si="74"/>
        <v>0</v>
      </c>
      <c r="P474" s="312">
        <f>VLOOKUP($H:$H,型材表!$B$5:$I$448,5,0)</f>
        <v>0.125</v>
      </c>
      <c r="Q474" s="100" t="str">
        <f>VLOOKUP($H:$H,型材表!$B$5:$I$448,6,0)</f>
        <v>断桥隔热铝型材</v>
      </c>
      <c r="R474" s="313"/>
      <c r="S474" s="314"/>
      <c r="T474" s="469"/>
      <c r="U474" s="376" t="s">
        <v>1301</v>
      </c>
      <c r="V474" s="316">
        <f>25.3*2</f>
        <v>50.6</v>
      </c>
      <c r="W474" s="316"/>
      <c r="X474" s="317">
        <f>25.3*2</f>
        <v>50.6</v>
      </c>
      <c r="Y474" s="318"/>
      <c r="Z474" s="317">
        <f>25.3*2</f>
        <v>50.6</v>
      </c>
      <c r="AA474" s="318"/>
      <c r="AB474" s="317">
        <f>25.3*2</f>
        <v>50.6</v>
      </c>
      <c r="AC474" s="318"/>
      <c r="AD474" s="317">
        <f>25.3*2</f>
        <v>50.6</v>
      </c>
      <c r="AE474" s="318"/>
      <c r="AF474" s="317">
        <f>25.3*2</f>
        <v>50.6</v>
      </c>
      <c r="AG474" s="318"/>
      <c r="AH474" s="317">
        <f>25.3*2</f>
        <v>50.6</v>
      </c>
      <c r="AI474" s="318"/>
      <c r="AJ474" s="317">
        <f>25.3*2</f>
        <v>50.6</v>
      </c>
      <c r="AK474" s="318"/>
    </row>
    <row r="475" spans="1:37" s="315" customFormat="1" x14ac:dyDescent="0.15">
      <c r="A475" s="413">
        <v>9</v>
      </c>
      <c r="B475" s="534"/>
      <c r="C475" s="535"/>
      <c r="D475" s="535"/>
      <c r="E475" s="536"/>
      <c r="F475" s="310" t="str">
        <f>VLOOKUP($H:$H,型材表!$B$5:$I$448,2,0)</f>
        <v>转向框</v>
      </c>
      <c r="G475" s="116" t="s">
        <v>144</v>
      </c>
      <c r="H475" s="328" t="str">
        <f>H474</f>
        <v>SW55K102</v>
      </c>
      <c r="I475" s="328" t="s">
        <v>1578</v>
      </c>
      <c r="J475" s="329">
        <f>IF(G452=55,M460-V475,IF(G452=551,M460-X475,IF(G452=60,M460-Z475,IF(G452=601,M460-AB475,IF(G452=65,M460-AD475,IF(G452=70,M460-AF475,IF(G452=75,M460-AH475,IF(G452=50,M460-AJ475))))))))</f>
        <v>561.70000000000005</v>
      </c>
      <c r="K475" s="328">
        <v>2</v>
      </c>
      <c r="L475" s="310">
        <f>VLOOKUP($H:$H,型材表!$B$5:$I$448,4,0)</f>
        <v>0.92300000000000004</v>
      </c>
      <c r="M475" s="147">
        <f t="shared" si="73"/>
        <v>1.0368982</v>
      </c>
      <c r="N475" s="311">
        <f>VLOOKUP($H:$H,型材表!$B$5:$I$448,7,0)</f>
        <v>0</v>
      </c>
      <c r="O475" s="147">
        <f t="shared" si="74"/>
        <v>0</v>
      </c>
      <c r="P475" s="312">
        <f>VLOOKUP($H:$H,型材表!$B$5:$I$448,5,0)</f>
        <v>0.125</v>
      </c>
      <c r="Q475" s="100" t="str">
        <f>VLOOKUP($H:$H,型材表!$B$5:$I$448,6,0)</f>
        <v>断桥隔热铝型材</v>
      </c>
      <c r="R475" s="330"/>
      <c r="S475" s="314"/>
      <c r="T475" s="469"/>
      <c r="U475" s="376" t="s">
        <v>1577</v>
      </c>
      <c r="V475" s="316">
        <f>25.3+13</f>
        <v>38.299999999999997</v>
      </c>
      <c r="W475" s="316"/>
      <c r="X475" s="317">
        <f>25.3+13</f>
        <v>38.299999999999997</v>
      </c>
      <c r="Y475" s="318"/>
      <c r="Z475" s="317">
        <f>25.3+13</f>
        <v>38.299999999999997</v>
      </c>
      <c r="AA475" s="318"/>
      <c r="AB475" s="317">
        <f>25.3+13</f>
        <v>38.299999999999997</v>
      </c>
      <c r="AC475" s="318"/>
      <c r="AD475" s="317">
        <f>25.3+13</f>
        <v>38.299999999999997</v>
      </c>
      <c r="AE475" s="318"/>
      <c r="AF475" s="317">
        <f>25.3+10.3</f>
        <v>35.6</v>
      </c>
      <c r="AG475" s="318"/>
      <c r="AH475" s="317">
        <f>25.3+10.3</f>
        <v>35.6</v>
      </c>
      <c r="AI475" s="318"/>
      <c r="AJ475" s="317">
        <f>10+25.3</f>
        <v>35.299999999999997</v>
      </c>
      <c r="AK475" s="318"/>
    </row>
    <row r="476" spans="1:37" x14ac:dyDescent="0.15">
      <c r="A476" s="413">
        <v>10</v>
      </c>
      <c r="B476" s="537"/>
      <c r="C476" s="538"/>
      <c r="D476" s="538"/>
      <c r="E476" s="539"/>
      <c r="F476" s="47"/>
      <c r="G476" s="45"/>
      <c r="H476" s="45"/>
      <c r="I476" s="207"/>
      <c r="J476" s="46"/>
      <c r="K476" s="45"/>
      <c r="L476" s="47"/>
      <c r="M476" s="46"/>
      <c r="N476" s="72"/>
      <c r="O476" s="46"/>
      <c r="P476" s="100"/>
      <c r="Q476" s="100"/>
      <c r="R476" s="49"/>
      <c r="S476" s="50"/>
      <c r="T476" s="459"/>
      <c r="X476" s="264"/>
      <c r="Y476" s="265"/>
      <c r="Z476" s="264"/>
      <c r="AA476" s="265"/>
      <c r="AB476" s="264"/>
      <c r="AC476" s="265"/>
      <c r="AD476" s="264"/>
      <c r="AE476" s="265"/>
      <c r="AF476" s="264"/>
      <c r="AG476" s="265"/>
      <c r="AH476" s="264"/>
      <c r="AI476" s="265"/>
      <c r="AJ476" s="264"/>
      <c r="AK476" s="265"/>
    </row>
    <row r="477" spans="1:37" ht="13.5" customHeight="1" x14ac:dyDescent="0.15">
      <c r="A477" s="413">
        <v>11</v>
      </c>
      <c r="B477" s="531" t="s">
        <v>44</v>
      </c>
      <c r="C477" s="532"/>
      <c r="D477" s="532"/>
      <c r="E477" s="533"/>
      <c r="F477" s="47" t="str">
        <f>VLOOKUP($H:$H,型材表!$B$5:$I$448,2,0)</f>
        <v>压线</v>
      </c>
      <c r="G477" s="45" t="s">
        <v>39</v>
      </c>
      <c r="H477" s="45" t="str">
        <f>IF(G452=55,"SN55Y001",IF(G452=551,"SW55BY001",IF(G452=60,"SN60Y001",IF(G452=601,"SW60AY001",IF(G452=65,"SN65AY001",IF(G452=70,"SN70Y001",IF(G452=75,"SN75Y001",IF(G452=50,"SW50Y001"))))))))</f>
        <v>SN55Y001</v>
      </c>
      <c r="I477" s="207" t="s">
        <v>1585</v>
      </c>
      <c r="J477" s="52">
        <f>IF(G452=55,M456-V477,IF(G452=551,M456-X477,IF(G452=60,M456-Z477,IF(G452=601,M456-AB477,IF(G452=65,M456-AD477,IF(G452=70,M456-AF477,IF(G452=75,M456-AH477,IF(G452=50,M456-AJ477))))))))</f>
        <v>1000.2</v>
      </c>
      <c r="K477" s="45">
        <v>4</v>
      </c>
      <c r="L477" s="47">
        <f>VLOOKUP($H:$H,型材表!$B$5:$I$448,4,0)</f>
        <v>0.214</v>
      </c>
      <c r="M477" s="46">
        <f t="shared" ref="M477:M484" si="75">J477*K477*L477/1000</f>
        <v>0.85617120000000002</v>
      </c>
      <c r="N477" s="72">
        <f>VLOOKUP($H:$H,型材表!$B$5:$I$448,7,0)</f>
        <v>0</v>
      </c>
      <c r="O477" s="46">
        <f t="shared" ref="O477:O484" si="76">N477*M477</f>
        <v>0</v>
      </c>
      <c r="P477" s="100">
        <f>VLOOKUP($H:$H,型材表!$B$5:$I$448,5,0)</f>
        <v>0.125</v>
      </c>
      <c r="Q477" s="100" t="str">
        <f>VLOOKUP($H:$H,型材表!$B$5:$I$448,6,0)</f>
        <v>非断桥隔热铝型材</v>
      </c>
      <c r="R477" s="49"/>
      <c r="S477" s="50"/>
      <c r="T477" s="459"/>
      <c r="U477" s="374" t="s">
        <v>1584</v>
      </c>
      <c r="V477" s="269">
        <f>99.9*2</f>
        <v>199.8</v>
      </c>
      <c r="X477" s="279">
        <f>99.9*2</f>
        <v>199.8</v>
      </c>
      <c r="Y477" s="265"/>
      <c r="Z477" s="279">
        <f>99.9*2</f>
        <v>199.8</v>
      </c>
      <c r="AA477" s="265"/>
      <c r="AB477" s="279">
        <f>99.9*2</f>
        <v>199.8</v>
      </c>
      <c r="AC477" s="265"/>
      <c r="AD477" s="279">
        <f>99.9*2</f>
        <v>199.8</v>
      </c>
      <c r="AE477" s="265"/>
      <c r="AF477" s="279">
        <f>105.4*2</f>
        <v>210.8</v>
      </c>
      <c r="AG477" s="265"/>
      <c r="AH477" s="279">
        <f>105.4*2</f>
        <v>210.8</v>
      </c>
      <c r="AI477" s="265"/>
      <c r="AJ477" s="279">
        <f>90.4*2</f>
        <v>180.8</v>
      </c>
      <c r="AK477" s="265"/>
    </row>
    <row r="478" spans="1:37" ht="13.5" customHeight="1" x14ac:dyDescent="0.15">
      <c r="A478" s="413">
        <v>12</v>
      </c>
      <c r="B478" s="534"/>
      <c r="C478" s="535"/>
      <c r="D478" s="535"/>
      <c r="E478" s="536"/>
      <c r="F478" s="47" t="str">
        <f>VLOOKUP($H:$H,型材表!$B$5:$I$448,2,0)</f>
        <v>压线</v>
      </c>
      <c r="G478" s="45" t="s">
        <v>39</v>
      </c>
      <c r="H478" s="207" t="str">
        <f>H477</f>
        <v>SN55Y001</v>
      </c>
      <c r="I478" s="207" t="s">
        <v>1304</v>
      </c>
      <c r="J478" s="214">
        <f>IF(G452=55,M456-V478,IF(G452=551,M456-X478,IF(G452=60,M456-Z478,IF(G452=601,M456-AB478,IF(G452=65,M456-AD478,IF(G452=70,M456-AF478,IF(G452=75,M456-AH478,IF(G452=50,M456-AJ478))))))))</f>
        <v>1154</v>
      </c>
      <c r="K478" s="207">
        <v>2</v>
      </c>
      <c r="L478" s="47">
        <f>VLOOKUP($H:$H,型材表!$B$5:$I$448,4,0)</f>
        <v>0.214</v>
      </c>
      <c r="M478" s="46">
        <f t="shared" ref="M478:M479" si="77">J478*K478*L478/1000</f>
        <v>0.49391199999999996</v>
      </c>
      <c r="N478" s="72">
        <f>VLOOKUP($H:$H,型材表!$B$5:$I$448,7,0)</f>
        <v>0</v>
      </c>
      <c r="O478" s="46">
        <f t="shared" ref="O478:O479" si="78">N478*M478</f>
        <v>0</v>
      </c>
      <c r="P478" s="100">
        <f>VLOOKUP($H:$H,型材表!$B$5:$I$448,5,0)</f>
        <v>0.125</v>
      </c>
      <c r="Q478" s="100" t="str">
        <f>VLOOKUP($H:$H,型材表!$B$5:$I$448,6,0)</f>
        <v>非断桥隔热铝型材</v>
      </c>
      <c r="R478" s="210"/>
      <c r="S478" s="50"/>
      <c r="T478" s="459"/>
      <c r="U478" s="374" t="s">
        <v>1303</v>
      </c>
      <c r="V478" s="269">
        <f>23*2</f>
        <v>46</v>
      </c>
      <c r="X478" s="279">
        <f>23*2</f>
        <v>46</v>
      </c>
      <c r="Y478" s="265"/>
      <c r="Z478" s="279">
        <f>23*2</f>
        <v>46</v>
      </c>
      <c r="AA478" s="265"/>
      <c r="AB478" s="279">
        <f>23*2</f>
        <v>46</v>
      </c>
      <c r="AC478" s="265"/>
      <c r="AD478" s="279">
        <f>23*2</f>
        <v>46</v>
      </c>
      <c r="AE478" s="265"/>
      <c r="AF478" s="279">
        <f>23*2</f>
        <v>46</v>
      </c>
      <c r="AG478" s="265"/>
      <c r="AH478" s="279">
        <f>23*2</f>
        <v>46</v>
      </c>
      <c r="AI478" s="265"/>
      <c r="AJ478" s="279">
        <f>23.3*2</f>
        <v>46.6</v>
      </c>
      <c r="AK478" s="265"/>
    </row>
    <row r="479" spans="1:37" ht="13.5" customHeight="1" x14ac:dyDescent="0.15">
      <c r="A479" s="413">
        <v>13</v>
      </c>
      <c r="B479" s="534"/>
      <c r="C479" s="535"/>
      <c r="D479" s="535"/>
      <c r="E479" s="536"/>
      <c r="F479" s="47" t="str">
        <f>VLOOKUP($H:$H,型材表!$B$5:$I$448,2,0)</f>
        <v>压线</v>
      </c>
      <c r="G479" s="45" t="s">
        <v>40</v>
      </c>
      <c r="H479" s="207" t="str">
        <f>H478</f>
        <v>SN55Y001</v>
      </c>
      <c r="I479" s="207" t="s">
        <v>1302</v>
      </c>
      <c r="J479" s="214">
        <f>IF(G452=55,M459-V479,IF(G452=551,M459-X479,IF(G452=60,M459-Z479,IF(G452=601,M459-AB479,IF(G452=65,M459-AD479,IF(G452=70,M459-AF479,IF(G452=75,M459-AH479,IF(G452=50,M459-AJ479))))))))</f>
        <v>515.20000000000005</v>
      </c>
      <c r="K479" s="207">
        <v>4</v>
      </c>
      <c r="L479" s="47">
        <f>VLOOKUP($H:$H,型材表!$B$5:$I$448,4,0)</f>
        <v>0.214</v>
      </c>
      <c r="M479" s="46">
        <f t="shared" si="77"/>
        <v>0.44101120000000005</v>
      </c>
      <c r="N479" s="72">
        <f>VLOOKUP($H:$H,型材表!$B$5:$I$448,7,0)</f>
        <v>0</v>
      </c>
      <c r="O479" s="46">
        <f t="shared" si="78"/>
        <v>0</v>
      </c>
      <c r="P479" s="100">
        <f>VLOOKUP($H:$H,型材表!$B$5:$I$448,5,0)</f>
        <v>0.125</v>
      </c>
      <c r="Q479" s="100" t="str">
        <f>VLOOKUP($H:$H,型材表!$B$5:$I$448,6,0)</f>
        <v>非断桥隔热铝型材</v>
      </c>
      <c r="R479" s="210"/>
      <c r="S479" s="50"/>
      <c r="T479" s="459"/>
      <c r="U479" s="374" t="s">
        <v>1254</v>
      </c>
      <c r="V479" s="269">
        <f>99.9+84.9</f>
        <v>184.8</v>
      </c>
      <c r="X479" s="279">
        <f>99.9+84.9</f>
        <v>184.8</v>
      </c>
      <c r="Y479" s="265"/>
      <c r="Z479" s="279">
        <f>99.9+84.9</f>
        <v>184.8</v>
      </c>
      <c r="AA479" s="265"/>
      <c r="AB479" s="279">
        <f>99.9+84.9</f>
        <v>184.8</v>
      </c>
      <c r="AC479" s="265"/>
      <c r="AD479" s="279">
        <f>99.9+84.9</f>
        <v>184.8</v>
      </c>
      <c r="AE479" s="265"/>
      <c r="AF479" s="279">
        <f>105.4+90.4</f>
        <v>195.8</v>
      </c>
      <c r="AG479" s="265"/>
      <c r="AH479" s="279">
        <f>105.4+90.4</f>
        <v>195.8</v>
      </c>
      <c r="AI479" s="265"/>
      <c r="AJ479" s="279">
        <f>90.4+75.1</f>
        <v>165.5</v>
      </c>
      <c r="AK479" s="265"/>
    </row>
    <row r="480" spans="1:37" x14ac:dyDescent="0.15">
      <c r="A480" s="413">
        <v>14</v>
      </c>
      <c r="B480" s="534"/>
      <c r="C480" s="535"/>
      <c r="D480" s="535"/>
      <c r="E480" s="536"/>
      <c r="F480" s="47" t="str">
        <f>VLOOKUP($H:$H,型材表!$B$5:$I$448,2,0)</f>
        <v>压线</v>
      </c>
      <c r="G480" s="45" t="s">
        <v>144</v>
      </c>
      <c r="H480" s="207" t="str">
        <f>H477</f>
        <v>SN55Y001</v>
      </c>
      <c r="I480" s="207" t="s">
        <v>1305</v>
      </c>
      <c r="J480" s="214">
        <f>IF(G452=55,M460-V480,IF(G452=551,M460-X480,IF(G452=60,M460-Z480,IF(G452=601,M460-AB480,IF(G452=65,M460-AD480,IF(G452=70,M460-AF480,IF(G452=75,M460-AH480,IF(G452=50,M460-AJ480))))))))</f>
        <v>584</v>
      </c>
      <c r="K480" s="207">
        <v>2</v>
      </c>
      <c r="L480" s="47">
        <f>VLOOKUP($H:$H,型材表!$B$5:$I$448,4,0)</f>
        <v>0.214</v>
      </c>
      <c r="M480" s="46">
        <f t="shared" si="75"/>
        <v>0.24995200000000001</v>
      </c>
      <c r="N480" s="72">
        <f>VLOOKUP($H:$H,型材表!$B$5:$I$448,7,0)</f>
        <v>0</v>
      </c>
      <c r="O480" s="46">
        <f t="shared" si="76"/>
        <v>0</v>
      </c>
      <c r="P480" s="100">
        <f>VLOOKUP($H:$H,型材表!$B$5:$I$448,5,0)</f>
        <v>0.125</v>
      </c>
      <c r="Q480" s="100" t="str">
        <f>VLOOKUP($H:$H,型材表!$B$5:$I$448,6,0)</f>
        <v>非断桥隔热铝型材</v>
      </c>
      <c r="R480" s="210"/>
      <c r="S480" s="50"/>
      <c r="T480" s="459"/>
      <c r="U480" s="374" t="s">
        <v>1290</v>
      </c>
      <c r="V480" s="335">
        <f>8*2</f>
        <v>16</v>
      </c>
      <c r="X480" s="378">
        <f>8*2</f>
        <v>16</v>
      </c>
      <c r="Y480" s="265"/>
      <c r="Z480" s="378">
        <f>8*2</f>
        <v>16</v>
      </c>
      <c r="AA480" s="265"/>
      <c r="AB480" s="378">
        <f>8*2</f>
        <v>16</v>
      </c>
      <c r="AC480" s="265"/>
      <c r="AD480" s="378">
        <f>8*2</f>
        <v>16</v>
      </c>
      <c r="AE480" s="265"/>
      <c r="AF480" s="378">
        <f>8*2</f>
        <v>16</v>
      </c>
      <c r="AG480" s="265"/>
      <c r="AH480" s="378">
        <f>8*2</f>
        <v>16</v>
      </c>
      <c r="AI480" s="265"/>
      <c r="AJ480" s="279">
        <f>10.25*2</f>
        <v>20.5</v>
      </c>
      <c r="AK480" s="265"/>
    </row>
    <row r="481" spans="1:37" x14ac:dyDescent="0.15">
      <c r="A481" s="413">
        <v>15</v>
      </c>
      <c r="B481" s="534"/>
      <c r="C481" s="535"/>
      <c r="D481" s="535"/>
      <c r="E481" s="536"/>
      <c r="F481" s="47" t="str">
        <f>VLOOKUP($H:$H,型材表!$B$5:$I$448,2,0)</f>
        <v>角码</v>
      </c>
      <c r="G481" s="213" t="s">
        <v>446</v>
      </c>
      <c r="H481" s="207" t="str">
        <f>IF(G452=70,"SN55F003",IF(G452=75,"SN55F003",IF(G452=50,"SW50F002","SW55F001")))</f>
        <v>SW55F001</v>
      </c>
      <c r="I481" s="207" t="s">
        <v>1210</v>
      </c>
      <c r="J481" s="214">
        <f>IF(G452=55,V481,IF(G452=551,X481,IF(G452=60,Z481,IF(G452=601,AB481,IF(G452=65,AD481,IF(G452=70,AF481,IF(G452=75,AH481,IF(G452=50,AJ481))))))))</f>
        <v>32.200000000000003</v>
      </c>
      <c r="K481" s="207">
        <v>4</v>
      </c>
      <c r="L481" s="47">
        <f>VLOOKUP($H:$H,型材表!$B$5:$I$448,4,0)</f>
        <v>2.0950000000000002</v>
      </c>
      <c r="M481" s="46">
        <f t="shared" si="75"/>
        <v>0.26983600000000008</v>
      </c>
      <c r="N481" s="72">
        <f>VLOOKUP($H:$H,型材表!$B$5:$I$448,7,0)</f>
        <v>0</v>
      </c>
      <c r="O481" s="46">
        <f t="shared" si="76"/>
        <v>0</v>
      </c>
      <c r="P481" s="100">
        <f>VLOOKUP($H:$H,型材表!$B$5:$I$448,5,0)</f>
        <v>0.125</v>
      </c>
      <c r="Q481" s="100" t="str">
        <f>VLOOKUP($H:$H,型材表!$B$5:$I$448,6,0)</f>
        <v>阳极氧化铝型材</v>
      </c>
      <c r="R481" s="210"/>
      <c r="S481" s="50"/>
      <c r="T481" s="459"/>
      <c r="U481" s="374" t="s">
        <v>1210</v>
      </c>
      <c r="V481" s="259">
        <f>19.5-1+14.7-1</f>
        <v>32.200000000000003</v>
      </c>
      <c r="X481" s="264">
        <f>19.5-1+10.9-1</f>
        <v>28.4</v>
      </c>
      <c r="Y481" s="265"/>
      <c r="Z481" s="264">
        <f>19.5-1+14.7-1</f>
        <v>32.200000000000003</v>
      </c>
      <c r="AA481" s="265"/>
      <c r="AB481" s="264">
        <f>19.5-1+10.9-1</f>
        <v>28.4</v>
      </c>
      <c r="AC481" s="265"/>
      <c r="AD481" s="264">
        <f>19.5-1+14.7-1</f>
        <v>32.200000000000003</v>
      </c>
      <c r="AE481" s="265"/>
      <c r="AF481" s="264">
        <f>19.5-1+14.7-1</f>
        <v>32.200000000000003</v>
      </c>
      <c r="AG481" s="265"/>
      <c r="AH481" s="264">
        <f>19.5-1+14.7-1</f>
        <v>32.200000000000003</v>
      </c>
      <c r="AI481" s="265"/>
      <c r="AJ481" s="264">
        <f>15-1</f>
        <v>14</v>
      </c>
      <c r="AK481" s="265"/>
    </row>
    <row r="482" spans="1:37" s="229" customFormat="1" x14ac:dyDescent="0.15">
      <c r="A482" s="413">
        <v>16</v>
      </c>
      <c r="B482" s="534"/>
      <c r="C482" s="535"/>
      <c r="D482" s="535"/>
      <c r="E482" s="536"/>
      <c r="F482" s="47" t="str">
        <f>VLOOKUP($H:$H,型材表!$B$5:$I$448,2,0)</f>
        <v>角码</v>
      </c>
      <c r="G482" s="230" t="s">
        <v>447</v>
      </c>
      <c r="H482" s="222" t="str">
        <f>IF(G452=70,"SW70F001",IF(G452=75,"SW70F001",IF(G452=50,"SW50F003","SN55MF004")))</f>
        <v>SN55MF004</v>
      </c>
      <c r="I482" s="222" t="s">
        <v>1219</v>
      </c>
      <c r="J482" s="214">
        <f>IF(G452=55,V482,IF(G452=551,X482,IF(G452=60,Z482,IF(G452=601,AB482,IF(G452=65,AD482,IF(G452=70,AF482,IF(G452=75,AH482,IF(G452=50,AJ482))))))))</f>
        <v>30.2</v>
      </c>
      <c r="K482" s="207">
        <v>4</v>
      </c>
      <c r="L482" s="47">
        <f>VLOOKUP($H:$H,型材表!$B$5:$I$448,4,0)</f>
        <v>2.996</v>
      </c>
      <c r="M482" s="46">
        <f t="shared" si="75"/>
        <v>0.36191679999999998</v>
      </c>
      <c r="N482" s="72">
        <f>VLOOKUP($H:$H,型材表!$B$5:$I$448,7,0)</f>
        <v>0</v>
      </c>
      <c r="O482" s="46">
        <f t="shared" si="76"/>
        <v>0</v>
      </c>
      <c r="P482" s="100">
        <f>VLOOKUP($H:$H,型材表!$B$5:$I$448,5,0)</f>
        <v>0.125</v>
      </c>
      <c r="Q482" s="100" t="str">
        <f>VLOOKUP($H:$H,型材表!$B$5:$I$448,6,0)</f>
        <v>阳极氧化铝型材</v>
      </c>
      <c r="R482" s="227"/>
      <c r="S482" s="228"/>
      <c r="T482" s="467"/>
      <c r="U482" s="375" t="s">
        <v>1219</v>
      </c>
      <c r="V482" s="266">
        <f>8-1+24.2-1</f>
        <v>30.2</v>
      </c>
      <c r="W482" s="266"/>
      <c r="X482" s="267">
        <f>4.2-1+24.2-1</f>
        <v>26.4</v>
      </c>
      <c r="Y482" s="268"/>
      <c r="Z482" s="267">
        <f>8-1+24.2-1</f>
        <v>30.2</v>
      </c>
      <c r="AA482" s="268"/>
      <c r="AB482" s="267">
        <f>4.2-1+24.2-1</f>
        <v>26.4</v>
      </c>
      <c r="AC482" s="268"/>
      <c r="AD482" s="267">
        <f>8-1+24.2-1</f>
        <v>30.2</v>
      </c>
      <c r="AE482" s="268"/>
      <c r="AF482" s="267">
        <f>7.3-1+24-1</f>
        <v>29.3</v>
      </c>
      <c r="AG482" s="268"/>
      <c r="AH482" s="267">
        <f>7.3-1+24-1</f>
        <v>29.3</v>
      </c>
      <c r="AI482" s="268"/>
      <c r="AJ482" s="267">
        <f>18.9-1</f>
        <v>17.899999999999999</v>
      </c>
      <c r="AK482" s="268"/>
    </row>
    <row r="483" spans="1:37" x14ac:dyDescent="0.15">
      <c r="A483" s="413">
        <v>17</v>
      </c>
      <c r="B483" s="534"/>
      <c r="C483" s="535"/>
      <c r="D483" s="535"/>
      <c r="E483" s="536"/>
      <c r="F483" s="47" t="str">
        <f>VLOOKUP($H:$H,型材表!$B$5:$I$448,2,0)</f>
        <v>中梃角码</v>
      </c>
      <c r="G483" s="51"/>
      <c r="H483" s="45" t="str">
        <f>IF(G452=50,"SW50F004","SN55F001")</f>
        <v>SN55F001</v>
      </c>
      <c r="I483" s="222" t="s">
        <v>1211</v>
      </c>
      <c r="J483" s="52">
        <f>IF(G452=55,V483,IF(G452=551,X483,IF(G452=60,Z483,IF(G452=601,AB483,IF(G452=65,AD483,IF(G452=70,AF483,IF(G452=75,AH483,IF(G452=50,AJ483))))))))</f>
        <v>18.5</v>
      </c>
      <c r="K483" s="45">
        <v>2</v>
      </c>
      <c r="L483" s="47">
        <f>VLOOKUP($H:$H,型材表!$B$5:$I$448,4,0)</f>
        <v>1.4730000000000001</v>
      </c>
      <c r="M483" s="46">
        <f t="shared" si="75"/>
        <v>5.4501000000000008E-2</v>
      </c>
      <c r="N483" s="72">
        <f>VLOOKUP($H:$H,型材表!$B$5:$I$448,7,0)</f>
        <v>0</v>
      </c>
      <c r="O483" s="46">
        <f t="shared" si="76"/>
        <v>0</v>
      </c>
      <c r="P483" s="100">
        <f>VLOOKUP($H:$H,型材表!$B$5:$I$448,5,0)</f>
        <v>0.125</v>
      </c>
      <c r="Q483" s="100" t="str">
        <f>VLOOKUP($H:$H,型材表!$B$5:$I$448,6,0)</f>
        <v>阳极氧化铝型材</v>
      </c>
      <c r="R483" s="49"/>
      <c r="S483" s="50"/>
      <c r="T483" s="459"/>
      <c r="U483" s="374" t="s">
        <v>1211</v>
      </c>
      <c r="V483" s="259">
        <f>19.5-1</f>
        <v>18.5</v>
      </c>
      <c r="X483" s="264">
        <f>19.5-1</f>
        <v>18.5</v>
      </c>
      <c r="Y483" s="265"/>
      <c r="Z483" s="286">
        <f>19.5-1</f>
        <v>18.5</v>
      </c>
      <c r="AA483" s="265"/>
      <c r="AB483" s="264">
        <f>19.5-1</f>
        <v>18.5</v>
      </c>
      <c r="AC483" s="265"/>
      <c r="AD483" s="286">
        <f>19.5-1</f>
        <v>18.5</v>
      </c>
      <c r="AE483" s="265"/>
      <c r="AF483" s="286">
        <f>19.5-1</f>
        <v>18.5</v>
      </c>
      <c r="AG483" s="265"/>
      <c r="AH483" s="286">
        <f>19.5-1</f>
        <v>18.5</v>
      </c>
      <c r="AI483" s="265"/>
      <c r="AJ483" s="264">
        <f>13.2-1</f>
        <v>12.2</v>
      </c>
      <c r="AK483" s="265"/>
    </row>
    <row r="484" spans="1:37" x14ac:dyDescent="0.15">
      <c r="A484" s="413">
        <v>18</v>
      </c>
      <c r="B484" s="534"/>
      <c r="C484" s="535"/>
      <c r="D484" s="535"/>
      <c r="E484" s="536"/>
      <c r="F484" s="47" t="str">
        <f>VLOOKUP($H:$H,型材表!$B$5:$I$448,2,0)</f>
        <v>中梃角码</v>
      </c>
      <c r="G484" s="213"/>
      <c r="H484" s="207" t="str">
        <f>IF(G452=501,"SN55BF001",IF(G452=601,"SN55BF001",IF(G452=70,"SN70F001",IF(G452=75,"SN70F001","SN55F002"))))</f>
        <v>SN55F002</v>
      </c>
      <c r="I484" s="222" t="s">
        <v>1212</v>
      </c>
      <c r="J484" s="214">
        <f>IF(G452=55,V484,IF(G452=551,X484,IF(G452=60,Z484,IF(G452=601,AB484,IF(G452=65,AD484,IF(G452=70,AF484,IF(G452=75,AH484,IF(G452=50,AJ484))))))))</f>
        <v>13.5</v>
      </c>
      <c r="K484" s="207">
        <v>2</v>
      </c>
      <c r="L484" s="47">
        <f>VLOOKUP($H:$H,型材表!$B$5:$I$448,4,0)</f>
        <v>0.90400000000000003</v>
      </c>
      <c r="M484" s="46">
        <f t="shared" si="75"/>
        <v>2.4408000000000003E-2</v>
      </c>
      <c r="N484" s="72">
        <f>VLOOKUP($H:$H,型材表!$B$5:$I$448,7,0)</f>
        <v>0</v>
      </c>
      <c r="O484" s="46">
        <f t="shared" si="76"/>
        <v>0</v>
      </c>
      <c r="P484" s="100">
        <f>VLOOKUP($H:$H,型材表!$B$5:$I$448,5,0)</f>
        <v>0.125</v>
      </c>
      <c r="Q484" s="100" t="str">
        <f>VLOOKUP($H:$H,型材表!$B$5:$I$448,6,0)</f>
        <v>阳极氧化铝型材</v>
      </c>
      <c r="R484" s="210"/>
      <c r="S484" s="50"/>
      <c r="T484" s="459"/>
      <c r="U484" s="374" t="s">
        <v>1212</v>
      </c>
      <c r="V484" s="259">
        <f>14.5-1</f>
        <v>13.5</v>
      </c>
      <c r="X484" s="264">
        <f>10.7-1</f>
        <v>9.6999999999999993</v>
      </c>
      <c r="Y484" s="265"/>
      <c r="Z484" s="286">
        <f>14.5-1</f>
        <v>13.5</v>
      </c>
      <c r="AA484" s="265"/>
      <c r="AB484" s="264">
        <f>10.7-1</f>
        <v>9.6999999999999993</v>
      </c>
      <c r="AC484" s="265"/>
      <c r="AD484" s="286">
        <f>14.5-1</f>
        <v>13.5</v>
      </c>
      <c r="AE484" s="265"/>
      <c r="AF484" s="286">
        <f>14.5-1</f>
        <v>13.5</v>
      </c>
      <c r="AG484" s="265"/>
      <c r="AH484" s="286">
        <f>14.5-1</f>
        <v>13.5</v>
      </c>
      <c r="AI484" s="265"/>
      <c r="AJ484" s="264"/>
      <c r="AK484" s="265"/>
    </row>
    <row r="485" spans="1:37" x14ac:dyDescent="0.15">
      <c r="A485" s="413">
        <v>19</v>
      </c>
      <c r="B485" s="534"/>
      <c r="C485" s="535"/>
      <c r="D485" s="535"/>
      <c r="E485" s="536"/>
      <c r="F485" s="306"/>
      <c r="G485" s="213"/>
      <c r="H485" s="207"/>
      <c r="I485" s="207"/>
      <c r="J485" s="214"/>
      <c r="K485" s="207"/>
      <c r="L485" s="306"/>
      <c r="M485" s="208"/>
      <c r="N485" s="209"/>
      <c r="O485" s="208"/>
      <c r="P485" s="307"/>
      <c r="Q485" s="100"/>
      <c r="R485" s="210"/>
      <c r="S485" s="50"/>
      <c r="T485" s="459"/>
      <c r="X485" s="264"/>
      <c r="Y485" s="265"/>
      <c r="Z485" s="264"/>
      <c r="AA485" s="265"/>
      <c r="AB485" s="264"/>
      <c r="AC485" s="265"/>
      <c r="AD485" s="264"/>
      <c r="AE485" s="265"/>
      <c r="AF485" s="264"/>
      <c r="AG485" s="265"/>
      <c r="AH485" s="264"/>
      <c r="AI485" s="265"/>
      <c r="AJ485" s="264"/>
      <c r="AK485" s="265"/>
    </row>
    <row r="486" spans="1:37" x14ac:dyDescent="0.15">
      <c r="A486" s="413">
        <v>20</v>
      </c>
      <c r="B486" s="534"/>
      <c r="C486" s="535"/>
      <c r="D486" s="535"/>
      <c r="E486" s="536"/>
      <c r="F486" s="306"/>
      <c r="G486" s="213"/>
      <c r="H486" s="207"/>
      <c r="I486" s="207"/>
      <c r="J486" s="214"/>
      <c r="K486" s="207"/>
      <c r="L486" s="306"/>
      <c r="M486" s="208"/>
      <c r="N486" s="209"/>
      <c r="O486" s="208"/>
      <c r="P486" s="307"/>
      <c r="Q486" s="100"/>
      <c r="R486" s="210"/>
      <c r="S486" s="50"/>
      <c r="T486" s="459"/>
      <c r="X486" s="264"/>
      <c r="Y486" s="265"/>
      <c r="Z486" s="264"/>
      <c r="AA486" s="265"/>
      <c r="AB486" s="264"/>
      <c r="AC486" s="265"/>
      <c r="AD486" s="264"/>
      <c r="AE486" s="265"/>
      <c r="AF486" s="264"/>
      <c r="AG486" s="265"/>
      <c r="AH486" s="264"/>
      <c r="AI486" s="265"/>
      <c r="AJ486" s="264"/>
      <c r="AK486" s="265"/>
    </row>
    <row r="487" spans="1:37" x14ac:dyDescent="0.15">
      <c r="A487" s="413">
        <v>21</v>
      </c>
      <c r="B487" s="534"/>
      <c r="C487" s="535"/>
      <c r="D487" s="535"/>
      <c r="E487" s="536"/>
      <c r="F487" s="306"/>
      <c r="G487" s="213"/>
      <c r="H487" s="207"/>
      <c r="I487" s="207"/>
      <c r="J487" s="214"/>
      <c r="K487" s="207"/>
      <c r="L487" s="306"/>
      <c r="M487" s="208"/>
      <c r="N487" s="209"/>
      <c r="O487" s="208"/>
      <c r="P487" s="307"/>
      <c r="Q487" s="100"/>
      <c r="R487" s="210"/>
      <c r="S487" s="50"/>
      <c r="T487" s="459"/>
      <c r="X487" s="264"/>
      <c r="Y487" s="265"/>
      <c r="Z487" s="264"/>
      <c r="AA487" s="265"/>
      <c r="AB487" s="264"/>
      <c r="AC487" s="265"/>
      <c r="AD487" s="264"/>
      <c r="AE487" s="265"/>
      <c r="AF487" s="264"/>
      <c r="AG487" s="265"/>
      <c r="AH487" s="264"/>
      <c r="AI487" s="265"/>
      <c r="AJ487" s="264"/>
      <c r="AK487" s="265"/>
    </row>
    <row r="488" spans="1:37" x14ac:dyDescent="0.15">
      <c r="A488" s="413">
        <v>22</v>
      </c>
      <c r="B488" s="534"/>
      <c r="C488" s="535"/>
      <c r="D488" s="535"/>
      <c r="E488" s="536"/>
      <c r="F488" s="306"/>
      <c r="G488" s="213"/>
      <c r="H488" s="207"/>
      <c r="I488" s="207"/>
      <c r="J488" s="214"/>
      <c r="K488" s="207"/>
      <c r="L488" s="306"/>
      <c r="M488" s="208"/>
      <c r="N488" s="209"/>
      <c r="O488" s="208"/>
      <c r="P488" s="307"/>
      <c r="Q488" s="100"/>
      <c r="R488" s="210"/>
      <c r="S488" s="50"/>
      <c r="T488" s="459"/>
      <c r="X488" s="264"/>
      <c r="Y488" s="265"/>
      <c r="Z488" s="264"/>
      <c r="AA488" s="265"/>
      <c r="AB488" s="264"/>
      <c r="AC488" s="265"/>
      <c r="AD488" s="264"/>
      <c r="AE488" s="265"/>
      <c r="AF488" s="264"/>
      <c r="AG488" s="265"/>
      <c r="AH488" s="264"/>
      <c r="AI488" s="265"/>
      <c r="AJ488" s="264"/>
      <c r="AK488" s="265"/>
    </row>
    <row r="489" spans="1:37" x14ac:dyDescent="0.15">
      <c r="A489" s="413">
        <v>23</v>
      </c>
      <c r="B489" s="534"/>
      <c r="C489" s="535"/>
      <c r="D489" s="535"/>
      <c r="E489" s="536"/>
      <c r="F489" s="306"/>
      <c r="G489" s="213"/>
      <c r="H489" s="207"/>
      <c r="I489" s="207"/>
      <c r="J489" s="214"/>
      <c r="K489" s="207"/>
      <c r="L489" s="306"/>
      <c r="M489" s="208"/>
      <c r="N489" s="209"/>
      <c r="O489" s="208"/>
      <c r="P489" s="307"/>
      <c r="Q489" s="307"/>
      <c r="R489" s="210"/>
      <c r="S489" s="50"/>
      <c r="T489" s="459"/>
      <c r="X489" s="264"/>
      <c r="Y489" s="265"/>
      <c r="Z489" s="264"/>
      <c r="AA489" s="265"/>
      <c r="AB489" s="264"/>
      <c r="AC489" s="265"/>
      <c r="AD489" s="264"/>
      <c r="AE489" s="265"/>
      <c r="AF489" s="264"/>
      <c r="AG489" s="265"/>
      <c r="AH489" s="264"/>
      <c r="AI489" s="265"/>
      <c r="AJ489" s="264"/>
      <c r="AK489" s="265"/>
    </row>
    <row r="490" spans="1:37" x14ac:dyDescent="0.15">
      <c r="A490" s="413">
        <v>24</v>
      </c>
      <c r="B490" s="534"/>
      <c r="C490" s="535"/>
      <c r="D490" s="535"/>
      <c r="E490" s="536"/>
      <c r="F490" s="306"/>
      <c r="G490" s="213"/>
      <c r="H490" s="207"/>
      <c r="I490" s="207"/>
      <c r="J490" s="214"/>
      <c r="K490" s="207"/>
      <c r="L490" s="306"/>
      <c r="M490" s="208"/>
      <c r="N490" s="209"/>
      <c r="O490" s="208"/>
      <c r="P490" s="307"/>
      <c r="Q490" s="307"/>
      <c r="R490" s="210"/>
      <c r="S490" s="50"/>
      <c r="T490" s="459"/>
      <c r="X490" s="264"/>
      <c r="Y490" s="265"/>
      <c r="Z490" s="264"/>
      <c r="AA490" s="265"/>
      <c r="AB490" s="264"/>
      <c r="AC490" s="265"/>
      <c r="AD490" s="264"/>
      <c r="AE490" s="265"/>
      <c r="AF490" s="264"/>
      <c r="AG490" s="265"/>
      <c r="AH490" s="264"/>
      <c r="AI490" s="265"/>
      <c r="AJ490" s="264"/>
      <c r="AK490" s="265"/>
    </row>
    <row r="491" spans="1:37" x14ac:dyDescent="0.15">
      <c r="A491" s="413">
        <v>25</v>
      </c>
      <c r="B491" s="534"/>
      <c r="C491" s="535"/>
      <c r="D491" s="535"/>
      <c r="E491" s="536"/>
      <c r="F491" s="306"/>
      <c r="G491" s="213"/>
      <c r="H491" s="207"/>
      <c r="I491" s="207"/>
      <c r="J491" s="214"/>
      <c r="K491" s="207"/>
      <c r="L491" s="306"/>
      <c r="M491" s="208"/>
      <c r="N491" s="209"/>
      <c r="O491" s="208"/>
      <c r="P491" s="307"/>
      <c r="Q491" s="100"/>
      <c r="R491" s="210"/>
      <c r="S491" s="50"/>
      <c r="T491" s="459"/>
      <c r="X491" s="264"/>
      <c r="Y491" s="265"/>
      <c r="Z491" s="264"/>
      <c r="AA491" s="265"/>
      <c r="AB491" s="264"/>
      <c r="AC491" s="265"/>
      <c r="AD491" s="264"/>
      <c r="AE491" s="265"/>
      <c r="AF491" s="264"/>
      <c r="AG491" s="265"/>
      <c r="AH491" s="264"/>
      <c r="AI491" s="265"/>
      <c r="AJ491" s="264"/>
      <c r="AK491" s="265"/>
    </row>
    <row r="492" spans="1:37" x14ac:dyDescent="0.15">
      <c r="A492" s="413">
        <v>26</v>
      </c>
      <c r="B492" s="534"/>
      <c r="C492" s="535"/>
      <c r="D492" s="535"/>
      <c r="E492" s="536"/>
      <c r="F492" s="47"/>
      <c r="G492" s="213"/>
      <c r="H492" s="207"/>
      <c r="I492" s="207"/>
      <c r="J492" s="214"/>
      <c r="K492" s="207"/>
      <c r="L492" s="47"/>
      <c r="M492" s="46"/>
      <c r="N492" s="72"/>
      <c r="O492" s="46"/>
      <c r="P492" s="100"/>
      <c r="Q492" s="100"/>
      <c r="R492" s="210"/>
      <c r="S492" s="50"/>
      <c r="T492" s="459"/>
      <c r="X492" s="264"/>
      <c r="Y492" s="265"/>
      <c r="Z492" s="264"/>
      <c r="AA492" s="265"/>
      <c r="AB492" s="264"/>
      <c r="AC492" s="265"/>
      <c r="AD492" s="264"/>
      <c r="AE492" s="265"/>
      <c r="AF492" s="264"/>
      <c r="AG492" s="265"/>
      <c r="AH492" s="264"/>
      <c r="AI492" s="265"/>
      <c r="AJ492" s="264"/>
      <c r="AK492" s="265"/>
    </row>
    <row r="493" spans="1:37" s="229" customFormat="1" x14ac:dyDescent="0.15">
      <c r="A493" s="413">
        <v>27</v>
      </c>
      <c r="B493" s="537"/>
      <c r="C493" s="538"/>
      <c r="D493" s="538"/>
      <c r="E493" s="539"/>
      <c r="F493" s="221"/>
      <c r="G493" s="232"/>
      <c r="H493" s="233"/>
      <c r="I493" s="222"/>
      <c r="J493" s="234"/>
      <c r="K493" s="233"/>
      <c r="L493" s="221"/>
      <c r="M493" s="224"/>
      <c r="N493" s="225"/>
      <c r="O493" s="224"/>
      <c r="P493" s="226"/>
      <c r="Q493" s="226"/>
      <c r="R493" s="235"/>
      <c r="S493" s="228"/>
      <c r="T493" s="467"/>
      <c r="U493" s="375"/>
      <c r="V493" s="266"/>
      <c r="W493" s="266"/>
      <c r="X493" s="267"/>
      <c r="Y493" s="268"/>
      <c r="Z493" s="267"/>
      <c r="AA493" s="268"/>
      <c r="AB493" s="267"/>
      <c r="AC493" s="268"/>
      <c r="AD493" s="267"/>
      <c r="AE493" s="268"/>
      <c r="AF493" s="267"/>
      <c r="AG493" s="268"/>
      <c r="AH493" s="267"/>
      <c r="AI493" s="268"/>
      <c r="AJ493" s="267"/>
      <c r="AK493" s="268"/>
    </row>
    <row r="494" spans="1:37" s="229" customFormat="1" ht="13.5" customHeight="1" x14ac:dyDescent="0.15">
      <c r="A494" s="542" t="s">
        <v>975</v>
      </c>
      <c r="B494" s="543"/>
      <c r="C494" s="543"/>
      <c r="D494" s="543"/>
      <c r="E494" s="543"/>
      <c r="F494" s="543"/>
      <c r="G494" s="543"/>
      <c r="H494" s="543"/>
      <c r="I494" s="543"/>
      <c r="J494" s="543"/>
      <c r="K494" s="543"/>
      <c r="L494" s="544"/>
      <c r="M494" s="224">
        <f>SUMIF($Q$467:$Q$493,A494,$M$467:$M$493)</f>
        <v>21.8544266</v>
      </c>
      <c r="N494" s="353"/>
      <c r="O494" s="224"/>
      <c r="P494" s="354"/>
      <c r="Q494" s="355"/>
      <c r="R494" s="296"/>
      <c r="S494" s="228"/>
      <c r="T494" s="467"/>
      <c r="U494" s="375"/>
      <c r="V494" s="266"/>
      <c r="W494" s="266"/>
      <c r="X494" s="267"/>
      <c r="Y494" s="268"/>
      <c r="Z494" s="267"/>
      <c r="AA494" s="268"/>
      <c r="AB494" s="267"/>
      <c r="AC494" s="268"/>
      <c r="AD494" s="267"/>
      <c r="AE494" s="268"/>
      <c r="AF494" s="267"/>
      <c r="AG494" s="268"/>
      <c r="AH494" s="267"/>
      <c r="AI494" s="268"/>
      <c r="AJ494" s="267"/>
      <c r="AK494" s="268"/>
    </row>
    <row r="495" spans="1:37" s="229" customFormat="1" ht="13.5" customHeight="1" x14ac:dyDescent="0.15">
      <c r="A495" s="542" t="s">
        <v>976</v>
      </c>
      <c r="B495" s="543"/>
      <c r="C495" s="543"/>
      <c r="D495" s="543"/>
      <c r="E495" s="543"/>
      <c r="F495" s="543"/>
      <c r="G495" s="543"/>
      <c r="H495" s="543"/>
      <c r="I495" s="543"/>
      <c r="J495" s="543"/>
      <c r="K495" s="543"/>
      <c r="L495" s="544"/>
      <c r="M495" s="224">
        <f>SUMIF($Q$467:$Q$493,A495,$M$467:$M$493)</f>
        <v>2.0410463999999999</v>
      </c>
      <c r="N495" s="353"/>
      <c r="O495" s="224"/>
      <c r="P495" s="354"/>
      <c r="Q495" s="355"/>
      <c r="R495" s="296"/>
      <c r="S495" s="228"/>
      <c r="T495" s="467"/>
      <c r="U495" s="375"/>
      <c r="V495" s="266"/>
      <c r="W495" s="266"/>
      <c r="X495" s="267"/>
      <c r="Y495" s="268"/>
      <c r="Z495" s="267"/>
      <c r="AA495" s="268"/>
      <c r="AB495" s="267"/>
      <c r="AC495" s="268"/>
      <c r="AD495" s="267"/>
      <c r="AE495" s="268"/>
      <c r="AF495" s="267"/>
      <c r="AG495" s="268"/>
      <c r="AH495" s="267"/>
      <c r="AI495" s="268"/>
      <c r="AJ495" s="267"/>
      <c r="AK495" s="268"/>
    </row>
    <row r="496" spans="1:37" s="229" customFormat="1" ht="13.5" customHeight="1" x14ac:dyDescent="0.15">
      <c r="A496" s="542" t="s">
        <v>977</v>
      </c>
      <c r="B496" s="543"/>
      <c r="C496" s="543"/>
      <c r="D496" s="543"/>
      <c r="E496" s="543"/>
      <c r="F496" s="543"/>
      <c r="G496" s="543"/>
      <c r="H496" s="543"/>
      <c r="I496" s="543"/>
      <c r="J496" s="543"/>
      <c r="K496" s="543"/>
      <c r="L496" s="544"/>
      <c r="M496" s="224">
        <f>SUMIF($Q$467:$Q$493,A496,$M$467:$M$493)</f>
        <v>0.71066180000000012</v>
      </c>
      <c r="N496" s="353"/>
      <c r="O496" s="224"/>
      <c r="P496" s="354"/>
      <c r="Q496" s="355"/>
      <c r="R496" s="296"/>
      <c r="S496" s="228"/>
      <c r="T496" s="467"/>
      <c r="U496" s="375"/>
      <c r="V496" s="266"/>
      <c r="W496" s="266"/>
      <c r="X496" s="267"/>
      <c r="Y496" s="268"/>
      <c r="Z496" s="267"/>
      <c r="AA496" s="268"/>
      <c r="AB496" s="267"/>
      <c r="AC496" s="268"/>
      <c r="AD496" s="267"/>
      <c r="AE496" s="268"/>
      <c r="AF496" s="267"/>
      <c r="AG496" s="268"/>
      <c r="AH496" s="267"/>
      <c r="AI496" s="268"/>
      <c r="AJ496" s="267"/>
      <c r="AK496" s="268"/>
    </row>
    <row r="497" spans="1:38" ht="13.5" customHeight="1" x14ac:dyDescent="0.15">
      <c r="A497" s="552"/>
      <c r="B497" s="557"/>
      <c r="C497" s="557"/>
      <c r="D497" s="553"/>
      <c r="E497" s="552" t="s">
        <v>48</v>
      </c>
      <c r="F497" s="557"/>
      <c r="G497" s="557"/>
      <c r="H497" s="557"/>
      <c r="I497" s="557"/>
      <c r="J497" s="557"/>
      <c r="K497" s="553"/>
      <c r="L497" s="62"/>
      <c r="M497" s="62">
        <f>SUM(M494:M496)</f>
        <v>24.6061348</v>
      </c>
      <c r="N497" s="63"/>
      <c r="O497" s="62">
        <f>SUM(O467:O493)</f>
        <v>0</v>
      </c>
      <c r="P497" s="63"/>
      <c r="Q497" s="337"/>
      <c r="R497" s="64"/>
      <c r="S497" s="64"/>
      <c r="T497" s="460"/>
      <c r="X497" s="264"/>
      <c r="Y497" s="265"/>
      <c r="Z497" s="264"/>
      <c r="AA497" s="265"/>
      <c r="AB497" s="264"/>
      <c r="AC497" s="265"/>
      <c r="AD497" s="264"/>
      <c r="AE497" s="265"/>
      <c r="AF497" s="264"/>
      <c r="AG497" s="265"/>
      <c r="AH497" s="264"/>
      <c r="AI497" s="265"/>
      <c r="AJ497" s="264"/>
      <c r="AK497" s="265"/>
    </row>
    <row r="498" spans="1:38" ht="24" x14ac:dyDescent="0.15">
      <c r="A498" s="65"/>
      <c r="B498" s="560" t="s">
        <v>49</v>
      </c>
      <c r="C498" s="561"/>
      <c r="D498" s="561"/>
      <c r="E498" s="562"/>
      <c r="F498" s="565" t="s">
        <v>26</v>
      </c>
      <c r="G498" s="566"/>
      <c r="H498" s="66" t="s">
        <v>1167</v>
      </c>
      <c r="I498" s="351" t="s">
        <v>1168</v>
      </c>
      <c r="J498" s="66" t="s">
        <v>50</v>
      </c>
      <c r="K498" s="66" t="s">
        <v>51</v>
      </c>
      <c r="L498" s="67" t="s">
        <v>30</v>
      </c>
      <c r="M498" s="66" t="s">
        <v>52</v>
      </c>
      <c r="N498" s="68" t="s">
        <v>53</v>
      </c>
      <c r="O498" s="68" t="s">
        <v>34</v>
      </c>
      <c r="P498" s="69" t="s">
        <v>35</v>
      </c>
      <c r="Q498" s="42"/>
      <c r="R498" s="67"/>
      <c r="S498" s="67"/>
      <c r="T498" s="461"/>
      <c r="V498" s="270" t="s">
        <v>352</v>
      </c>
      <c r="W498" s="270" t="s">
        <v>353</v>
      </c>
      <c r="X498" s="271" t="s">
        <v>352</v>
      </c>
      <c r="Y498" s="272" t="s">
        <v>353</v>
      </c>
      <c r="Z498" s="271" t="s">
        <v>352</v>
      </c>
      <c r="AA498" s="272" t="s">
        <v>353</v>
      </c>
      <c r="AB498" s="271" t="s">
        <v>352</v>
      </c>
      <c r="AC498" s="272" t="s">
        <v>353</v>
      </c>
      <c r="AD498" s="271" t="s">
        <v>352</v>
      </c>
      <c r="AE498" s="272" t="s">
        <v>353</v>
      </c>
      <c r="AF498" s="271" t="s">
        <v>352</v>
      </c>
      <c r="AG498" s="272" t="s">
        <v>353</v>
      </c>
      <c r="AH498" s="271" t="s">
        <v>352</v>
      </c>
      <c r="AI498" s="272" t="s">
        <v>353</v>
      </c>
      <c r="AJ498" s="271" t="s">
        <v>352</v>
      </c>
      <c r="AK498" s="272" t="s">
        <v>1236</v>
      </c>
    </row>
    <row r="499" spans="1:38" x14ac:dyDescent="0.15">
      <c r="A499" s="302">
        <v>1</v>
      </c>
      <c r="B499" s="542" t="s">
        <v>133</v>
      </c>
      <c r="C499" s="543"/>
      <c r="D499" s="543"/>
      <c r="E499" s="544"/>
      <c r="F499" s="545" t="s">
        <v>55</v>
      </c>
      <c r="G499" s="547"/>
      <c r="H499" s="45" t="s">
        <v>1260</v>
      </c>
      <c r="I499" s="207" t="s">
        <v>1643</v>
      </c>
      <c r="J499" s="46">
        <f>IF(G452=55,M459-V499,IF(G452=551,M459-X499,IF(G452=60,M459-Z499,IF(G452=601,M459-AB499,IF(G452=65,M459-AD499,IF(G452=70,M459-AF499,IF(G452=75,M459-AH499,IF(G452=50,M459-AJ499))))))))</f>
        <v>495.2</v>
      </c>
      <c r="K499" s="70">
        <f>IF(G452=55,M456-W499,IF(G452=551,M456-Y499,IF(G452=60,M456-AA499,IF(G452=601,M456-AC499,IF(G452=65,M456-AE499,IF(G452=70,M456-AG499,IF(G452=75,M456-AI499,IF(G452=50,M456-AK499))))))))</f>
        <v>980.2</v>
      </c>
      <c r="L499" s="70">
        <v>2</v>
      </c>
      <c r="M499" s="46">
        <f>J499*K499*L499/1000000</f>
        <v>0.97079008000000011</v>
      </c>
      <c r="N499" s="46"/>
      <c r="O499" s="46">
        <f>N499*M499</f>
        <v>0</v>
      </c>
      <c r="P499" s="71"/>
      <c r="Q499" s="71"/>
      <c r="R499" s="72"/>
      <c r="S499" s="72"/>
      <c r="T499" s="462" t="s">
        <v>1621</v>
      </c>
      <c r="U499" s="374" t="s">
        <v>1642</v>
      </c>
      <c r="V499" s="259">
        <f t="shared" ref="V499:AD499" si="79">109.9+94.9</f>
        <v>204.8</v>
      </c>
      <c r="W499" s="259">
        <f>109.9*2</f>
        <v>219.8</v>
      </c>
      <c r="X499" s="286">
        <f t="shared" si="79"/>
        <v>204.8</v>
      </c>
      <c r="Y499" s="304">
        <f>109.9*2</f>
        <v>219.8</v>
      </c>
      <c r="Z499" s="286">
        <f t="shared" si="79"/>
        <v>204.8</v>
      </c>
      <c r="AA499" s="304">
        <f>109.9*2</f>
        <v>219.8</v>
      </c>
      <c r="AB499" s="286">
        <f t="shared" si="79"/>
        <v>204.8</v>
      </c>
      <c r="AC499" s="304">
        <f>109.9*2</f>
        <v>219.8</v>
      </c>
      <c r="AD499" s="286">
        <f t="shared" si="79"/>
        <v>204.8</v>
      </c>
      <c r="AE499" s="304">
        <f>109.9*2</f>
        <v>219.8</v>
      </c>
      <c r="AF499" s="286">
        <f>117.4+102.4</f>
        <v>219.8</v>
      </c>
      <c r="AG499" s="304">
        <f>117.4*2</f>
        <v>234.8</v>
      </c>
      <c r="AH499" s="286">
        <f>117.4+102.4</f>
        <v>219.8</v>
      </c>
      <c r="AI499" s="304">
        <f>117.4*2</f>
        <v>234.8</v>
      </c>
      <c r="AJ499" s="259">
        <f>98.4+83.1</f>
        <v>181.5</v>
      </c>
      <c r="AK499" s="265">
        <f>98.4*2</f>
        <v>196.8</v>
      </c>
      <c r="AL499" s="264"/>
    </row>
    <row r="500" spans="1:38" x14ac:dyDescent="0.15">
      <c r="A500" s="238">
        <v>2</v>
      </c>
      <c r="B500" s="542" t="s">
        <v>134</v>
      </c>
      <c r="C500" s="543"/>
      <c r="D500" s="543"/>
      <c r="E500" s="544"/>
      <c r="F500" s="545" t="s">
        <v>135</v>
      </c>
      <c r="G500" s="547"/>
      <c r="H500" s="45" t="s">
        <v>1291</v>
      </c>
      <c r="I500" s="207" t="s">
        <v>1307</v>
      </c>
      <c r="J500" s="208">
        <f>IF(G452=55,M460-V500,IF(G452=551,M460-X500,IF(G452=60,M460-Z500,IF(G452=601,M460-AB500,IF(G452=65,M460-AD500,IF(G452=70,M460-AF500,IF(G452=75,M460-AH500,IF(G452=50,M460-AJ500))))))))</f>
        <v>564</v>
      </c>
      <c r="K500" s="239">
        <f>IF(G452=55,M456-W500,IF(G452=551,M456-Y500,IF(G452=60,M456-AA500,IF(G452=601,M456-AC500,IF(G452=65,M456-AE500,IF(G452=70,M456-AG500,IF(G452=75,M456-AI500,IF(G452=50,M456-AK500))))))))</f>
        <v>1130</v>
      </c>
      <c r="L500" s="239">
        <v>1</v>
      </c>
      <c r="M500" s="46">
        <f>J500*K500*L500/1000000</f>
        <v>0.63732</v>
      </c>
      <c r="N500" s="208"/>
      <c r="O500" s="46">
        <f>N500*M500</f>
        <v>0</v>
      </c>
      <c r="P500" s="240"/>
      <c r="Q500" s="71"/>
      <c r="R500" s="209"/>
      <c r="S500" s="209"/>
      <c r="T500" s="462" t="s">
        <v>1626</v>
      </c>
      <c r="U500" s="374" t="s">
        <v>1623</v>
      </c>
      <c r="V500" s="259">
        <f>18*2</f>
        <v>36</v>
      </c>
      <c r="W500" s="259">
        <f>35*2</f>
        <v>70</v>
      </c>
      <c r="X500" s="286">
        <f>18*2</f>
        <v>36</v>
      </c>
      <c r="Y500" s="259">
        <f>35*2</f>
        <v>70</v>
      </c>
      <c r="Z500" s="286">
        <f>18*2</f>
        <v>36</v>
      </c>
      <c r="AA500" s="259">
        <f>35*2</f>
        <v>70</v>
      </c>
      <c r="AB500" s="286">
        <f>18*2</f>
        <v>36</v>
      </c>
      <c r="AC500" s="259">
        <f>35*2</f>
        <v>70</v>
      </c>
      <c r="AD500" s="286">
        <f>18*2</f>
        <v>36</v>
      </c>
      <c r="AE500" s="259">
        <f>35*2</f>
        <v>70</v>
      </c>
      <c r="AF500" s="286">
        <f>20*2</f>
        <v>40</v>
      </c>
      <c r="AG500" s="259">
        <f>35*2</f>
        <v>70</v>
      </c>
      <c r="AH500" s="286">
        <f>20*2</f>
        <v>40</v>
      </c>
      <c r="AI500" s="259">
        <f>35*2</f>
        <v>70</v>
      </c>
      <c r="AJ500" s="264">
        <f>16*2</f>
        <v>32</v>
      </c>
      <c r="AK500" s="265">
        <f>31.3*2</f>
        <v>62.6</v>
      </c>
      <c r="AL500" s="264"/>
    </row>
    <row r="501" spans="1:38" x14ac:dyDescent="0.15">
      <c r="A501" s="414"/>
      <c r="B501" s="446"/>
      <c r="C501" s="447"/>
      <c r="D501" s="447"/>
      <c r="E501" s="448"/>
      <c r="F501" s="434"/>
      <c r="G501" s="436"/>
      <c r="H501" s="207"/>
      <c r="I501" s="207"/>
      <c r="J501" s="208"/>
      <c r="K501" s="239"/>
      <c r="L501" s="239"/>
      <c r="M501" s="208"/>
      <c r="N501" s="208"/>
      <c r="O501" s="208"/>
      <c r="P501" s="240"/>
      <c r="Q501" s="240"/>
      <c r="R501" s="209"/>
      <c r="S501" s="209"/>
      <c r="T501" s="462"/>
      <c r="X501" s="286"/>
      <c r="Z501" s="286"/>
      <c r="AA501" s="259"/>
      <c r="AB501" s="286"/>
      <c r="AC501" s="259"/>
      <c r="AD501" s="286"/>
      <c r="AE501" s="259"/>
      <c r="AF501" s="286"/>
      <c r="AG501" s="259"/>
      <c r="AH501" s="286"/>
      <c r="AI501" s="259"/>
      <c r="AJ501" s="264"/>
      <c r="AK501" s="265"/>
      <c r="AL501" s="265"/>
    </row>
    <row r="502" spans="1:38" x14ac:dyDescent="0.15">
      <c r="A502" s="414"/>
      <c r="B502" s="446"/>
      <c r="C502" s="447"/>
      <c r="D502" s="447"/>
      <c r="E502" s="448"/>
      <c r="F502" s="434"/>
      <c r="G502" s="436"/>
      <c r="H502" s="207"/>
      <c r="I502" s="207"/>
      <c r="J502" s="208"/>
      <c r="K502" s="239"/>
      <c r="L502" s="239"/>
      <c r="M502" s="208"/>
      <c r="N502" s="208"/>
      <c r="O502" s="208"/>
      <c r="P502" s="240"/>
      <c r="Q502" s="240"/>
      <c r="R502" s="209"/>
      <c r="S502" s="209"/>
      <c r="T502" s="462"/>
      <c r="X502" s="286"/>
      <c r="Z502" s="286"/>
      <c r="AA502" s="259"/>
      <c r="AB502" s="286"/>
      <c r="AC502" s="259"/>
      <c r="AD502" s="286"/>
      <c r="AE502" s="259"/>
      <c r="AF502" s="286"/>
      <c r="AG502" s="259"/>
      <c r="AH502" s="286"/>
      <c r="AI502" s="259"/>
      <c r="AJ502" s="264"/>
      <c r="AK502" s="265"/>
      <c r="AL502" s="265"/>
    </row>
    <row r="503" spans="1:38" x14ac:dyDescent="0.15">
      <c r="A503" s="302"/>
      <c r="B503" s="542"/>
      <c r="C503" s="543"/>
      <c r="D503" s="543"/>
      <c r="E503" s="544"/>
      <c r="F503" s="545"/>
      <c r="G503" s="547"/>
      <c r="H503" s="45"/>
      <c r="I503" s="207"/>
      <c r="J503" s="45"/>
      <c r="K503" s="45"/>
      <c r="L503" s="70"/>
      <c r="M503" s="46"/>
      <c r="N503" s="46"/>
      <c r="O503" s="46"/>
      <c r="P503" s="71"/>
      <c r="Q503" s="71"/>
      <c r="R503" s="72"/>
      <c r="S503" s="72"/>
      <c r="T503" s="462"/>
      <c r="X503" s="264"/>
      <c r="Y503" s="265"/>
      <c r="Z503" s="264"/>
      <c r="AA503" s="265"/>
      <c r="AB503" s="264"/>
      <c r="AC503" s="265"/>
      <c r="AD503" s="264"/>
      <c r="AE503" s="265"/>
      <c r="AF503" s="264"/>
      <c r="AG503" s="265"/>
      <c r="AH503" s="264"/>
      <c r="AI503" s="265"/>
      <c r="AJ503" s="264"/>
      <c r="AK503" s="265"/>
    </row>
    <row r="504" spans="1:38" x14ac:dyDescent="0.15">
      <c r="A504" s="302"/>
      <c r="B504" s="542"/>
      <c r="C504" s="543"/>
      <c r="D504" s="543"/>
      <c r="E504" s="544"/>
      <c r="F504" s="545"/>
      <c r="G504" s="547"/>
      <c r="H504" s="45"/>
      <c r="I504" s="207"/>
      <c r="J504" s="46"/>
      <c r="K504" s="302"/>
      <c r="L504" s="70"/>
      <c r="M504" s="46"/>
      <c r="N504" s="46"/>
      <c r="O504" s="46"/>
      <c r="P504" s="48"/>
      <c r="Q504" s="48"/>
      <c r="R504" s="73"/>
      <c r="S504" s="73"/>
      <c r="T504" s="463"/>
      <c r="X504" s="264"/>
      <c r="Y504" s="265"/>
      <c r="Z504" s="264"/>
      <c r="AA504" s="265"/>
    </row>
    <row r="505" spans="1:38" x14ac:dyDescent="0.15">
      <c r="A505" s="74"/>
      <c r="B505" s="552"/>
      <c r="C505" s="557"/>
      <c r="D505" s="557"/>
      <c r="E505" s="553"/>
      <c r="F505" s="554" t="s">
        <v>56</v>
      </c>
      <c r="G505" s="554"/>
      <c r="H505" s="554"/>
      <c r="I505" s="579"/>
      <c r="J505" s="570"/>
      <c r="K505" s="570"/>
      <c r="L505" s="554"/>
      <c r="M505" s="62">
        <f>SUM(M499:M504)</f>
        <v>1.6081100800000001</v>
      </c>
      <c r="N505" s="300"/>
      <c r="O505" s="62">
        <f>SUM(O499:O504)</f>
        <v>0</v>
      </c>
      <c r="P505" s="63" t="s">
        <v>57</v>
      </c>
      <c r="Q505" s="337"/>
      <c r="R505" s="64"/>
      <c r="S505" s="64"/>
      <c r="T505" s="460"/>
    </row>
    <row r="506" spans="1:38" ht="24" x14ac:dyDescent="0.15">
      <c r="A506" s="65"/>
      <c r="B506" s="560" t="s">
        <v>58</v>
      </c>
      <c r="C506" s="561"/>
      <c r="D506" s="561"/>
      <c r="E506" s="562"/>
      <c r="F506" s="565" t="s">
        <v>26</v>
      </c>
      <c r="G506" s="566"/>
      <c r="H506" s="66" t="s">
        <v>59</v>
      </c>
      <c r="I506" s="351"/>
      <c r="J506" s="66" t="s">
        <v>60</v>
      </c>
      <c r="K506" s="66" t="s">
        <v>6</v>
      </c>
      <c r="L506" s="67" t="s">
        <v>61</v>
      </c>
      <c r="M506" s="66" t="s">
        <v>30</v>
      </c>
      <c r="N506" s="68" t="s">
        <v>62</v>
      </c>
      <c r="O506" s="68" t="s">
        <v>34</v>
      </c>
      <c r="P506" s="69" t="s">
        <v>57</v>
      </c>
      <c r="Q506" s="42"/>
      <c r="R506" s="67"/>
      <c r="S506" s="67"/>
      <c r="T506" s="461"/>
    </row>
    <row r="507" spans="1:38" ht="25.5" customHeight="1" x14ac:dyDescent="0.15">
      <c r="A507" s="302">
        <v>1</v>
      </c>
      <c r="B507" s="542"/>
      <c r="C507" s="543"/>
      <c r="D507" s="543"/>
      <c r="E507" s="544"/>
      <c r="F507" s="545" t="s">
        <v>872</v>
      </c>
      <c r="G507" s="547"/>
      <c r="H507" s="45"/>
      <c r="I507" s="207"/>
      <c r="J507" s="45"/>
      <c r="K507" s="46" t="str">
        <f>VLOOKUP($F:$F,材料单价表!$B$3:$G$42,4,0)</f>
        <v>套</v>
      </c>
      <c r="L507" s="72"/>
      <c r="M507" s="46">
        <v>2</v>
      </c>
      <c r="N507" s="46">
        <f>VLOOKUP($F:$F,材料单价表!$B$3:$G$42,5,0)</f>
        <v>0</v>
      </c>
      <c r="O507" s="46">
        <f t="shared" ref="O507" si="80">N507*M507</f>
        <v>0</v>
      </c>
      <c r="P507" s="48"/>
      <c r="Q507" s="48"/>
      <c r="R507" s="73"/>
      <c r="S507" s="73"/>
      <c r="T507" s="463"/>
    </row>
    <row r="508" spans="1:38" x14ac:dyDescent="0.15">
      <c r="A508" s="74"/>
      <c r="B508" s="552"/>
      <c r="C508" s="557"/>
      <c r="D508" s="557"/>
      <c r="E508" s="553"/>
      <c r="F508" s="554" t="s">
        <v>64</v>
      </c>
      <c r="G508" s="554"/>
      <c r="H508" s="554"/>
      <c r="I508" s="579"/>
      <c r="J508" s="570"/>
      <c r="K508" s="570"/>
      <c r="L508" s="554"/>
      <c r="M508" s="62">
        <f>M507</f>
        <v>2</v>
      </c>
      <c r="N508" s="300"/>
      <c r="O508" s="62">
        <f>SUM(O507:O507)</f>
        <v>0</v>
      </c>
      <c r="P508" s="63" t="s">
        <v>57</v>
      </c>
      <c r="Q508" s="337"/>
      <c r="R508" s="64"/>
      <c r="S508" s="64"/>
      <c r="T508" s="460"/>
    </row>
    <row r="509" spans="1:38" ht="24" x14ac:dyDescent="0.15">
      <c r="A509" s="65"/>
      <c r="B509" s="560" t="s">
        <v>65</v>
      </c>
      <c r="C509" s="561"/>
      <c r="D509" s="561"/>
      <c r="E509" s="562"/>
      <c r="F509" s="565" t="s">
        <v>26</v>
      </c>
      <c r="G509" s="566"/>
      <c r="H509" s="66" t="s">
        <v>59</v>
      </c>
      <c r="I509" s="351"/>
      <c r="J509" s="66" t="s">
        <v>60</v>
      </c>
      <c r="K509" s="66" t="s">
        <v>6</v>
      </c>
      <c r="L509" s="67" t="s">
        <v>61</v>
      </c>
      <c r="M509" s="66" t="s">
        <v>30</v>
      </c>
      <c r="N509" s="68" t="s">
        <v>62</v>
      </c>
      <c r="O509" s="68" t="s">
        <v>34</v>
      </c>
      <c r="P509" s="69" t="s">
        <v>57</v>
      </c>
      <c r="Q509" s="42"/>
      <c r="R509" s="67"/>
      <c r="S509" s="67"/>
      <c r="T509" s="461"/>
    </row>
    <row r="510" spans="1:38" ht="13.5" customHeight="1" x14ac:dyDescent="0.15">
      <c r="A510" s="76">
        <v>1</v>
      </c>
      <c r="B510" s="542"/>
      <c r="C510" s="543"/>
      <c r="D510" s="543"/>
      <c r="E510" s="544"/>
      <c r="F510" s="558" t="s">
        <v>66</v>
      </c>
      <c r="G510" s="559"/>
      <c r="H510" s="78"/>
      <c r="I510" s="352"/>
      <c r="J510" s="77"/>
      <c r="K510" s="46" t="str">
        <f>VLOOKUP($F:$F,材料单价表!$B$3:$G$42,4,0)</f>
        <v>m</v>
      </c>
      <c r="L510" s="46"/>
      <c r="M510" s="80">
        <f>M465</f>
        <v>6.8</v>
      </c>
      <c r="N510" s="46">
        <f>VLOOKUP($F:$F,材料单价表!$B$3:$G$42,5,0)</f>
        <v>0</v>
      </c>
      <c r="O510" s="46">
        <f>N510*M510</f>
        <v>0</v>
      </c>
      <c r="P510" s="48"/>
      <c r="Q510" s="59"/>
      <c r="R510" s="81"/>
      <c r="S510" s="79"/>
      <c r="T510" s="464"/>
    </row>
    <row r="511" spans="1:38" ht="15.75" customHeight="1" x14ac:dyDescent="0.15">
      <c r="A511" s="76">
        <v>2</v>
      </c>
      <c r="B511" s="542"/>
      <c r="C511" s="543"/>
      <c r="D511" s="543"/>
      <c r="E511" s="544"/>
      <c r="F511" s="558" t="s">
        <v>68</v>
      </c>
      <c r="G511" s="559"/>
      <c r="H511" s="78" t="s">
        <v>67</v>
      </c>
      <c r="I511" s="352"/>
      <c r="J511" s="77"/>
      <c r="K511" s="46" t="str">
        <f>VLOOKUP($F:$F,材料单价表!$B$3:$G$42,4,0)</f>
        <v>m</v>
      </c>
      <c r="L511" s="46"/>
      <c r="M511" s="80">
        <f>(J477*K477+J480*K480+J478*K478+J479*K479)/1000*2</f>
        <v>19.075200000000002</v>
      </c>
      <c r="N511" s="46">
        <f>VLOOKUP($F:$F,材料单价表!$B$3:$G$42,5,0)</f>
        <v>0</v>
      </c>
      <c r="O511" s="46">
        <f t="shared" ref="O511:O516" si="81">N511*M511</f>
        <v>0</v>
      </c>
      <c r="P511" s="48"/>
      <c r="Q511" s="59"/>
      <c r="R511" s="81"/>
      <c r="S511" s="79"/>
      <c r="T511" s="464"/>
      <c r="V511" s="104"/>
      <c r="W511" s="104"/>
    </row>
    <row r="512" spans="1:38" ht="13.5" customHeight="1" x14ac:dyDescent="0.15">
      <c r="A512" s="76">
        <v>3</v>
      </c>
      <c r="B512" s="542"/>
      <c r="C512" s="543"/>
      <c r="D512" s="543"/>
      <c r="E512" s="544"/>
      <c r="F512" s="558" t="s">
        <v>68</v>
      </c>
      <c r="G512" s="559"/>
      <c r="H512" s="78" t="s">
        <v>69</v>
      </c>
      <c r="I512" s="352"/>
      <c r="J512" s="77"/>
      <c r="K512" s="46" t="str">
        <f>VLOOKUP($F:$F,材料单价表!$B$3:$G$42,4,0)</f>
        <v>m</v>
      </c>
      <c r="L512" s="46"/>
      <c r="M512" s="80">
        <f>M465</f>
        <v>6.8</v>
      </c>
      <c r="N512" s="46">
        <f>VLOOKUP($F:$F,材料单价表!$B$3:$G$42,5,0)</f>
        <v>0</v>
      </c>
      <c r="O512" s="46">
        <f t="shared" si="81"/>
        <v>0</v>
      </c>
      <c r="P512" s="48"/>
      <c r="Q512" s="59"/>
      <c r="R512" s="81"/>
      <c r="S512" s="79"/>
      <c r="T512" s="464"/>
      <c r="V512" s="104"/>
      <c r="W512" s="104"/>
    </row>
    <row r="513" spans="1:23" ht="13.5" customHeight="1" x14ac:dyDescent="0.15">
      <c r="A513" s="76">
        <v>4</v>
      </c>
      <c r="B513" s="542"/>
      <c r="C513" s="543"/>
      <c r="D513" s="543"/>
      <c r="E513" s="544"/>
      <c r="F513" s="558" t="s">
        <v>68</v>
      </c>
      <c r="G513" s="559"/>
      <c r="H513" s="78" t="s">
        <v>70</v>
      </c>
      <c r="I513" s="352"/>
      <c r="J513" s="77"/>
      <c r="K513" s="46" t="str">
        <f>VLOOKUP($F:$F,材料单价表!$B$3:$G$42,4,0)</f>
        <v>m</v>
      </c>
      <c r="L513" s="46"/>
      <c r="M513" s="80">
        <f>M465</f>
        <v>6.8</v>
      </c>
      <c r="N513" s="46">
        <f>VLOOKUP($F:$F,材料单价表!$B$3:$G$42,5,0)</f>
        <v>0</v>
      </c>
      <c r="O513" s="46">
        <f t="shared" si="81"/>
        <v>0</v>
      </c>
      <c r="P513" s="48"/>
      <c r="Q513" s="59"/>
      <c r="R513" s="81"/>
      <c r="S513" s="79"/>
      <c r="T513" s="464"/>
      <c r="V513" s="104"/>
      <c r="W513" s="104"/>
    </row>
    <row r="514" spans="1:23" ht="13.5" customHeight="1" x14ac:dyDescent="0.15">
      <c r="A514" s="76">
        <v>5</v>
      </c>
      <c r="B514" s="542"/>
      <c r="C514" s="543"/>
      <c r="D514" s="543"/>
      <c r="E514" s="544"/>
      <c r="F514" s="558" t="s">
        <v>71</v>
      </c>
      <c r="G514" s="559"/>
      <c r="H514" s="78"/>
      <c r="I514" s="352"/>
      <c r="J514" s="77"/>
      <c r="K514" s="46" t="str">
        <f>VLOOKUP($F:$F,材料单价表!$B$3:$G$42,4,0)</f>
        <v>个</v>
      </c>
      <c r="L514" s="79"/>
      <c r="M514" s="80">
        <f>SUM(K481:K483)</f>
        <v>10</v>
      </c>
      <c r="N514" s="46">
        <f>VLOOKUP($F:$F,材料单价表!$B$3:$G$42,5,0)</f>
        <v>0</v>
      </c>
      <c r="O514" s="46">
        <f t="shared" si="81"/>
        <v>0</v>
      </c>
      <c r="P514" s="48"/>
      <c r="Q514" s="59"/>
      <c r="R514" s="81"/>
      <c r="S514" s="79"/>
      <c r="T514" s="464"/>
    </row>
    <row r="515" spans="1:23" ht="13.5" customHeight="1" x14ac:dyDescent="0.15">
      <c r="A515" s="76">
        <v>6</v>
      </c>
      <c r="B515" s="542"/>
      <c r="C515" s="543"/>
      <c r="D515" s="543"/>
      <c r="E515" s="544"/>
      <c r="F515" s="558" t="s">
        <v>833</v>
      </c>
      <c r="G515" s="559"/>
      <c r="H515" s="78"/>
      <c r="I515" s="352"/>
      <c r="J515" s="77"/>
      <c r="K515" s="46" t="str">
        <f>VLOOKUP($F:$F,材料单价表!$B$3:$G$42,4,0)</f>
        <v>m</v>
      </c>
      <c r="L515" s="79"/>
      <c r="M515" s="80">
        <f>(J471*K471+J472*K472)/1000*2</f>
        <v>13.7552</v>
      </c>
      <c r="N515" s="46">
        <f>VLOOKUP($F:$F,材料单价表!$B$3:$G$42,5,0)</f>
        <v>0</v>
      </c>
      <c r="O515" s="46">
        <f t="shared" si="81"/>
        <v>0</v>
      </c>
      <c r="P515" s="48"/>
      <c r="Q515" s="59"/>
      <c r="R515" s="81"/>
      <c r="S515" s="46"/>
      <c r="T515" s="465"/>
    </row>
    <row r="516" spans="1:23" x14ac:dyDescent="0.15">
      <c r="A516" s="76">
        <v>7</v>
      </c>
      <c r="B516" s="542"/>
      <c r="C516" s="543"/>
      <c r="D516" s="543"/>
      <c r="E516" s="544"/>
      <c r="F516" s="558" t="s">
        <v>72</v>
      </c>
      <c r="G516" s="559"/>
      <c r="H516" s="45"/>
      <c r="I516" s="207"/>
      <c r="J516" s="45"/>
      <c r="K516" s="46" t="str">
        <f>VLOOKUP($F:$F,材料单价表!$B$3:$G$42,4,0)</f>
        <v>m2</v>
      </c>
      <c r="L516" s="72"/>
      <c r="M516" s="46">
        <f>M522</f>
        <v>2.73</v>
      </c>
      <c r="N516" s="46">
        <f>VLOOKUP($F:$F,材料单价表!$B$3:$G$42,5,0)</f>
        <v>0</v>
      </c>
      <c r="O516" s="46">
        <f t="shared" si="81"/>
        <v>0</v>
      </c>
      <c r="P516" s="48"/>
      <c r="Q516" s="48"/>
      <c r="R516" s="73"/>
      <c r="S516" s="73"/>
      <c r="T516" s="463"/>
    </row>
    <row r="517" spans="1:23" x14ac:dyDescent="0.15">
      <c r="A517" s="76">
        <v>8</v>
      </c>
      <c r="B517" s="542"/>
      <c r="C517" s="543"/>
      <c r="D517" s="543"/>
      <c r="E517" s="544"/>
      <c r="F517" s="297"/>
      <c r="G517" s="298"/>
      <c r="H517" s="207"/>
      <c r="I517" s="207"/>
      <c r="J517" s="207"/>
      <c r="K517" s="208"/>
      <c r="L517" s="209"/>
      <c r="M517" s="208"/>
      <c r="N517" s="208"/>
      <c r="O517" s="208"/>
      <c r="P517" s="211"/>
      <c r="Q517" s="48"/>
      <c r="R517" s="212"/>
      <c r="S517" s="212"/>
      <c r="T517" s="463"/>
    </row>
    <row r="518" spans="1:23" x14ac:dyDescent="0.15">
      <c r="A518" s="76">
        <v>9</v>
      </c>
      <c r="B518" s="542"/>
      <c r="C518" s="543"/>
      <c r="D518" s="543"/>
      <c r="E518" s="544"/>
      <c r="F518" s="558"/>
      <c r="G518" s="559"/>
      <c r="H518" s="45"/>
      <c r="I518" s="207"/>
      <c r="J518" s="45"/>
      <c r="K518" s="45"/>
      <c r="L518" s="72"/>
      <c r="M518" s="46"/>
      <c r="N518" s="46"/>
      <c r="O518" s="82"/>
      <c r="P518" s="48"/>
      <c r="Q518" s="48"/>
      <c r="R518" s="73"/>
      <c r="S518" s="73"/>
      <c r="T518" s="463"/>
    </row>
    <row r="519" spans="1:23" x14ac:dyDescent="0.15">
      <c r="A519" s="74"/>
      <c r="B519" s="552"/>
      <c r="C519" s="557"/>
      <c r="D519" s="557"/>
      <c r="E519" s="553"/>
      <c r="F519" s="552" t="s">
        <v>73</v>
      </c>
      <c r="G519" s="557"/>
      <c r="H519" s="557"/>
      <c r="I519" s="557"/>
      <c r="J519" s="557"/>
      <c r="K519" s="557"/>
      <c r="L519" s="557"/>
      <c r="M519" s="61"/>
      <c r="N519" s="61"/>
      <c r="O519" s="62">
        <f>SUM(O510:O518)</f>
        <v>0</v>
      </c>
      <c r="P519" s="63" t="s">
        <v>57</v>
      </c>
      <c r="Q519" s="337"/>
      <c r="R519" s="64"/>
      <c r="S519" s="64"/>
      <c r="T519" s="460"/>
    </row>
    <row r="520" spans="1:23" x14ac:dyDescent="0.15">
      <c r="A520" s="74"/>
      <c r="B520" s="552"/>
      <c r="C520" s="557"/>
      <c r="D520" s="557"/>
      <c r="E520" s="553"/>
      <c r="F520" s="552" t="s">
        <v>74</v>
      </c>
      <c r="G520" s="557"/>
      <c r="H520" s="557"/>
      <c r="I520" s="557"/>
      <c r="J520" s="557"/>
      <c r="K520" s="557"/>
      <c r="L520" s="557"/>
      <c r="M520" s="557"/>
      <c r="N520" s="553"/>
      <c r="O520" s="62">
        <f>O519+O508+O505+O497</f>
        <v>0</v>
      </c>
      <c r="P520" s="63" t="s">
        <v>57</v>
      </c>
      <c r="Q520" s="337"/>
      <c r="R520" s="64"/>
      <c r="S520" s="64"/>
      <c r="T520" s="460"/>
    </row>
    <row r="521" spans="1:23" ht="24" x14ac:dyDescent="0.15">
      <c r="A521" s="65"/>
      <c r="B521" s="560" t="s">
        <v>75</v>
      </c>
      <c r="C521" s="561"/>
      <c r="D521" s="561"/>
      <c r="E521" s="562"/>
      <c r="F521" s="565" t="s">
        <v>26</v>
      </c>
      <c r="G521" s="566"/>
      <c r="H521" s="66"/>
      <c r="I521" s="351"/>
      <c r="J521" s="66"/>
      <c r="K521" s="66" t="s">
        <v>6</v>
      </c>
      <c r="L521" s="83" t="s">
        <v>61</v>
      </c>
      <c r="M521" s="66" t="s">
        <v>76</v>
      </c>
      <c r="N521" s="68" t="s">
        <v>62</v>
      </c>
      <c r="O521" s="68" t="s">
        <v>34</v>
      </c>
      <c r="P521" s="84" t="s">
        <v>57</v>
      </c>
      <c r="Q521" s="84"/>
      <c r="R521" s="67"/>
      <c r="S521" s="67"/>
      <c r="T521" s="461"/>
    </row>
    <row r="522" spans="1:23" x14ac:dyDescent="0.15">
      <c r="A522" s="302">
        <v>1</v>
      </c>
      <c r="B522" s="542"/>
      <c r="C522" s="543"/>
      <c r="D522" s="543"/>
      <c r="E522" s="544"/>
      <c r="F522" s="545" t="s">
        <v>77</v>
      </c>
      <c r="G522" s="547"/>
      <c r="H522" s="45"/>
      <c r="I522" s="207"/>
      <c r="J522" s="46"/>
      <c r="K522" s="45" t="s">
        <v>78</v>
      </c>
      <c r="L522" s="72"/>
      <c r="M522" s="85">
        <f>O452</f>
        <v>2.73</v>
      </c>
      <c r="N522" s="46">
        <f>VLOOKUP($F:$F,材料单价表!$B$3:$G$42,5,0)</f>
        <v>0</v>
      </c>
      <c r="O522" s="46">
        <f>N522*M522</f>
        <v>0</v>
      </c>
      <c r="P522" s="48"/>
      <c r="Q522" s="48"/>
      <c r="R522" s="72"/>
      <c r="S522" s="72"/>
      <c r="T522" s="462"/>
    </row>
    <row r="523" spans="1:23" x14ac:dyDescent="0.15">
      <c r="A523" s="302">
        <v>2</v>
      </c>
      <c r="B523" s="542"/>
      <c r="C523" s="543"/>
      <c r="D523" s="543"/>
      <c r="E523" s="544"/>
      <c r="F523" s="545" t="s">
        <v>79</v>
      </c>
      <c r="G523" s="547"/>
      <c r="H523" s="45"/>
      <c r="I523" s="207"/>
      <c r="J523" s="46"/>
      <c r="K523" s="45" t="s">
        <v>78</v>
      </c>
      <c r="L523" s="72"/>
      <c r="M523" s="85">
        <f>M522</f>
        <v>2.73</v>
      </c>
      <c r="N523" s="46">
        <f>VLOOKUP($F:$F,材料单价表!$B$3:$G$42,5,0)</f>
        <v>0</v>
      </c>
      <c r="O523" s="46">
        <f>N523*M523</f>
        <v>0</v>
      </c>
      <c r="P523" s="48"/>
      <c r="Q523" s="48"/>
      <c r="R523" s="72"/>
      <c r="S523" s="72"/>
      <c r="T523" s="462"/>
    </row>
    <row r="524" spans="1:23" ht="24.75" customHeight="1" x14ac:dyDescent="0.15">
      <c r="A524" s="74"/>
      <c r="B524" s="552"/>
      <c r="C524" s="557"/>
      <c r="D524" s="557"/>
      <c r="E524" s="553"/>
      <c r="F524" s="552" t="s">
        <v>80</v>
      </c>
      <c r="G524" s="553"/>
      <c r="H524" s="299"/>
      <c r="I524" s="348"/>
      <c r="J524" s="554" t="s">
        <v>81</v>
      </c>
      <c r="K524" s="554"/>
      <c r="L524" s="554"/>
      <c r="M524" s="554"/>
      <c r="N524" s="87"/>
      <c r="O524" s="62">
        <f>O520+O522+O523</f>
        <v>0</v>
      </c>
      <c r="P524" s="63" t="s">
        <v>57</v>
      </c>
      <c r="Q524" s="337"/>
      <c r="R524" s="64"/>
      <c r="S524" s="64"/>
      <c r="T524" s="460"/>
    </row>
    <row r="525" spans="1:23" ht="24" customHeight="1" x14ac:dyDescent="0.15">
      <c r="A525" s="74"/>
      <c r="B525" s="552"/>
      <c r="C525" s="557"/>
      <c r="D525" s="557"/>
      <c r="E525" s="553"/>
      <c r="F525" s="555" t="s">
        <v>82</v>
      </c>
      <c r="G525" s="556"/>
      <c r="H525" s="301"/>
      <c r="I525" s="349"/>
      <c r="J525" s="552" t="s">
        <v>81</v>
      </c>
      <c r="K525" s="557"/>
      <c r="L525" s="557"/>
      <c r="M525" s="557"/>
      <c r="N525" s="62"/>
      <c r="O525" s="62">
        <f>O524/O452</f>
        <v>0</v>
      </c>
      <c r="P525" s="89" t="s">
        <v>57</v>
      </c>
      <c r="Q525" s="89"/>
      <c r="R525" s="90"/>
      <c r="S525" s="90"/>
      <c r="T525" s="466"/>
    </row>
    <row r="526" spans="1:23" ht="18.75" customHeight="1" x14ac:dyDescent="0.15">
      <c r="A526" s="549" t="s">
        <v>0</v>
      </c>
      <c r="B526" s="549"/>
      <c r="C526" s="549"/>
      <c r="D526" s="549"/>
      <c r="E526" s="549"/>
      <c r="F526" s="549"/>
      <c r="G526" s="549"/>
      <c r="H526" s="549"/>
      <c r="I526" s="549"/>
      <c r="J526" s="549"/>
      <c r="K526" s="549"/>
      <c r="L526" s="550"/>
      <c r="M526" s="549"/>
      <c r="N526" s="549"/>
      <c r="O526" s="549"/>
      <c r="P526" s="549"/>
      <c r="Q526" s="549"/>
      <c r="R526" s="551"/>
      <c r="S526" s="551"/>
      <c r="T526" s="415"/>
    </row>
    <row r="527" spans="1:23" ht="15" customHeight="1" x14ac:dyDescent="0.15">
      <c r="A527" s="2" t="s">
        <v>1</v>
      </c>
      <c r="B527" s="3" t="str">
        <f>$B$152</f>
        <v>WC</v>
      </c>
      <c r="C527" s="3">
        <v>8</v>
      </c>
      <c r="D527" s="3"/>
      <c r="E527" s="3"/>
      <c r="F527" s="4" t="s">
        <v>2</v>
      </c>
      <c r="G527" s="5">
        <v>55</v>
      </c>
      <c r="H527" s="106" t="s">
        <v>86</v>
      </c>
      <c r="I527" s="106"/>
      <c r="J527" s="4" t="s">
        <v>3</v>
      </c>
      <c r="K527" s="6">
        <f>L530</f>
        <v>1800</v>
      </c>
      <c r="L527" s="7" t="s">
        <v>83</v>
      </c>
      <c r="M527" s="6">
        <f>L529</f>
        <v>1800</v>
      </c>
      <c r="N527" s="8" t="s">
        <v>4</v>
      </c>
      <c r="O527" s="9">
        <f>M539</f>
        <v>3.24</v>
      </c>
      <c r="P527" s="10"/>
      <c r="Q527" s="10"/>
      <c r="R527" s="10" t="s">
        <v>5</v>
      </c>
      <c r="S527" s="11"/>
      <c r="T527" s="457"/>
    </row>
    <row r="528" spans="1:23" ht="15" customHeight="1" x14ac:dyDescent="0.2">
      <c r="A528" s="12"/>
      <c r="B528" s="13"/>
      <c r="C528" s="13"/>
      <c r="D528" s="13"/>
      <c r="E528" s="13"/>
      <c r="F528" s="14"/>
      <c r="G528" s="14"/>
      <c r="H528" s="15"/>
      <c r="I528" s="15"/>
      <c r="J528" s="16"/>
      <c r="K528" s="16" t="s">
        <v>6</v>
      </c>
      <c r="L528" s="17" t="s">
        <v>7</v>
      </c>
      <c r="M528" s="16" t="s">
        <v>8</v>
      </c>
      <c r="N528" s="18"/>
      <c r="O528" s="548" t="s">
        <v>940</v>
      </c>
      <c r="P528" s="548"/>
      <c r="Q528" s="16" t="s">
        <v>1018</v>
      </c>
      <c r="R528" s="529" t="s">
        <v>1187</v>
      </c>
      <c r="S528" s="530" t="s">
        <v>1592</v>
      </c>
      <c r="T528" s="468"/>
    </row>
    <row r="529" spans="1:37" ht="15" customHeight="1" x14ac:dyDescent="0.2">
      <c r="A529" s="398" t="s">
        <v>918</v>
      </c>
      <c r="B529" s="406" t="s">
        <v>984</v>
      </c>
      <c r="C529" s="362"/>
      <c r="D529" s="362"/>
      <c r="E529" s="362"/>
      <c r="F529" s="23"/>
      <c r="G529" s="23"/>
      <c r="H529" s="107"/>
      <c r="I529" s="107"/>
      <c r="J529" s="24" t="s">
        <v>9</v>
      </c>
      <c r="K529" s="16" t="s">
        <v>10</v>
      </c>
      <c r="L529" s="25">
        <v>1800</v>
      </c>
      <c r="M529" s="113">
        <f>L529-M538*2</f>
        <v>1700</v>
      </c>
      <c r="N529" s="18"/>
      <c r="O529" s="356" t="s">
        <v>941</v>
      </c>
      <c r="P529" s="357"/>
      <c r="Q529" s="16" t="s">
        <v>1019</v>
      </c>
      <c r="R529" s="529"/>
      <c r="S529" s="530"/>
      <c r="T529" s="468"/>
    </row>
    <row r="530" spans="1:37" ht="15" customHeight="1" x14ac:dyDescent="0.2">
      <c r="A530" s="21"/>
      <c r="B530" s="22"/>
      <c r="C530" s="22"/>
      <c r="D530" s="22"/>
      <c r="E530" s="22"/>
      <c r="F530" s="23"/>
      <c r="G530" s="23"/>
      <c r="H530" s="18"/>
      <c r="I530" s="18"/>
      <c r="J530" s="24" t="s">
        <v>11</v>
      </c>
      <c r="K530" s="16" t="s">
        <v>10</v>
      </c>
      <c r="L530" s="25">
        <v>1800</v>
      </c>
      <c r="M530" s="113">
        <f>L530-M538*2</f>
        <v>1700</v>
      </c>
      <c r="N530" s="18"/>
      <c r="O530" s="356" t="s">
        <v>924</v>
      </c>
      <c r="P530" s="357"/>
      <c r="Q530" s="16" t="s">
        <v>1020</v>
      </c>
      <c r="R530" s="529" t="s">
        <v>1188</v>
      </c>
      <c r="S530" s="530" t="s">
        <v>1086</v>
      </c>
      <c r="T530" s="468"/>
    </row>
    <row r="531" spans="1:37" ht="15" customHeight="1" x14ac:dyDescent="0.2">
      <c r="A531" s="21"/>
      <c r="B531" s="22"/>
      <c r="C531" s="22"/>
      <c r="D531" s="22"/>
      <c r="E531" s="22"/>
      <c r="F531" s="23"/>
      <c r="G531" s="23"/>
      <c r="H531" s="18"/>
      <c r="I531" s="18"/>
      <c r="J531" s="24" t="s">
        <v>12</v>
      </c>
      <c r="K531" s="16" t="s">
        <v>10</v>
      </c>
      <c r="L531" s="26"/>
      <c r="M531" s="113">
        <f>M529-M532</f>
        <v>1200</v>
      </c>
      <c r="N531" s="18"/>
      <c r="O531" s="356" t="s">
        <v>925</v>
      </c>
      <c r="P531" s="357"/>
      <c r="Q531" s="16" t="s">
        <v>1021</v>
      </c>
      <c r="R531" s="529"/>
      <c r="S531" s="530"/>
      <c r="T531" s="468"/>
    </row>
    <row r="532" spans="1:37" ht="15" customHeight="1" x14ac:dyDescent="0.2">
      <c r="A532" s="21"/>
      <c r="B532" s="22"/>
      <c r="C532" s="22"/>
      <c r="D532" s="22"/>
      <c r="E532" s="22"/>
      <c r="F532" s="23"/>
      <c r="G532" s="23"/>
      <c r="H532" s="18"/>
      <c r="I532" s="18"/>
      <c r="J532" s="24" t="s">
        <v>13</v>
      </c>
      <c r="K532" s="16" t="s">
        <v>10</v>
      </c>
      <c r="L532" s="26"/>
      <c r="M532" s="25">
        <v>500</v>
      </c>
      <c r="N532" s="540" t="s">
        <v>867</v>
      </c>
      <c r="O532" s="356" t="s">
        <v>926</v>
      </c>
      <c r="P532" s="357"/>
      <c r="Q532" s="16" t="s">
        <v>1022</v>
      </c>
      <c r="R532" s="27"/>
      <c r="S532" s="28"/>
      <c r="T532" s="27"/>
    </row>
    <row r="533" spans="1:37" ht="15" customHeight="1" x14ac:dyDescent="0.2">
      <c r="A533" s="21"/>
      <c r="B533" s="22"/>
      <c r="C533" s="22"/>
      <c r="D533" s="22"/>
      <c r="E533" s="22"/>
      <c r="F533" s="23"/>
      <c r="G533" s="23"/>
      <c r="H533" s="18"/>
      <c r="I533" s="18"/>
      <c r="J533" s="24" t="s">
        <v>14</v>
      </c>
      <c r="K533" s="16" t="s">
        <v>10</v>
      </c>
      <c r="L533" s="26"/>
      <c r="M533" s="113"/>
      <c r="N533" s="540"/>
      <c r="O533" s="356" t="s">
        <v>927</v>
      </c>
      <c r="P533" s="357"/>
      <c r="Q533" s="16" t="s">
        <v>1023</v>
      </c>
      <c r="R533" s="27"/>
      <c r="S533" s="28"/>
      <c r="T533" s="27"/>
    </row>
    <row r="534" spans="1:37" ht="15" customHeight="1" x14ac:dyDescent="0.2">
      <c r="A534" s="21"/>
      <c r="B534" s="22"/>
      <c r="C534" s="22"/>
      <c r="D534" s="22"/>
      <c r="E534" s="22"/>
      <c r="F534" s="23"/>
      <c r="G534" s="23"/>
      <c r="H534" s="18"/>
      <c r="I534" s="18"/>
      <c r="J534" s="24" t="s">
        <v>15</v>
      </c>
      <c r="K534" s="16" t="s">
        <v>10</v>
      </c>
      <c r="L534" s="26"/>
      <c r="M534" s="25">
        <v>700</v>
      </c>
      <c r="N534" s="540" t="s">
        <v>868</v>
      </c>
      <c r="O534" s="356" t="s">
        <v>928</v>
      </c>
      <c r="P534" s="357"/>
      <c r="Q534" s="16" t="s">
        <v>1005</v>
      </c>
      <c r="R534" s="27"/>
      <c r="S534" s="28"/>
      <c r="T534" s="27"/>
    </row>
    <row r="535" spans="1:37" ht="15" customHeight="1" x14ac:dyDescent="0.2">
      <c r="A535" s="21"/>
      <c r="B535" s="22"/>
      <c r="C535" s="22"/>
      <c r="D535" s="22"/>
      <c r="E535" s="22"/>
      <c r="F535" s="23"/>
      <c r="G535" s="23"/>
      <c r="H535" s="18"/>
      <c r="I535" s="18"/>
      <c r="J535" s="24" t="s">
        <v>16</v>
      </c>
      <c r="K535" s="16" t="s">
        <v>10</v>
      </c>
      <c r="L535" s="26"/>
      <c r="M535" s="113">
        <f>M530-M534</f>
        <v>1000</v>
      </c>
      <c r="N535" s="540"/>
      <c r="O535" s="356" t="s">
        <v>929</v>
      </c>
      <c r="P535" s="357"/>
      <c r="Q535" s="16" t="s">
        <v>1024</v>
      </c>
      <c r="R535" s="27"/>
      <c r="S535" s="28"/>
      <c r="T535" s="27"/>
    </row>
    <row r="536" spans="1:37" ht="15" customHeight="1" x14ac:dyDescent="0.2">
      <c r="A536" s="21"/>
      <c r="B536" s="22"/>
      <c r="C536" s="22"/>
      <c r="D536" s="22"/>
      <c r="E536" s="22"/>
      <c r="F536" s="23"/>
      <c r="G536" s="23"/>
      <c r="H536" s="18"/>
      <c r="I536" s="18"/>
      <c r="J536" s="24" t="s">
        <v>17</v>
      </c>
      <c r="K536" s="16" t="s">
        <v>10</v>
      </c>
      <c r="L536" s="26"/>
      <c r="M536" s="113"/>
      <c r="N536" s="540"/>
      <c r="O536" s="356" t="s">
        <v>930</v>
      </c>
      <c r="P536" s="357"/>
      <c r="Q536" s="16" t="s">
        <v>931</v>
      </c>
      <c r="R536" s="27"/>
      <c r="S536" s="28"/>
      <c r="T536" s="27"/>
    </row>
    <row r="537" spans="1:37" ht="15" customHeight="1" x14ac:dyDescent="0.2">
      <c r="A537" s="21"/>
      <c r="B537" s="22"/>
      <c r="C537" s="22"/>
      <c r="D537" s="22"/>
      <c r="E537" s="22"/>
      <c r="F537" s="23"/>
      <c r="G537" s="23"/>
      <c r="H537" s="18"/>
      <c r="I537" s="18"/>
      <c r="J537" s="24" t="s">
        <v>18</v>
      </c>
      <c r="K537" s="16" t="s">
        <v>10</v>
      </c>
      <c r="L537" s="26"/>
      <c r="M537" s="113"/>
      <c r="N537" s="540"/>
      <c r="O537" s="356" t="s">
        <v>932</v>
      </c>
      <c r="P537" s="357"/>
      <c r="Q537" s="16" t="s">
        <v>933</v>
      </c>
      <c r="R537" s="27"/>
      <c r="S537" s="28"/>
      <c r="T537" s="27"/>
    </row>
    <row r="538" spans="1:37" ht="15" customHeight="1" x14ac:dyDescent="0.2">
      <c r="A538" s="21"/>
      <c r="B538" s="22"/>
      <c r="C538" s="22"/>
      <c r="D538" s="22"/>
      <c r="E538" s="22"/>
      <c r="F538" s="23"/>
      <c r="G538" s="23"/>
      <c r="H538" s="18"/>
      <c r="I538" s="18"/>
      <c r="J538" s="24" t="s">
        <v>19</v>
      </c>
      <c r="K538" s="16" t="s">
        <v>10</v>
      </c>
      <c r="L538" s="26"/>
      <c r="M538" s="25">
        <v>50</v>
      </c>
      <c r="N538" s="540"/>
      <c r="O538" s="356" t="s">
        <v>934</v>
      </c>
      <c r="P538" s="357"/>
      <c r="Q538" s="16" t="s">
        <v>935</v>
      </c>
      <c r="R538" s="27"/>
      <c r="S538" s="28"/>
      <c r="T538" s="27"/>
    </row>
    <row r="539" spans="1:37" ht="15" customHeight="1" x14ac:dyDescent="0.2">
      <c r="A539" s="21"/>
      <c r="B539" s="22"/>
      <c r="C539" s="22"/>
      <c r="D539" s="22"/>
      <c r="E539" s="22"/>
      <c r="F539" s="23"/>
      <c r="G539" s="23"/>
      <c r="H539" s="18"/>
      <c r="I539" s="18"/>
      <c r="J539" s="29" t="s">
        <v>20</v>
      </c>
      <c r="K539" s="16" t="s">
        <v>21</v>
      </c>
      <c r="L539" s="30"/>
      <c r="M539" s="31">
        <f>L529*L530/1000000</f>
        <v>3.24</v>
      </c>
      <c r="N539" s="540"/>
      <c r="O539" s="356" t="s">
        <v>936</v>
      </c>
      <c r="P539" s="357"/>
      <c r="Q539" s="16" t="s">
        <v>937</v>
      </c>
      <c r="R539" s="27"/>
      <c r="S539" s="28"/>
      <c r="T539" s="27"/>
    </row>
    <row r="540" spans="1:37" ht="15" customHeight="1" x14ac:dyDescent="0.2">
      <c r="A540" s="32"/>
      <c r="B540" s="33"/>
      <c r="C540" s="33"/>
      <c r="D540" s="33"/>
      <c r="E540" s="33"/>
      <c r="F540" s="34"/>
      <c r="G540" s="34"/>
      <c r="H540" s="35"/>
      <c r="I540" s="35"/>
      <c r="J540" s="29" t="s">
        <v>22</v>
      </c>
      <c r="K540" s="16" t="s">
        <v>23</v>
      </c>
      <c r="L540" s="30"/>
      <c r="M540" s="36">
        <f>(L530+L529)*2/1000</f>
        <v>7.2</v>
      </c>
      <c r="N540" s="541"/>
      <c r="O540" s="356" t="s">
        <v>938</v>
      </c>
      <c r="P540" s="357"/>
      <c r="Q540" s="16" t="s">
        <v>939</v>
      </c>
      <c r="R540" s="37"/>
      <c r="S540" s="38"/>
      <c r="T540" s="27"/>
    </row>
    <row r="541" spans="1:37" ht="48.75" customHeight="1" x14ac:dyDescent="0.15">
      <c r="A541" s="39" t="s">
        <v>24</v>
      </c>
      <c r="B541" s="560" t="s">
        <v>25</v>
      </c>
      <c r="C541" s="561"/>
      <c r="D541" s="561"/>
      <c r="E541" s="562"/>
      <c r="F541" s="40" t="s">
        <v>26</v>
      </c>
      <c r="G541" s="40" t="s">
        <v>27</v>
      </c>
      <c r="H541" s="40" t="s">
        <v>28</v>
      </c>
      <c r="I541" s="40" t="s">
        <v>1166</v>
      </c>
      <c r="J541" s="40" t="s">
        <v>29</v>
      </c>
      <c r="K541" s="40" t="s">
        <v>30</v>
      </c>
      <c r="L541" s="41" t="s">
        <v>31</v>
      </c>
      <c r="M541" s="40" t="s">
        <v>32</v>
      </c>
      <c r="N541" s="40" t="s">
        <v>33</v>
      </c>
      <c r="O541" s="40" t="s">
        <v>34</v>
      </c>
      <c r="P541" s="42" t="s">
        <v>35</v>
      </c>
      <c r="Q541" s="359" t="s">
        <v>974</v>
      </c>
      <c r="R541" s="43" t="s">
        <v>36</v>
      </c>
      <c r="S541" s="43" t="s">
        <v>37</v>
      </c>
      <c r="T541" s="458"/>
      <c r="V541" s="261" t="s">
        <v>128</v>
      </c>
      <c r="W541" s="261"/>
      <c r="X541" s="262" t="s">
        <v>359</v>
      </c>
      <c r="Y541" s="263"/>
      <c r="Z541" s="262" t="s">
        <v>355</v>
      </c>
      <c r="AA541" s="263"/>
      <c r="AB541" s="262" t="s">
        <v>360</v>
      </c>
      <c r="AC541" s="263"/>
      <c r="AD541" s="262" t="s">
        <v>127</v>
      </c>
      <c r="AE541" s="263"/>
      <c r="AF541" s="262" t="s">
        <v>357</v>
      </c>
      <c r="AG541" s="263"/>
      <c r="AH541" s="262" t="s">
        <v>358</v>
      </c>
      <c r="AI541" s="263"/>
      <c r="AJ541" s="262" t="s">
        <v>840</v>
      </c>
      <c r="AK541" s="263"/>
    </row>
    <row r="542" spans="1:37" ht="13.5" customHeight="1" x14ac:dyDescent="0.15">
      <c r="A542" s="302">
        <v>1</v>
      </c>
      <c r="B542" s="531" t="s">
        <v>38</v>
      </c>
      <c r="C542" s="532"/>
      <c r="D542" s="532"/>
      <c r="E542" s="533"/>
      <c r="F542" s="47" t="str">
        <f>VLOOKUP($H:$H,型材表!$B$5:$I$448,2,0)</f>
        <v>边框</v>
      </c>
      <c r="G542" s="45" t="s">
        <v>39</v>
      </c>
      <c r="H542" s="45" t="str">
        <f>IF(G527=55,"SW55K001",IF(G527=551,"SW55BK001",IF(G527=60,"SW60K001",IF(G527=601,"SW60AK001",IF(G527=65,"SW65AK001",IF(G527=70,"SW70K001",IF(G527=75,"SW75K001",IF(G527=50,"SW50K002"))))))))</f>
        <v>SW55K001</v>
      </c>
      <c r="I542" s="207" t="s">
        <v>1213</v>
      </c>
      <c r="J542" s="46">
        <f>M529</f>
        <v>1700</v>
      </c>
      <c r="K542" s="45">
        <v>2</v>
      </c>
      <c r="L542" s="47">
        <f>VLOOKUP($H:$H,型材表!$B$5:$I$448,4,0)</f>
        <v>0.96699999999999997</v>
      </c>
      <c r="M542" s="46">
        <f>J542*K542*L542/1000</f>
        <v>3.2877999999999998</v>
      </c>
      <c r="N542" s="72">
        <f>VLOOKUP($H:$H,型材表!$B$5:$I$448,7,0)</f>
        <v>0</v>
      </c>
      <c r="O542" s="46">
        <f>N542*M542</f>
        <v>0</v>
      </c>
      <c r="P542" s="100">
        <f>VLOOKUP($H:$H,型材表!$B$5:$I$448,5,0)</f>
        <v>0.125</v>
      </c>
      <c r="Q542" s="100" t="str">
        <f>VLOOKUP($H:$H,型材表!$B$5:$I$448,6,0)</f>
        <v>断桥隔热铝型材</v>
      </c>
      <c r="R542" s="49"/>
      <c r="S542" s="50"/>
      <c r="T542" s="459"/>
      <c r="X542" s="264"/>
      <c r="Y542" s="265"/>
      <c r="Z542" s="264"/>
      <c r="AA542" s="265"/>
      <c r="AB542" s="264"/>
      <c r="AC542" s="265"/>
      <c r="AD542" s="264"/>
      <c r="AE542" s="265"/>
      <c r="AF542" s="264"/>
      <c r="AG542" s="265"/>
      <c r="AH542" s="264"/>
      <c r="AI542" s="265"/>
      <c r="AJ542" s="264"/>
      <c r="AK542" s="265"/>
    </row>
    <row r="543" spans="1:37" x14ac:dyDescent="0.15">
      <c r="A543" s="302">
        <v>2</v>
      </c>
      <c r="B543" s="534"/>
      <c r="C543" s="535"/>
      <c r="D543" s="535"/>
      <c r="E543" s="536"/>
      <c r="F543" s="47" t="str">
        <f>VLOOKUP($H:$H,型材表!$B$5:$I$448,2,0)</f>
        <v>边框</v>
      </c>
      <c r="G543" s="45" t="s">
        <v>144</v>
      </c>
      <c r="H543" s="45" t="str">
        <f>H542</f>
        <v>SW55K001</v>
      </c>
      <c r="I543" s="207" t="s">
        <v>1214</v>
      </c>
      <c r="J543" s="46">
        <f>M530</f>
        <v>1700</v>
      </c>
      <c r="K543" s="45">
        <v>2</v>
      </c>
      <c r="L543" s="47">
        <f>VLOOKUP($H:$H,型材表!$B$5:$I$448,4,0)</f>
        <v>0.96699999999999997</v>
      </c>
      <c r="M543" s="46">
        <f t="shared" ref="M543" si="82">J543*K543*L543/1000</f>
        <v>3.2877999999999998</v>
      </c>
      <c r="N543" s="72">
        <f>VLOOKUP($H:$H,型材表!$B$5:$I$448,7,0)</f>
        <v>0</v>
      </c>
      <c r="O543" s="46">
        <f t="shared" ref="O543" si="83">N543*M543</f>
        <v>0</v>
      </c>
      <c r="P543" s="100">
        <f>VLOOKUP($H:$H,型材表!$B$5:$I$448,5,0)</f>
        <v>0.125</v>
      </c>
      <c r="Q543" s="100" t="str">
        <f>VLOOKUP($H:$H,型材表!$B$5:$I$448,6,0)</f>
        <v>断桥隔热铝型材</v>
      </c>
      <c r="R543" s="49"/>
      <c r="S543" s="50"/>
      <c r="T543" s="459"/>
      <c r="X543" s="264"/>
      <c r="Y543" s="265"/>
      <c r="Z543" s="264"/>
      <c r="AA543" s="265"/>
      <c r="AB543" s="264"/>
      <c r="AC543" s="265"/>
      <c r="AD543" s="264"/>
      <c r="AE543" s="265"/>
      <c r="AF543" s="264"/>
      <c r="AG543" s="265"/>
      <c r="AH543" s="264"/>
      <c r="AI543" s="265"/>
      <c r="AJ543" s="264"/>
      <c r="AK543" s="265"/>
    </row>
    <row r="544" spans="1:37" x14ac:dyDescent="0.15">
      <c r="A544" s="366">
        <v>3</v>
      </c>
      <c r="B544" s="534"/>
      <c r="C544" s="535"/>
      <c r="D544" s="535"/>
      <c r="E544" s="536"/>
      <c r="F544" s="47"/>
      <c r="G544" s="207"/>
      <c r="H544" s="207"/>
      <c r="I544" s="207"/>
      <c r="J544" s="208"/>
      <c r="K544" s="207"/>
      <c r="L544" s="47"/>
      <c r="M544" s="46"/>
      <c r="N544" s="72"/>
      <c r="O544" s="46"/>
      <c r="P544" s="100"/>
      <c r="Q544" s="100"/>
      <c r="R544" s="210"/>
      <c r="S544" s="50"/>
      <c r="T544" s="459"/>
      <c r="X544" s="264"/>
      <c r="Y544" s="265"/>
      <c r="Z544" s="264"/>
      <c r="AA544" s="265"/>
      <c r="AB544" s="264"/>
      <c r="AC544" s="265"/>
      <c r="AD544" s="264"/>
      <c r="AE544" s="265"/>
      <c r="AF544" s="264"/>
      <c r="AG544" s="265"/>
      <c r="AH544" s="264"/>
      <c r="AI544" s="265"/>
      <c r="AJ544" s="264"/>
      <c r="AK544" s="265"/>
    </row>
    <row r="545" spans="1:37" s="229" customFormat="1" x14ac:dyDescent="0.15">
      <c r="A545" s="366">
        <v>4</v>
      </c>
      <c r="B545" s="537"/>
      <c r="C545" s="538"/>
      <c r="D545" s="538"/>
      <c r="E545" s="539"/>
      <c r="F545" s="221"/>
      <c r="G545" s="222"/>
      <c r="H545" s="222"/>
      <c r="I545" s="222"/>
      <c r="J545" s="223"/>
      <c r="K545" s="222"/>
      <c r="L545" s="221"/>
      <c r="M545" s="224"/>
      <c r="N545" s="225"/>
      <c r="O545" s="224"/>
      <c r="P545" s="226"/>
      <c r="Q545" s="100"/>
      <c r="R545" s="227"/>
      <c r="S545" s="228"/>
      <c r="T545" s="467"/>
      <c r="U545" s="375"/>
      <c r="V545" s="266"/>
      <c r="W545" s="266"/>
      <c r="X545" s="267"/>
      <c r="Y545" s="268"/>
      <c r="Z545" s="267"/>
      <c r="AA545" s="268"/>
      <c r="AB545" s="267"/>
      <c r="AC545" s="268"/>
      <c r="AD545" s="267"/>
      <c r="AE545" s="268"/>
      <c r="AF545" s="267"/>
      <c r="AG545" s="268"/>
      <c r="AH545" s="267"/>
      <c r="AI545" s="268"/>
      <c r="AJ545" s="267"/>
      <c r="AK545" s="268"/>
    </row>
    <row r="546" spans="1:37" ht="13.5" customHeight="1" x14ac:dyDescent="0.15">
      <c r="A546" s="366">
        <v>5</v>
      </c>
      <c r="B546" s="531" t="s">
        <v>41</v>
      </c>
      <c r="C546" s="532"/>
      <c r="D546" s="532"/>
      <c r="E546" s="533"/>
      <c r="F546" s="47" t="str">
        <f>VLOOKUP($H:$H,型材表!$B$5:$I$448,2,0)</f>
        <v>外开扇</v>
      </c>
      <c r="G546" s="45" t="s">
        <v>39</v>
      </c>
      <c r="H546" s="45" t="str">
        <f>IF(G527=55,"SW55S001",IF(G527=551,"SW55BS001",IF(G527=60,"SW60S001",IF(G527=601,"SW60AS001",IF(G527=65,"SW65AS001",IF(G527=70,"SW70S001",IF(G527=75,"SW75S001",IF(G527=50,"SW50S001"))))))))</f>
        <v>SW55S001</v>
      </c>
      <c r="I546" s="207" t="s">
        <v>1238</v>
      </c>
      <c r="J546" s="46">
        <f>IF(G527=55,M531-V546,IF(G527=551,M531-X546,IF(G527=60,M531-Z546,IF(G527=601,M531-AB546,IF(G527=65,M531-AD546,IF(G527=70,M531-AF546,IF(G527=75,M531-AH546,IF(G527=50,M531-AJ546))))))))</f>
        <v>1117.2</v>
      </c>
      <c r="K546" s="45">
        <v>2</v>
      </c>
      <c r="L546" s="47">
        <f>VLOOKUP($H:$H,型材表!$B$5:$I$448,4,0)</f>
        <v>1.4450000000000001</v>
      </c>
      <c r="M546" s="46">
        <f t="shared" ref="M546:M551" si="84">J546*K546*L546/1000</f>
        <v>3.2287080000000001</v>
      </c>
      <c r="N546" s="72">
        <f>VLOOKUP($H:$H,型材表!$B$5:$I$448,7,0)</f>
        <v>0</v>
      </c>
      <c r="O546" s="46">
        <f t="shared" ref="O546:O551" si="85">N546*M546</f>
        <v>0</v>
      </c>
      <c r="P546" s="100">
        <f>VLOOKUP($H:$H,型材表!$B$5:$I$448,5,0)</f>
        <v>0.125</v>
      </c>
      <c r="Q546" s="100" t="str">
        <f>VLOOKUP($H:$H,型材表!$B$5:$I$448,6,0)</f>
        <v>断桥隔热铝型材</v>
      </c>
      <c r="R546" s="49"/>
      <c r="S546" s="50"/>
      <c r="T546" s="459"/>
      <c r="U546" s="374" t="s">
        <v>1247</v>
      </c>
      <c r="V546" s="259">
        <f>48.9+33.9</f>
        <v>82.8</v>
      </c>
      <c r="X546" s="286">
        <f>48.9+33.9</f>
        <v>82.8</v>
      </c>
      <c r="Y546" s="265"/>
      <c r="Z546" s="286">
        <f>48.9+33.9</f>
        <v>82.8</v>
      </c>
      <c r="AA546" s="265"/>
      <c r="AB546" s="286">
        <f>48.9+33.9</f>
        <v>82.8</v>
      </c>
      <c r="AC546" s="265"/>
      <c r="AD546" s="286">
        <f>48.9+33.9</f>
        <v>82.8</v>
      </c>
      <c r="AE546" s="265"/>
      <c r="AF546" s="286">
        <f>50.9+35.9</f>
        <v>86.8</v>
      </c>
      <c r="AG546" s="265"/>
      <c r="AH546" s="286">
        <f>50.9+35.9</f>
        <v>86.8</v>
      </c>
      <c r="AI546" s="265"/>
      <c r="AJ546" s="264">
        <f>45.7+30.4</f>
        <v>76.099999999999994</v>
      </c>
      <c r="AK546" s="265"/>
    </row>
    <row r="547" spans="1:37" x14ac:dyDescent="0.15">
      <c r="A547" s="366">
        <v>6</v>
      </c>
      <c r="B547" s="534"/>
      <c r="C547" s="535"/>
      <c r="D547" s="535"/>
      <c r="E547" s="536"/>
      <c r="F547" s="47" t="str">
        <f>VLOOKUP($H:$H,型材表!$B$5:$I$448,2,0)</f>
        <v>外开扇</v>
      </c>
      <c r="G547" s="45" t="s">
        <v>144</v>
      </c>
      <c r="H547" s="207" t="str">
        <f>H546</f>
        <v>SW55S001</v>
      </c>
      <c r="I547" s="207" t="s">
        <v>1576</v>
      </c>
      <c r="J547" s="208">
        <f>IF(G527=55,M534-V547,IF(G527=551,M534-X547,IF(G527=60,M534-Z547,IF(G527=601,M534-AB547,IF(G527=65,M534-AD547,IF(G527=70,M534-AF547,IF(G527=75,M534-AH547,IF(G527=50,M534-AJ547))))))))</f>
        <v>617.20000000000005</v>
      </c>
      <c r="K547" s="207">
        <v>2</v>
      </c>
      <c r="L547" s="47">
        <f>VLOOKUP($H:$H,型材表!$B$5:$I$448,4,0)</f>
        <v>1.4450000000000001</v>
      </c>
      <c r="M547" s="46">
        <f t="shared" si="84"/>
        <v>1.7837080000000003</v>
      </c>
      <c r="N547" s="72">
        <f>VLOOKUP($H:$H,型材表!$B$5:$I$448,7,0)</f>
        <v>0</v>
      </c>
      <c r="O547" s="46">
        <f t="shared" si="85"/>
        <v>0</v>
      </c>
      <c r="P547" s="100">
        <f>VLOOKUP($H:$H,型材表!$B$5:$I$448,5,0)</f>
        <v>0.125</v>
      </c>
      <c r="Q547" s="100" t="str">
        <f>VLOOKUP($H:$H,型材表!$B$5:$I$448,6,0)</f>
        <v>断桥隔热铝型材</v>
      </c>
      <c r="R547" s="210"/>
      <c r="S547" s="50"/>
      <c r="T547" s="459"/>
      <c r="U547" s="374" t="s">
        <v>1575</v>
      </c>
      <c r="V547" s="259">
        <f>48.9+33.9</f>
        <v>82.8</v>
      </c>
      <c r="X547" s="286">
        <f>48.9+33.9</f>
        <v>82.8</v>
      </c>
      <c r="Y547" s="265"/>
      <c r="Z547" s="286">
        <f>48.9+33.9</f>
        <v>82.8</v>
      </c>
      <c r="AA547" s="265"/>
      <c r="AB547" s="286">
        <f>48.9+33.9</f>
        <v>82.8</v>
      </c>
      <c r="AC547" s="265"/>
      <c r="AD547" s="286">
        <f>48.9+33.9</f>
        <v>82.8</v>
      </c>
      <c r="AE547" s="265"/>
      <c r="AF547" s="286">
        <f>50.9+35.9</f>
        <v>86.8</v>
      </c>
      <c r="AG547" s="265"/>
      <c r="AH547" s="286">
        <f>50.9+35.9</f>
        <v>86.8</v>
      </c>
      <c r="AI547" s="265"/>
      <c r="AJ547" s="264">
        <f>45.7+30.4</f>
        <v>76.099999999999994</v>
      </c>
      <c r="AK547" s="265"/>
    </row>
    <row r="548" spans="1:37" x14ac:dyDescent="0.15">
      <c r="A548" s="366">
        <v>7</v>
      </c>
      <c r="B548" s="534"/>
      <c r="C548" s="535"/>
      <c r="D548" s="535"/>
      <c r="E548" s="536"/>
      <c r="F548" s="47" t="str">
        <f>VLOOKUP($H:$H,型材表!$B$5:$I$448,2,0)</f>
        <v>中梃</v>
      </c>
      <c r="G548" s="45" t="s">
        <v>39</v>
      </c>
      <c r="H548" s="45" t="str">
        <f>IF(G527=55,"SW55T001",IF(G527=551,"SW55BT001",IF(G527=60,"SW60T001",IF(G527=601,"SW60AT001",IF(G527=65,"SW65AT001",IF(G527=70,"SW70T001",IF(G527=75,"SW75T001",IF(G527=50,"SW50Z001"))))))))</f>
        <v>SW55T001</v>
      </c>
      <c r="I548" s="207" t="s">
        <v>1237</v>
      </c>
      <c r="J548" s="46">
        <f>IF(G527=55,M529-V548,IF(G527=551,M529-X548,IF(G527=60,M529-Z548,IF(G527=601,M529-AB548,IF(G527=65,M529-AD548,IF(G527=70,M529-AF548,IF(G527=75,M529-AH548,IF(G527=50,M529-AJ548))))))))</f>
        <v>1654</v>
      </c>
      <c r="K548" s="45">
        <v>1</v>
      </c>
      <c r="L548" s="47">
        <f>VLOOKUP($H:$H,型材表!$B$5:$I$448,4,0)</f>
        <v>1.113</v>
      </c>
      <c r="M548" s="46">
        <f t="shared" si="84"/>
        <v>1.840902</v>
      </c>
      <c r="N548" s="72">
        <f>VLOOKUP($H:$H,型材表!$B$5:$I$448,7,0)</f>
        <v>0</v>
      </c>
      <c r="O548" s="46">
        <f t="shared" si="85"/>
        <v>0</v>
      </c>
      <c r="P548" s="100">
        <f>VLOOKUP($H:$H,型材表!$B$5:$I$448,5,0)</f>
        <v>0.125</v>
      </c>
      <c r="Q548" s="100" t="str">
        <f>VLOOKUP($H:$H,型材表!$B$5:$I$448,6,0)</f>
        <v>断桥隔热铝型材</v>
      </c>
      <c r="R548" s="49"/>
      <c r="S548" s="50"/>
      <c r="T548" s="459"/>
      <c r="U548" s="374" t="s">
        <v>1248</v>
      </c>
      <c r="V548" s="259">
        <f>23*2</f>
        <v>46</v>
      </c>
      <c r="X548" s="286">
        <f>23*2</f>
        <v>46</v>
      </c>
      <c r="Y548" s="265"/>
      <c r="Z548" s="286">
        <f>23*2</f>
        <v>46</v>
      </c>
      <c r="AA548" s="265"/>
      <c r="AB548" s="286">
        <f>23*2</f>
        <v>46</v>
      </c>
      <c r="AC548" s="265"/>
      <c r="AD548" s="286">
        <f>23*2</f>
        <v>46</v>
      </c>
      <c r="AE548" s="265"/>
      <c r="AF548" s="286">
        <f>23*2</f>
        <v>46</v>
      </c>
      <c r="AG548" s="265"/>
      <c r="AH548" s="286">
        <f>23*2</f>
        <v>46</v>
      </c>
      <c r="AI548" s="265"/>
      <c r="AJ548" s="264">
        <f>23.3*2</f>
        <v>46.6</v>
      </c>
      <c r="AK548" s="265"/>
    </row>
    <row r="549" spans="1:37" x14ac:dyDescent="0.15">
      <c r="A549" s="366">
        <v>8</v>
      </c>
      <c r="B549" s="534"/>
      <c r="C549" s="535"/>
      <c r="D549" s="535"/>
      <c r="E549" s="536"/>
      <c r="F549" s="47" t="str">
        <f>VLOOKUP($H:$H,型材表!$B$5:$I$448,2,0)</f>
        <v>中梃</v>
      </c>
      <c r="G549" s="45" t="s">
        <v>40</v>
      </c>
      <c r="H549" s="207" t="str">
        <f>IF(G527=55,"SW55T001",IF(G527=551,"SW55BT001",IF(G527=60,"SW60T001",IF(G527=601,"SW60AT001",IF(G527=65,"SW65AT001",IF(G527=70,"SW70T001",IF(G527=75,"SW75T001",IF(G527=50,"SW50Z001"))))))))</f>
        <v>SW55T001</v>
      </c>
      <c r="I549" s="207" t="s">
        <v>1239</v>
      </c>
      <c r="J549" s="208">
        <f>IF(G527=55,M534-V549,IF(G527=551,M534-X549,IF(G527=60,M534-Z549,IF(G527=601,M534-AB549,IF(G527=65,M534-AD549,IF(G527=70,M534-AF549,IF(G527=75,M534-AH549,IF(G527=50,M534-AJ549))))))))</f>
        <v>669</v>
      </c>
      <c r="K549" s="207">
        <v>1</v>
      </c>
      <c r="L549" s="47">
        <f>VLOOKUP($H:$H,型材表!$B$5:$I$448,4,0)</f>
        <v>1.113</v>
      </c>
      <c r="M549" s="46">
        <f t="shared" ref="M549" si="86">J549*K549*L549/1000</f>
        <v>0.74459699999999995</v>
      </c>
      <c r="N549" s="72">
        <f>VLOOKUP($H:$H,型材表!$B$5:$I$448,7,0)</f>
        <v>0</v>
      </c>
      <c r="O549" s="46">
        <f t="shared" ref="O549" si="87">N549*M549</f>
        <v>0</v>
      </c>
      <c r="P549" s="100">
        <f>VLOOKUP($H:$H,型材表!$B$5:$I$448,5,0)</f>
        <v>0.125</v>
      </c>
      <c r="Q549" s="100" t="str">
        <f>VLOOKUP($H:$H,型材表!$B$5:$I$448,6,0)</f>
        <v>断桥隔热铝型材</v>
      </c>
      <c r="R549" s="210"/>
      <c r="S549" s="50"/>
      <c r="T549" s="459"/>
      <c r="U549" s="374" t="s">
        <v>1249</v>
      </c>
      <c r="V549" s="259">
        <f>23+8</f>
        <v>31</v>
      </c>
      <c r="X549" s="286">
        <f>23+8</f>
        <v>31</v>
      </c>
      <c r="Y549" s="265"/>
      <c r="Z549" s="286">
        <f>23+8</f>
        <v>31</v>
      </c>
      <c r="AA549" s="265"/>
      <c r="AB549" s="286">
        <f>23+8</f>
        <v>31</v>
      </c>
      <c r="AC549" s="265"/>
      <c r="AD549" s="286">
        <f>23+8</f>
        <v>31</v>
      </c>
      <c r="AE549" s="265"/>
      <c r="AF549" s="286">
        <f>23+8</f>
        <v>31</v>
      </c>
      <c r="AG549" s="265"/>
      <c r="AH549" s="286">
        <f>23+8</f>
        <v>31</v>
      </c>
      <c r="AI549" s="265"/>
      <c r="AJ549" s="264">
        <f>8+23.3</f>
        <v>31.3</v>
      </c>
      <c r="AK549" s="265"/>
    </row>
    <row r="550" spans="1:37" s="315" customFormat="1" x14ac:dyDescent="0.15">
      <c r="A550" s="366">
        <v>9</v>
      </c>
      <c r="B550" s="534"/>
      <c r="C550" s="535"/>
      <c r="D550" s="535"/>
      <c r="E550" s="536"/>
      <c r="F550" s="310" t="str">
        <f>VLOOKUP($H:$H,型材表!$B$5:$I$448,2,0)</f>
        <v>转向框</v>
      </c>
      <c r="G550" s="116" t="s">
        <v>39</v>
      </c>
      <c r="H550" s="116" t="str">
        <f>IF(G527=55,"SW55K102",IF(G527=551,"SW55BK102",IF(G527=60,"SW60K102",IF(G527=601,"SW60AK102",IF(G527=65,"SW65AK102",IF(G527=70,"SW70K102",IF(G527=75,"SW75K102",IF(G527=50,"SW50K101"))))))))</f>
        <v>SW55K102</v>
      </c>
      <c r="I550" s="328" t="s">
        <v>1240</v>
      </c>
      <c r="J550" s="147">
        <f>IF(G527=55,M532-V550,IF(G527=551,M532-X550,IF(G527=60,M532-Z550,IF(G527=601,M532-AB550,IF(G527=65,M532-AD550,IF(G527=70,M532-AF550,IF(G527=75,M532-AH550,IF(G527=50,M532-AJ550))))))))</f>
        <v>461.7</v>
      </c>
      <c r="K550" s="116">
        <v>2</v>
      </c>
      <c r="L550" s="310">
        <f>VLOOKUP($H:$H,型材表!$B$5:$I$448,4,0)</f>
        <v>0.92300000000000004</v>
      </c>
      <c r="M550" s="147">
        <f t="shared" si="84"/>
        <v>0.85229820000000012</v>
      </c>
      <c r="N550" s="311">
        <f>VLOOKUP($H:$H,型材表!$B$5:$I$448,7,0)</f>
        <v>0</v>
      </c>
      <c r="O550" s="147">
        <f t="shared" si="85"/>
        <v>0</v>
      </c>
      <c r="P550" s="312">
        <f>VLOOKUP($H:$H,型材表!$B$5:$I$448,5,0)</f>
        <v>0.125</v>
      </c>
      <c r="Q550" s="100" t="str">
        <f>VLOOKUP($H:$H,型材表!$B$5:$I$448,6,0)</f>
        <v>断桥隔热铝型材</v>
      </c>
      <c r="R550" s="313"/>
      <c r="S550" s="314"/>
      <c r="T550" s="469"/>
      <c r="U550" s="376" t="s">
        <v>1250</v>
      </c>
      <c r="V550" s="316">
        <f>25.3+13</f>
        <v>38.299999999999997</v>
      </c>
      <c r="W550" s="316"/>
      <c r="X550" s="317">
        <f>25.3+13</f>
        <v>38.299999999999997</v>
      </c>
      <c r="Y550" s="318"/>
      <c r="Z550" s="317">
        <f>25.3+13</f>
        <v>38.299999999999997</v>
      </c>
      <c r="AA550" s="318"/>
      <c r="AB550" s="317">
        <f>25.3+13</f>
        <v>38.299999999999997</v>
      </c>
      <c r="AC550" s="318"/>
      <c r="AD550" s="317">
        <f>25.3+13</f>
        <v>38.299999999999997</v>
      </c>
      <c r="AE550" s="318"/>
      <c r="AF550" s="317">
        <f>25.3+10.3</f>
        <v>35.6</v>
      </c>
      <c r="AG550" s="318"/>
      <c r="AH550" s="317">
        <f>25.3+10.3</f>
        <v>35.6</v>
      </c>
      <c r="AI550" s="318"/>
      <c r="AJ550" s="317">
        <f>10+25.3</f>
        <v>35.299999999999997</v>
      </c>
      <c r="AK550" s="318"/>
    </row>
    <row r="551" spans="1:37" s="315" customFormat="1" x14ac:dyDescent="0.15">
      <c r="A551" s="366">
        <v>10</v>
      </c>
      <c r="B551" s="534"/>
      <c r="C551" s="535"/>
      <c r="D551" s="535"/>
      <c r="E551" s="536"/>
      <c r="F551" s="310" t="str">
        <f>VLOOKUP($H:$H,型材表!$B$5:$I$448,2,0)</f>
        <v>转向框</v>
      </c>
      <c r="G551" s="116" t="s">
        <v>144</v>
      </c>
      <c r="H551" s="328" t="str">
        <f>H550</f>
        <v>SW55K102</v>
      </c>
      <c r="I551" s="328" t="s">
        <v>1579</v>
      </c>
      <c r="J551" s="329">
        <f>IF(G527=55,M534-V551,IF(G527=551,M534-X551,IF(G527=60,M534-Z551,IF(G527=601,M534-AB551,IF(G527=65,M534-AD551,IF(G527=70,M534-AF551,IF(G527=75,M534-AH551,IF(G527=50,M534-AJ551))))))))</f>
        <v>661.7</v>
      </c>
      <c r="K551" s="328">
        <v>2</v>
      </c>
      <c r="L551" s="310">
        <f>VLOOKUP($H:$H,型材表!$B$5:$I$448,4,0)</f>
        <v>0.92300000000000004</v>
      </c>
      <c r="M551" s="147">
        <f t="shared" si="84"/>
        <v>1.2214982000000003</v>
      </c>
      <c r="N551" s="311">
        <f>VLOOKUP($H:$H,型材表!$B$5:$I$448,7,0)</f>
        <v>0</v>
      </c>
      <c r="O551" s="147">
        <f t="shared" si="85"/>
        <v>0</v>
      </c>
      <c r="P551" s="312">
        <f>VLOOKUP($H:$H,型材表!$B$5:$I$448,5,0)</f>
        <v>0.125</v>
      </c>
      <c r="Q551" s="100" t="str">
        <f>VLOOKUP($H:$H,型材表!$B$5:$I$448,6,0)</f>
        <v>断桥隔热铝型材</v>
      </c>
      <c r="R551" s="330"/>
      <c r="S551" s="314"/>
      <c r="T551" s="469"/>
      <c r="U551" s="376" t="s">
        <v>1577</v>
      </c>
      <c r="V551" s="316">
        <f>25.3+13</f>
        <v>38.299999999999997</v>
      </c>
      <c r="W551" s="316"/>
      <c r="X551" s="317">
        <f>25.3+13</f>
        <v>38.299999999999997</v>
      </c>
      <c r="Y551" s="318"/>
      <c r="Z551" s="317">
        <f>25.3+13</f>
        <v>38.299999999999997</v>
      </c>
      <c r="AA551" s="318"/>
      <c r="AB551" s="317">
        <f>25.3+13</f>
        <v>38.299999999999997</v>
      </c>
      <c r="AC551" s="318"/>
      <c r="AD551" s="317">
        <f>25.3+13</f>
        <v>38.299999999999997</v>
      </c>
      <c r="AE551" s="318"/>
      <c r="AF551" s="317">
        <f>25.3+10.3</f>
        <v>35.6</v>
      </c>
      <c r="AG551" s="318"/>
      <c r="AH551" s="317">
        <f>25.3+10.3</f>
        <v>35.6</v>
      </c>
      <c r="AI551" s="318"/>
      <c r="AJ551" s="317">
        <f>10+25.3</f>
        <v>35.299999999999997</v>
      </c>
      <c r="AK551" s="318"/>
    </row>
    <row r="552" spans="1:37" x14ac:dyDescent="0.15">
      <c r="A552" s="366">
        <v>11</v>
      </c>
      <c r="B552" s="537"/>
      <c r="C552" s="538"/>
      <c r="D552" s="538"/>
      <c r="E552" s="539"/>
      <c r="F552" s="47"/>
      <c r="G552" s="45"/>
      <c r="H552" s="45"/>
      <c r="I552" s="207"/>
      <c r="J552" s="46"/>
      <c r="K552" s="45"/>
      <c r="L552" s="47"/>
      <c r="M552" s="46"/>
      <c r="N552" s="72"/>
      <c r="O552" s="46"/>
      <c r="P552" s="100"/>
      <c r="Q552" s="100"/>
      <c r="R552" s="49"/>
      <c r="S552" s="50"/>
      <c r="T552" s="459"/>
      <c r="X552" s="286"/>
      <c r="Y552" s="265"/>
      <c r="Z552" s="286"/>
      <c r="AA552" s="265"/>
      <c r="AB552" s="286"/>
      <c r="AC552" s="265"/>
      <c r="AD552" s="286"/>
      <c r="AE552" s="265"/>
      <c r="AF552" s="286"/>
      <c r="AG552" s="265"/>
      <c r="AH552" s="264"/>
      <c r="AI552" s="265"/>
      <c r="AJ552" s="264"/>
      <c r="AK552" s="265"/>
    </row>
    <row r="553" spans="1:37" ht="13.5" customHeight="1" x14ac:dyDescent="0.15">
      <c r="A553" s="366">
        <v>12</v>
      </c>
      <c r="B553" s="531" t="s">
        <v>44</v>
      </c>
      <c r="C553" s="532"/>
      <c r="D553" s="532"/>
      <c r="E553" s="533"/>
      <c r="F553" s="47" t="str">
        <f>VLOOKUP($H:$H,型材表!$B$5:$I$448,2,0)</f>
        <v>压线</v>
      </c>
      <c r="G553" s="45" t="s">
        <v>39</v>
      </c>
      <c r="H553" s="45" t="str">
        <f>IF(G527=55,"SN55Y001",IF(G527=551,"SW55BY001",IF(G527=60,"SN60Y001",IF(G527=601,"SW60AY001",IF(G527=65,"SN65AY001",IF(G527=70,"SN70Y001",IF(G527=75,"SN75Y001",IF(G527=50,"SW50Y001"))))))))</f>
        <v>SN55Y001</v>
      </c>
      <c r="I553" s="207" t="s">
        <v>1241</v>
      </c>
      <c r="J553" s="52">
        <f>IF(G527=55,M531-V553,IF(G527=551,M531-X553,IF(G527=60,M531-Z553,IF(G527=601,M531-AB553,IF(G527=65,M531-AD553,IF(G527=70,M531-AF553,IF(G527=75,M531-AH553,IF(G527=50,M531-AJ553))))))))</f>
        <v>1015.2</v>
      </c>
      <c r="K553" s="45">
        <f>K547</f>
        <v>2</v>
      </c>
      <c r="L553" s="47">
        <f>VLOOKUP($H:$H,型材表!$B$5:$I$448,4,0)</f>
        <v>0.214</v>
      </c>
      <c r="M553" s="46">
        <f t="shared" ref="M553:M562" si="88">J553*K553*L553/1000</f>
        <v>0.43450559999999999</v>
      </c>
      <c r="N553" s="72">
        <f>VLOOKUP($H:$H,型材表!$B$5:$I$448,7,0)</f>
        <v>0</v>
      </c>
      <c r="O553" s="46">
        <f t="shared" ref="O553:O562" si="89">N553*M553</f>
        <v>0</v>
      </c>
      <c r="P553" s="100">
        <f>VLOOKUP($H:$H,型材表!$B$5:$I$448,5,0)</f>
        <v>0.125</v>
      </c>
      <c r="Q553" s="100" t="str">
        <f>VLOOKUP($H:$H,型材表!$B$5:$I$448,6,0)</f>
        <v>非断桥隔热铝型材</v>
      </c>
      <c r="R553" s="49"/>
      <c r="S553" s="50"/>
      <c r="T553" s="459"/>
      <c r="U553" s="374" t="s">
        <v>1251</v>
      </c>
      <c r="V553" s="269">
        <f>99.9+84.9</f>
        <v>184.8</v>
      </c>
      <c r="X553" s="279">
        <f>99.9+84.9</f>
        <v>184.8</v>
      </c>
      <c r="Y553" s="265"/>
      <c r="Z553" s="279">
        <f>99.9+84.9</f>
        <v>184.8</v>
      </c>
      <c r="AA553" s="265"/>
      <c r="AB553" s="279">
        <f>99.9+84.9</f>
        <v>184.8</v>
      </c>
      <c r="AC553" s="265"/>
      <c r="AD553" s="279">
        <f>99.9+84.9</f>
        <v>184.8</v>
      </c>
      <c r="AE553" s="265"/>
      <c r="AF553" s="279">
        <f>105.4+90.4</f>
        <v>195.8</v>
      </c>
      <c r="AG553" s="265"/>
      <c r="AH553" s="279">
        <f>105.4+90.4</f>
        <v>195.8</v>
      </c>
      <c r="AI553" s="265"/>
      <c r="AJ553" s="279">
        <f>90.4+75.1</f>
        <v>165.5</v>
      </c>
      <c r="AK553" s="265"/>
    </row>
    <row r="554" spans="1:37" ht="13.5" customHeight="1" x14ac:dyDescent="0.15">
      <c r="A554" s="366">
        <v>13</v>
      </c>
      <c r="B554" s="534"/>
      <c r="C554" s="535"/>
      <c r="D554" s="535"/>
      <c r="E554" s="536"/>
      <c r="F554" s="47" t="str">
        <f>VLOOKUP($H:$H,型材表!$B$5:$I$448,2,0)</f>
        <v>压线</v>
      </c>
      <c r="G554" s="45" t="s">
        <v>39</v>
      </c>
      <c r="H554" s="207" t="str">
        <f>H553</f>
        <v>SN55Y001</v>
      </c>
      <c r="I554" s="207" t="s">
        <v>1242</v>
      </c>
      <c r="J554" s="214">
        <f>IF(G527=55,M532-V554,IF(G527=551,M532-X554,IF(G527=60,M532-Z554,IF(G527=601,M532-AB554,IF(G527=65,M532-AD554,IF(G527=70,M532-AF554,IF(G527=75,M532-AH554,IF(G527=50,M532-AJ554))))))))</f>
        <v>469</v>
      </c>
      <c r="K554" s="45">
        <v>2</v>
      </c>
      <c r="L554" s="47">
        <f>VLOOKUP($H:$H,型材表!$B$5:$I$448,4,0)</f>
        <v>0.214</v>
      </c>
      <c r="M554" s="46">
        <f t="shared" ref="M554:M557" si="90">J554*K554*L554/1000</f>
        <v>0.20073199999999999</v>
      </c>
      <c r="N554" s="72">
        <f>VLOOKUP($H:$H,型材表!$B$5:$I$448,7,0)</f>
        <v>0</v>
      </c>
      <c r="O554" s="46">
        <f t="shared" ref="O554:O557" si="91">N554*M554</f>
        <v>0</v>
      </c>
      <c r="P554" s="100">
        <f>VLOOKUP($H:$H,型材表!$B$5:$I$448,5,0)</f>
        <v>0.125</v>
      </c>
      <c r="Q554" s="100" t="str">
        <f>VLOOKUP($H:$H,型材表!$B$5:$I$448,6,0)</f>
        <v>非断桥隔热铝型材</v>
      </c>
      <c r="R554" s="210"/>
      <c r="S554" s="50"/>
      <c r="T554" s="459"/>
      <c r="U554" s="374" t="s">
        <v>1252</v>
      </c>
      <c r="V554" s="269">
        <f>8+23</f>
        <v>31</v>
      </c>
      <c r="X554" s="279">
        <f>8+23</f>
        <v>31</v>
      </c>
      <c r="Y554" s="265"/>
      <c r="Z554" s="279">
        <f>8+23</f>
        <v>31</v>
      </c>
      <c r="AA554" s="265"/>
      <c r="AB554" s="279">
        <f>8+23</f>
        <v>31</v>
      </c>
      <c r="AC554" s="265"/>
      <c r="AD554" s="279">
        <f>8+23</f>
        <v>31</v>
      </c>
      <c r="AE554" s="265"/>
      <c r="AF554" s="279">
        <f>8+23</f>
        <v>31</v>
      </c>
      <c r="AG554" s="265"/>
      <c r="AH554" s="279">
        <f>8+23</f>
        <v>31</v>
      </c>
      <c r="AI554" s="265"/>
      <c r="AJ554" s="279">
        <f>8+23.3</f>
        <v>31.3</v>
      </c>
      <c r="AK554" s="265"/>
    </row>
    <row r="555" spans="1:37" ht="13.5" customHeight="1" x14ac:dyDescent="0.15">
      <c r="A555" s="366">
        <v>14</v>
      </c>
      <c r="B555" s="534"/>
      <c r="C555" s="535"/>
      <c r="D555" s="535"/>
      <c r="E555" s="536"/>
      <c r="F555" s="47" t="str">
        <f>VLOOKUP($H:$H,型材表!$B$5:$I$448,2,0)</f>
        <v>压线</v>
      </c>
      <c r="G555" s="45" t="s">
        <v>39</v>
      </c>
      <c r="H555" s="207" t="str">
        <f t="shared" ref="H555:H557" si="92">H554</f>
        <v>SN55Y001</v>
      </c>
      <c r="I555" s="207" t="s">
        <v>1243</v>
      </c>
      <c r="J555" s="214">
        <f>IF(G527=55,M529-V555,IF(G527=551,M529-X555,IF(G527=60,M529-Z555,IF(G527=601,M529-AB555,IF(G527=65,M529-AD555,IF(G527=70,M529-AF555,IF(G527=75,M529-AH555,IF(G527=50,M529-AJ555))))))))</f>
        <v>1654</v>
      </c>
      <c r="K555" s="45">
        <v>2</v>
      </c>
      <c r="L555" s="47">
        <f>VLOOKUP($H:$H,型材表!$B$5:$I$448,4,0)</f>
        <v>0.214</v>
      </c>
      <c r="M555" s="46">
        <f t="shared" si="90"/>
        <v>0.70791199999999999</v>
      </c>
      <c r="N555" s="72">
        <f>VLOOKUP($H:$H,型材表!$B$5:$I$448,7,0)</f>
        <v>0</v>
      </c>
      <c r="O555" s="46">
        <f t="shared" si="91"/>
        <v>0</v>
      </c>
      <c r="P555" s="100">
        <f>VLOOKUP($H:$H,型材表!$B$5:$I$448,5,0)</f>
        <v>0.125</v>
      </c>
      <c r="Q555" s="100" t="str">
        <f>VLOOKUP($H:$H,型材表!$B$5:$I$448,6,0)</f>
        <v>非断桥隔热铝型材</v>
      </c>
      <c r="R555" s="210"/>
      <c r="S555" s="50"/>
      <c r="T555" s="459"/>
      <c r="U555" s="374" t="s">
        <v>1253</v>
      </c>
      <c r="V555" s="269">
        <f>23*2</f>
        <v>46</v>
      </c>
      <c r="X555" s="279">
        <f>23*2</f>
        <v>46</v>
      </c>
      <c r="Y555" s="265"/>
      <c r="Z555" s="279">
        <f>23*2</f>
        <v>46</v>
      </c>
      <c r="AA555" s="265"/>
      <c r="AB555" s="279">
        <f>23*2</f>
        <v>46</v>
      </c>
      <c r="AC555" s="265"/>
      <c r="AD555" s="279">
        <f>23*2</f>
        <v>46</v>
      </c>
      <c r="AE555" s="265"/>
      <c r="AF555" s="279">
        <f>23*2</f>
        <v>46</v>
      </c>
      <c r="AG555" s="265"/>
      <c r="AH555" s="279">
        <f>23*2</f>
        <v>46</v>
      </c>
      <c r="AI555" s="265"/>
      <c r="AJ555" s="279">
        <f>23.3*2</f>
        <v>46.6</v>
      </c>
      <c r="AK555" s="265"/>
    </row>
    <row r="556" spans="1:37" ht="13.5" customHeight="1" x14ac:dyDescent="0.15">
      <c r="A556" s="366">
        <v>15</v>
      </c>
      <c r="B556" s="534"/>
      <c r="C556" s="535"/>
      <c r="D556" s="535"/>
      <c r="E556" s="536"/>
      <c r="F556" s="47" t="str">
        <f>VLOOKUP($H:$H,型材表!$B$5:$I$448,2,0)</f>
        <v>压线</v>
      </c>
      <c r="G556" s="45" t="s">
        <v>40</v>
      </c>
      <c r="H556" s="207" t="str">
        <f t="shared" si="92"/>
        <v>SN55Y001</v>
      </c>
      <c r="I556" s="207" t="s">
        <v>1244</v>
      </c>
      <c r="J556" s="214">
        <f>IF(G527=55,M534-V556,IF(G527=551,M534-X556,IF(G527=60,M534-Z556,IF(G527=601,M534-AB556,IF(G527=65,M534-AD556,IF(G527=70,M534-AF556,IF(G527=75,M534-AH556,IF(G527=50,M534-AJ556))))))))</f>
        <v>515.20000000000005</v>
      </c>
      <c r="K556" s="45">
        <v>2</v>
      </c>
      <c r="L556" s="47">
        <f>VLOOKUP($H:$H,型材表!$B$5:$I$448,4,0)</f>
        <v>0.214</v>
      </c>
      <c r="M556" s="46">
        <f t="shared" si="90"/>
        <v>0.22050560000000002</v>
      </c>
      <c r="N556" s="72">
        <f>VLOOKUP($H:$H,型材表!$B$5:$I$448,7,0)</f>
        <v>0</v>
      </c>
      <c r="O556" s="46">
        <f t="shared" si="91"/>
        <v>0</v>
      </c>
      <c r="P556" s="100">
        <f>VLOOKUP($H:$H,型材表!$B$5:$I$448,5,0)</f>
        <v>0.125</v>
      </c>
      <c r="Q556" s="100" t="str">
        <f>VLOOKUP($H:$H,型材表!$B$5:$I$448,6,0)</f>
        <v>非断桥隔热铝型材</v>
      </c>
      <c r="R556" s="210"/>
      <c r="S556" s="50"/>
      <c r="T556" s="459"/>
      <c r="U556" s="374" t="s">
        <v>1254</v>
      </c>
      <c r="V556" s="269">
        <f>99.9+84.9</f>
        <v>184.8</v>
      </c>
      <c r="X556" s="279">
        <f>99.9+84.9</f>
        <v>184.8</v>
      </c>
      <c r="Y556" s="265"/>
      <c r="Z556" s="279">
        <f>99.9+84.9</f>
        <v>184.8</v>
      </c>
      <c r="AA556" s="265"/>
      <c r="AB556" s="279">
        <f>99.9+84.9</f>
        <v>184.8</v>
      </c>
      <c r="AC556" s="265"/>
      <c r="AD556" s="279">
        <f>99.9+84.9</f>
        <v>184.8</v>
      </c>
      <c r="AE556" s="265"/>
      <c r="AF556" s="279">
        <f>105.4+90.4</f>
        <v>195.8</v>
      </c>
      <c r="AG556" s="265"/>
      <c r="AH556" s="279">
        <f>105.4+90.4</f>
        <v>195.8</v>
      </c>
      <c r="AI556" s="265"/>
      <c r="AJ556" s="279">
        <f>90.4+75.1</f>
        <v>165.5</v>
      </c>
      <c r="AK556" s="265"/>
    </row>
    <row r="557" spans="1:37" ht="13.5" customHeight="1" x14ac:dyDescent="0.15">
      <c r="A557" s="366">
        <v>16</v>
      </c>
      <c r="B557" s="534"/>
      <c r="C557" s="535"/>
      <c r="D557" s="535"/>
      <c r="E557" s="536"/>
      <c r="F557" s="47" t="str">
        <f>VLOOKUP($H:$H,型材表!$B$5:$I$448,2,0)</f>
        <v>压线</v>
      </c>
      <c r="G557" s="45" t="s">
        <v>40</v>
      </c>
      <c r="H557" s="207" t="str">
        <f t="shared" si="92"/>
        <v>SN55Y001</v>
      </c>
      <c r="I557" s="207" t="s">
        <v>1245</v>
      </c>
      <c r="J557" s="214">
        <f>IF(G527=55,M534-V557,IF(G527=551,M534-X557,IF(G527=60,M534-Z557,IF(G527=601,M534-AB557,IF(G527=65,M534-AD557,IF(G527=70,M534-AF557,IF(G527=75,M534-AH557,IF(G527=50,M534-AJ557))))))))</f>
        <v>669</v>
      </c>
      <c r="K557" s="45">
        <v>2</v>
      </c>
      <c r="L557" s="47">
        <f>VLOOKUP($H:$H,型材表!$B$5:$I$448,4,0)</f>
        <v>0.214</v>
      </c>
      <c r="M557" s="46">
        <f t="shared" si="90"/>
        <v>0.28633199999999998</v>
      </c>
      <c r="N557" s="72">
        <f>VLOOKUP($H:$H,型材表!$B$5:$I$448,7,0)</f>
        <v>0</v>
      </c>
      <c r="O557" s="46">
        <f t="shared" si="91"/>
        <v>0</v>
      </c>
      <c r="P557" s="100">
        <f>VLOOKUP($H:$H,型材表!$B$5:$I$448,5,0)</f>
        <v>0.125</v>
      </c>
      <c r="Q557" s="100" t="str">
        <f>VLOOKUP($H:$H,型材表!$B$5:$I$448,6,0)</f>
        <v>非断桥隔热铝型材</v>
      </c>
      <c r="R557" s="210"/>
      <c r="S557" s="50"/>
      <c r="T557" s="459"/>
      <c r="U557" s="374" t="s">
        <v>1255</v>
      </c>
      <c r="V557" s="269">
        <f>8+23</f>
        <v>31</v>
      </c>
      <c r="X557" s="279">
        <f>8+23</f>
        <v>31</v>
      </c>
      <c r="Y557" s="265"/>
      <c r="Z557" s="279">
        <f>8+23</f>
        <v>31</v>
      </c>
      <c r="AA557" s="265"/>
      <c r="AB557" s="279">
        <f>8+23</f>
        <v>31</v>
      </c>
      <c r="AC557" s="265"/>
      <c r="AD557" s="279">
        <f>8+23</f>
        <v>31</v>
      </c>
      <c r="AE557" s="265"/>
      <c r="AF557" s="279">
        <f>8+23</f>
        <v>31</v>
      </c>
      <c r="AG557" s="265"/>
      <c r="AH557" s="279">
        <f>8+23</f>
        <v>31</v>
      </c>
      <c r="AI557" s="265"/>
      <c r="AJ557" s="279">
        <f>23.3+8</f>
        <v>31.3</v>
      </c>
      <c r="AK557" s="265"/>
    </row>
    <row r="558" spans="1:37" x14ac:dyDescent="0.15">
      <c r="A558" s="366">
        <v>17</v>
      </c>
      <c r="B558" s="534"/>
      <c r="C558" s="535"/>
      <c r="D558" s="535"/>
      <c r="E558" s="536"/>
      <c r="F558" s="47" t="str">
        <f>VLOOKUP($H:$H,型材表!$B$5:$I$448,2,0)</f>
        <v>压线</v>
      </c>
      <c r="G558" s="45" t="s">
        <v>144</v>
      </c>
      <c r="H558" s="207" t="str">
        <f>H553</f>
        <v>SN55Y001</v>
      </c>
      <c r="I558" s="207" t="s">
        <v>1246</v>
      </c>
      <c r="J558" s="214">
        <f>IF(G527=55,M535-V558,IF(G527=551,M535-X558,IF(G527=60,M535-Z558,IF(G527=601,M535-AB558,IF(G527=65,M535-AD558,IF(G527=70,M535-AF558,IF(G527=75,M535-AH558,IF(G527=50,M535-AJ558))))))))</f>
        <v>969</v>
      </c>
      <c r="K558" s="207">
        <v>2</v>
      </c>
      <c r="L558" s="47">
        <f>VLOOKUP($H:$H,型材表!$B$5:$I$448,4,0)</f>
        <v>0.214</v>
      </c>
      <c r="M558" s="46">
        <f t="shared" si="88"/>
        <v>0.41473199999999999</v>
      </c>
      <c r="N558" s="72">
        <f>VLOOKUP($H:$H,型材表!$B$5:$I$448,7,0)</f>
        <v>0</v>
      </c>
      <c r="O558" s="46">
        <f t="shared" si="89"/>
        <v>0</v>
      </c>
      <c r="P558" s="100">
        <f>VLOOKUP($H:$H,型材表!$B$5:$I$448,5,0)</f>
        <v>0.125</v>
      </c>
      <c r="Q558" s="100" t="str">
        <f>VLOOKUP($H:$H,型材表!$B$5:$I$448,6,0)</f>
        <v>非断桥隔热铝型材</v>
      </c>
      <c r="R558" s="210"/>
      <c r="S558" s="50"/>
      <c r="T558" s="459"/>
      <c r="U558" s="374" t="s">
        <v>1255</v>
      </c>
      <c r="V558" s="269">
        <f>23+8</f>
        <v>31</v>
      </c>
      <c r="X558" s="279">
        <f>23+8</f>
        <v>31</v>
      </c>
      <c r="Y558" s="265"/>
      <c r="Z558" s="279">
        <f>23+8</f>
        <v>31</v>
      </c>
      <c r="AA558" s="265"/>
      <c r="AB558" s="279">
        <f>23+8</f>
        <v>31</v>
      </c>
      <c r="AC558" s="265"/>
      <c r="AD558" s="279">
        <f>23+8</f>
        <v>31</v>
      </c>
      <c r="AE558" s="265"/>
      <c r="AF558" s="279">
        <f>23+8</f>
        <v>31</v>
      </c>
      <c r="AG558" s="265"/>
      <c r="AH558" s="279">
        <f>23+8</f>
        <v>31</v>
      </c>
      <c r="AI558" s="265"/>
      <c r="AJ558" s="279">
        <f>23.3+8</f>
        <v>31.3</v>
      </c>
      <c r="AK558" s="265"/>
    </row>
    <row r="559" spans="1:37" x14ac:dyDescent="0.15">
      <c r="A559" s="366">
        <v>18</v>
      </c>
      <c r="B559" s="534"/>
      <c r="C559" s="535"/>
      <c r="D559" s="535"/>
      <c r="E559" s="536"/>
      <c r="F559" s="47" t="str">
        <f>VLOOKUP($H:$H,型材表!$B$5:$I$448,2,0)</f>
        <v>角码</v>
      </c>
      <c r="G559" s="213" t="s">
        <v>446</v>
      </c>
      <c r="H559" s="207" t="str">
        <f>IF(G527=70,"SN55F003",IF(G527=75,"SN55F003",IF(G527=50,"SW50F002","SW55F001")))</f>
        <v>SW55F001</v>
      </c>
      <c r="I559" s="207" t="s">
        <v>1210</v>
      </c>
      <c r="J559" s="214">
        <f>IF(G527=55,V559,IF(G527=551,X559,IF(G527=60,Z559,IF(G527=601,AB559,IF(G527=65,AD559,IF(G527=70,AF559,IF(G527=75,AH559,IF(G527=50,AJ559))))))))</f>
        <v>32.200000000000003</v>
      </c>
      <c r="K559" s="207">
        <v>4</v>
      </c>
      <c r="L559" s="47">
        <f>VLOOKUP($H:$H,型材表!$B$5:$I$448,4,0)</f>
        <v>2.0950000000000002</v>
      </c>
      <c r="M559" s="46">
        <f t="shared" si="88"/>
        <v>0.26983600000000008</v>
      </c>
      <c r="N559" s="72">
        <f>VLOOKUP($H:$H,型材表!$B$5:$I$448,7,0)</f>
        <v>0</v>
      </c>
      <c r="O559" s="46">
        <f t="shared" si="89"/>
        <v>0</v>
      </c>
      <c r="P559" s="100">
        <f>VLOOKUP($H:$H,型材表!$B$5:$I$448,5,0)</f>
        <v>0.125</v>
      </c>
      <c r="Q559" s="100" t="str">
        <f>VLOOKUP($H:$H,型材表!$B$5:$I$448,6,0)</f>
        <v>阳极氧化铝型材</v>
      </c>
      <c r="R559" s="210"/>
      <c r="S559" s="50"/>
      <c r="T559" s="459"/>
      <c r="U559" s="374" t="s">
        <v>1256</v>
      </c>
      <c r="V559" s="259">
        <f>19.5-1+14.7-1</f>
        <v>32.200000000000003</v>
      </c>
      <c r="X559" s="264">
        <f>19.5-1+10.9-1</f>
        <v>28.4</v>
      </c>
      <c r="Y559" s="265"/>
      <c r="Z559" s="264">
        <f>19.5-1+14.7-1</f>
        <v>32.200000000000003</v>
      </c>
      <c r="AA559" s="265"/>
      <c r="AB559" s="264">
        <f>19.5-1+10.9-1</f>
        <v>28.4</v>
      </c>
      <c r="AC559" s="265"/>
      <c r="AD559" s="264">
        <f>19.5-1+14.7-1</f>
        <v>32.200000000000003</v>
      </c>
      <c r="AE559" s="265"/>
      <c r="AF559" s="264">
        <f>19.5-1+14.7-1</f>
        <v>32.200000000000003</v>
      </c>
      <c r="AG559" s="265"/>
      <c r="AH559" s="264">
        <f>19.5-1+14.7-1</f>
        <v>32.200000000000003</v>
      </c>
      <c r="AI559" s="265"/>
      <c r="AJ559" s="264">
        <f>15-1</f>
        <v>14</v>
      </c>
      <c r="AK559" s="265"/>
    </row>
    <row r="560" spans="1:37" s="229" customFormat="1" x14ac:dyDescent="0.15">
      <c r="A560" s="366">
        <v>19</v>
      </c>
      <c r="B560" s="534"/>
      <c r="C560" s="535"/>
      <c r="D560" s="535"/>
      <c r="E560" s="536"/>
      <c r="F560" s="47" t="str">
        <f>VLOOKUP($H:$H,型材表!$B$5:$I$448,2,0)</f>
        <v>角码</v>
      </c>
      <c r="G560" s="230" t="s">
        <v>447</v>
      </c>
      <c r="H560" s="222" t="str">
        <f>IF(G527=70,"SW70F001",IF(G527=75,"SW70F001",IF(G527=50,"SW50F003","SN55MF004")))</f>
        <v>SN55MF004</v>
      </c>
      <c r="I560" s="207" t="s">
        <v>995</v>
      </c>
      <c r="J560" s="214">
        <f>IF(G527=55,V560,IF(G527=551,X560,IF(G527=60,Z560,IF(G527=601,AB560,IF(G527=65,AD560,IF(G527=70,AF560,IF(G527=75,AH560,IF(G527=50,AJ560))))))))</f>
        <v>30.2</v>
      </c>
      <c r="K560" s="207">
        <v>4</v>
      </c>
      <c r="L560" s="47">
        <f>VLOOKUP($H:$H,型材表!$B$5:$I$448,4,0)</f>
        <v>2.996</v>
      </c>
      <c r="M560" s="46">
        <f t="shared" si="88"/>
        <v>0.36191679999999998</v>
      </c>
      <c r="N560" s="72">
        <f>VLOOKUP($H:$H,型材表!$B$5:$I$448,7,0)</f>
        <v>0</v>
      </c>
      <c r="O560" s="46">
        <f t="shared" si="89"/>
        <v>0</v>
      </c>
      <c r="P560" s="100">
        <f>VLOOKUP($H:$H,型材表!$B$5:$I$448,5,0)</f>
        <v>0.125</v>
      </c>
      <c r="Q560" s="100" t="str">
        <f>VLOOKUP($H:$H,型材表!$B$5:$I$448,6,0)</f>
        <v>阳极氧化铝型材</v>
      </c>
      <c r="R560" s="227"/>
      <c r="S560" s="228"/>
      <c r="T560" s="467"/>
      <c r="U560" s="375" t="s">
        <v>1257</v>
      </c>
      <c r="V560" s="266">
        <f>8-1+24.2-1</f>
        <v>30.2</v>
      </c>
      <c r="W560" s="266"/>
      <c r="X560" s="267">
        <f>4.2-1+24.2-1</f>
        <v>26.4</v>
      </c>
      <c r="Y560" s="268"/>
      <c r="Z560" s="267">
        <f>8-1+24.2-1</f>
        <v>30.2</v>
      </c>
      <c r="AA560" s="268"/>
      <c r="AB560" s="267">
        <f>4.2-1+24.2-1</f>
        <v>26.4</v>
      </c>
      <c r="AC560" s="268"/>
      <c r="AD560" s="267">
        <f>8-1+24.2-1</f>
        <v>30.2</v>
      </c>
      <c r="AE560" s="268"/>
      <c r="AF560" s="267">
        <f>7.3-1+24-1</f>
        <v>29.3</v>
      </c>
      <c r="AG560" s="268"/>
      <c r="AH560" s="267">
        <f>7.3-1+24-1</f>
        <v>29.3</v>
      </c>
      <c r="AI560" s="268"/>
      <c r="AJ560" s="267">
        <f>18.9-1</f>
        <v>17.899999999999999</v>
      </c>
      <c r="AK560" s="268"/>
    </row>
    <row r="561" spans="1:37" x14ac:dyDescent="0.15">
      <c r="A561" s="366">
        <v>20</v>
      </c>
      <c r="B561" s="534"/>
      <c r="C561" s="535"/>
      <c r="D561" s="535"/>
      <c r="E561" s="536"/>
      <c r="F561" s="47" t="str">
        <f>VLOOKUP($H:$H,型材表!$B$5:$I$448,2,0)</f>
        <v>中梃角码</v>
      </c>
      <c r="G561" s="51"/>
      <c r="H561" s="45" t="str">
        <f>IF(G527=50,"SW50F004","SN55F001")</f>
        <v>SN55F001</v>
      </c>
      <c r="I561" s="207" t="s">
        <v>1211</v>
      </c>
      <c r="J561" s="52">
        <f>IF(G527=55,V561,IF(G527=551,X561,IF(G527=60,Z561,IF(G527=601,AB561,IF(G527=65,AD561,IF(G527=70,AF561,IF(G527=75,AH561,IF(G527=50,AJ561))))))))</f>
        <v>18.5</v>
      </c>
      <c r="K561" s="45">
        <v>4</v>
      </c>
      <c r="L561" s="47">
        <f>VLOOKUP($H:$H,型材表!$B$5:$I$448,4,0)</f>
        <v>1.4730000000000001</v>
      </c>
      <c r="M561" s="46">
        <f t="shared" si="88"/>
        <v>0.10900200000000002</v>
      </c>
      <c r="N561" s="72">
        <f>VLOOKUP($H:$H,型材表!$B$5:$I$448,7,0)</f>
        <v>0</v>
      </c>
      <c r="O561" s="46">
        <f t="shared" si="89"/>
        <v>0</v>
      </c>
      <c r="P561" s="100">
        <f>VLOOKUP($H:$H,型材表!$B$5:$I$448,5,0)</f>
        <v>0.125</v>
      </c>
      <c r="Q561" s="100" t="str">
        <f>VLOOKUP($H:$H,型材表!$B$5:$I$448,6,0)</f>
        <v>阳极氧化铝型材</v>
      </c>
      <c r="R561" s="49"/>
      <c r="S561" s="50"/>
      <c r="T561" s="459"/>
      <c r="U561" s="374" t="s">
        <v>1258</v>
      </c>
      <c r="V561" s="259">
        <f>19.5-1</f>
        <v>18.5</v>
      </c>
      <c r="X561" s="264">
        <f>19.5-1</f>
        <v>18.5</v>
      </c>
      <c r="Y561" s="265"/>
      <c r="Z561" s="286">
        <f>19.5-1</f>
        <v>18.5</v>
      </c>
      <c r="AA561" s="265"/>
      <c r="AB561" s="264">
        <f>19.5-1</f>
        <v>18.5</v>
      </c>
      <c r="AC561" s="265"/>
      <c r="AD561" s="286">
        <f>19.5-1</f>
        <v>18.5</v>
      </c>
      <c r="AE561" s="265"/>
      <c r="AF561" s="286">
        <f>19.5-1</f>
        <v>18.5</v>
      </c>
      <c r="AG561" s="265"/>
      <c r="AH561" s="286">
        <f>19.5-1</f>
        <v>18.5</v>
      </c>
      <c r="AI561" s="265"/>
      <c r="AJ561" s="264">
        <f>13.2-1</f>
        <v>12.2</v>
      </c>
      <c r="AK561" s="265"/>
    </row>
    <row r="562" spans="1:37" x14ac:dyDescent="0.15">
      <c r="A562" s="366">
        <v>21</v>
      </c>
      <c r="B562" s="534"/>
      <c r="C562" s="535"/>
      <c r="D562" s="535"/>
      <c r="E562" s="536"/>
      <c r="F562" s="47" t="str">
        <f>VLOOKUP($H:$H,型材表!$B$5:$I$448,2,0)</f>
        <v>中梃角码</v>
      </c>
      <c r="G562" s="213"/>
      <c r="H562" s="207" t="str">
        <f>IF(G527=501,"SN55BF001",IF(G527=601,"SN55BF001",IF(G527=70,"SN70F001",IF(G527=75,"SN70F001","SN55F002"))))</f>
        <v>SN55F002</v>
      </c>
      <c r="I562" s="207" t="s">
        <v>1212</v>
      </c>
      <c r="J562" s="214">
        <f>IF(G527=55,V562,IF(G527=551,X562,IF(G527=60,Z562,IF(G527=601,AB562,IF(G527=65,AD562,IF(G527=70,AF562,IF(G527=75,AH562,IF(G527=50,AJ562))))))))</f>
        <v>13.5</v>
      </c>
      <c r="K562" s="207">
        <v>4</v>
      </c>
      <c r="L562" s="47">
        <f>VLOOKUP($H:$H,型材表!$B$5:$I$448,4,0)</f>
        <v>0.90400000000000003</v>
      </c>
      <c r="M562" s="46">
        <f t="shared" si="88"/>
        <v>4.8816000000000005E-2</v>
      </c>
      <c r="N562" s="72">
        <f>VLOOKUP($H:$H,型材表!$B$5:$I$448,7,0)</f>
        <v>0</v>
      </c>
      <c r="O562" s="46">
        <f t="shared" si="89"/>
        <v>0</v>
      </c>
      <c r="P562" s="100">
        <f>VLOOKUP($H:$H,型材表!$B$5:$I$448,5,0)</f>
        <v>0.125</v>
      </c>
      <c r="Q562" s="100" t="str">
        <f>VLOOKUP($H:$H,型材表!$B$5:$I$448,6,0)</f>
        <v>阳极氧化铝型材</v>
      </c>
      <c r="R562" s="210"/>
      <c r="S562" s="50"/>
      <c r="T562" s="459"/>
      <c r="U562" s="374" t="s">
        <v>1259</v>
      </c>
      <c r="V562" s="259">
        <f>14.5-1</f>
        <v>13.5</v>
      </c>
      <c r="X562" s="264">
        <f>10.7-1</f>
        <v>9.6999999999999993</v>
      </c>
      <c r="Y562" s="265"/>
      <c r="Z562" s="286">
        <f>14.5-1</f>
        <v>13.5</v>
      </c>
      <c r="AA562" s="265"/>
      <c r="AB562" s="264">
        <f>10.7-1</f>
        <v>9.6999999999999993</v>
      </c>
      <c r="AC562" s="265"/>
      <c r="AD562" s="286">
        <f>14.5-1</f>
        <v>13.5</v>
      </c>
      <c r="AE562" s="265"/>
      <c r="AF562" s="286">
        <f>14.5-1</f>
        <v>13.5</v>
      </c>
      <c r="AG562" s="265"/>
      <c r="AH562" s="286">
        <f>14.5-1</f>
        <v>13.5</v>
      </c>
      <c r="AI562" s="265"/>
      <c r="AJ562" s="264"/>
      <c r="AK562" s="265"/>
    </row>
    <row r="563" spans="1:37" x14ac:dyDescent="0.15">
      <c r="A563" s="366">
        <v>22</v>
      </c>
      <c r="B563" s="534"/>
      <c r="C563" s="535"/>
      <c r="D563" s="535"/>
      <c r="E563" s="536"/>
      <c r="F563" s="306"/>
      <c r="G563" s="213"/>
      <c r="H563" s="207"/>
      <c r="I563" s="207"/>
      <c r="J563" s="214"/>
      <c r="K563" s="207"/>
      <c r="L563" s="306"/>
      <c r="M563" s="208"/>
      <c r="N563" s="209"/>
      <c r="O563" s="208"/>
      <c r="P563" s="307"/>
      <c r="Q563" s="100"/>
      <c r="R563" s="210"/>
      <c r="S563" s="50"/>
      <c r="T563" s="459"/>
      <c r="X563" s="264"/>
      <c r="Y563" s="265"/>
      <c r="Z563" s="264"/>
      <c r="AA563" s="265"/>
      <c r="AB563" s="264"/>
      <c r="AC563" s="265"/>
      <c r="AD563" s="264"/>
      <c r="AE563" s="265"/>
      <c r="AF563" s="264"/>
      <c r="AG563" s="265"/>
      <c r="AH563" s="264"/>
      <c r="AI563" s="265"/>
      <c r="AJ563" s="264"/>
      <c r="AK563" s="265"/>
    </row>
    <row r="564" spans="1:37" x14ac:dyDescent="0.15">
      <c r="A564" s="366">
        <v>23</v>
      </c>
      <c r="B564" s="534"/>
      <c r="C564" s="535"/>
      <c r="D564" s="535"/>
      <c r="E564" s="536"/>
      <c r="F564" s="306"/>
      <c r="G564" s="213"/>
      <c r="H564" s="207"/>
      <c r="I564" s="207"/>
      <c r="J564" s="214"/>
      <c r="K564" s="207"/>
      <c r="L564" s="306"/>
      <c r="M564" s="208"/>
      <c r="N564" s="209"/>
      <c r="O564" s="208"/>
      <c r="P564" s="307"/>
      <c r="Q564" s="100"/>
      <c r="R564" s="210"/>
      <c r="S564" s="50"/>
      <c r="T564" s="459"/>
      <c r="X564" s="264"/>
      <c r="Y564" s="265"/>
      <c r="Z564" s="264"/>
      <c r="AA564" s="265"/>
      <c r="AB564" s="264"/>
      <c r="AC564" s="265"/>
      <c r="AD564" s="264"/>
      <c r="AE564" s="265"/>
      <c r="AF564" s="264"/>
      <c r="AG564" s="265"/>
      <c r="AH564" s="264"/>
      <c r="AI564" s="265"/>
      <c r="AJ564" s="264"/>
      <c r="AK564" s="265"/>
    </row>
    <row r="565" spans="1:37" x14ac:dyDescent="0.15">
      <c r="A565" s="366">
        <v>24</v>
      </c>
      <c r="B565" s="534"/>
      <c r="C565" s="535"/>
      <c r="D565" s="535"/>
      <c r="E565" s="536"/>
      <c r="F565" s="306"/>
      <c r="G565" s="213"/>
      <c r="H565" s="207"/>
      <c r="I565" s="207"/>
      <c r="J565" s="214"/>
      <c r="K565" s="207"/>
      <c r="L565" s="306"/>
      <c r="M565" s="208"/>
      <c r="N565" s="209"/>
      <c r="O565" s="208"/>
      <c r="P565" s="307"/>
      <c r="Q565" s="100"/>
      <c r="R565" s="210"/>
      <c r="S565" s="50"/>
      <c r="T565" s="459"/>
      <c r="X565" s="264"/>
      <c r="Y565" s="265"/>
      <c r="Z565" s="264"/>
      <c r="AA565" s="265"/>
      <c r="AB565" s="264"/>
      <c r="AC565" s="265"/>
      <c r="AD565" s="264"/>
      <c r="AE565" s="265"/>
      <c r="AF565" s="264"/>
      <c r="AG565" s="265"/>
      <c r="AH565" s="264"/>
      <c r="AI565" s="265"/>
      <c r="AJ565" s="264"/>
      <c r="AK565" s="265"/>
    </row>
    <row r="566" spans="1:37" x14ac:dyDescent="0.15">
      <c r="A566" s="366">
        <v>25</v>
      </c>
      <c r="B566" s="534"/>
      <c r="C566" s="535"/>
      <c r="D566" s="535"/>
      <c r="E566" s="536"/>
      <c r="F566" s="306"/>
      <c r="G566" s="213"/>
      <c r="H566" s="207"/>
      <c r="I566" s="207"/>
      <c r="J566" s="214"/>
      <c r="K566" s="207"/>
      <c r="L566" s="306"/>
      <c r="M566" s="208"/>
      <c r="N566" s="209"/>
      <c r="O566" s="208"/>
      <c r="P566" s="307"/>
      <c r="Q566" s="100"/>
      <c r="R566" s="210"/>
      <c r="S566" s="50"/>
      <c r="T566" s="459"/>
      <c r="X566" s="264"/>
      <c r="Y566" s="265"/>
      <c r="Z566" s="264"/>
      <c r="AA566" s="265"/>
      <c r="AB566" s="264"/>
      <c r="AC566" s="265"/>
      <c r="AD566" s="264"/>
      <c r="AE566" s="265"/>
      <c r="AF566" s="264"/>
      <c r="AG566" s="265"/>
      <c r="AH566" s="264"/>
      <c r="AI566" s="265"/>
      <c r="AJ566" s="264"/>
      <c r="AK566" s="265"/>
    </row>
    <row r="567" spans="1:37" x14ac:dyDescent="0.15">
      <c r="A567" s="366">
        <v>26</v>
      </c>
      <c r="B567" s="534"/>
      <c r="C567" s="535"/>
      <c r="D567" s="535"/>
      <c r="E567" s="536"/>
      <c r="F567" s="47"/>
      <c r="G567" s="213"/>
      <c r="H567" s="207"/>
      <c r="I567" s="207"/>
      <c r="J567" s="214"/>
      <c r="K567" s="207"/>
      <c r="L567" s="47"/>
      <c r="M567" s="46"/>
      <c r="N567" s="72"/>
      <c r="O567" s="46"/>
      <c r="P567" s="100"/>
      <c r="Q567" s="100"/>
      <c r="R567" s="210"/>
      <c r="S567" s="50"/>
      <c r="T567" s="459"/>
      <c r="X567" s="264"/>
      <c r="Y567" s="265"/>
      <c r="Z567" s="264"/>
      <c r="AA567" s="265"/>
      <c r="AB567" s="264"/>
      <c r="AC567" s="265"/>
      <c r="AD567" s="264"/>
      <c r="AE567" s="265"/>
      <c r="AF567" s="264"/>
      <c r="AG567" s="265"/>
      <c r="AH567" s="264"/>
      <c r="AI567" s="265"/>
      <c r="AJ567" s="264"/>
      <c r="AK567" s="265"/>
    </row>
    <row r="568" spans="1:37" s="229" customFormat="1" x14ac:dyDescent="0.15">
      <c r="A568" s="366">
        <v>27</v>
      </c>
      <c r="B568" s="537"/>
      <c r="C568" s="538"/>
      <c r="D568" s="538"/>
      <c r="E568" s="539"/>
      <c r="F568" s="221"/>
      <c r="G568" s="232"/>
      <c r="H568" s="233"/>
      <c r="I568" s="222"/>
      <c r="J568" s="234"/>
      <c r="K568" s="233"/>
      <c r="L568" s="221"/>
      <c r="M568" s="224"/>
      <c r="N568" s="225"/>
      <c r="O568" s="224"/>
      <c r="P568" s="226"/>
      <c r="Q568" s="226"/>
      <c r="R568" s="235"/>
      <c r="S568" s="228"/>
      <c r="T568" s="467"/>
      <c r="U568" s="375"/>
      <c r="V568" s="266"/>
      <c r="W568" s="266"/>
      <c r="X568" s="267"/>
      <c r="Y568" s="268"/>
      <c r="Z568" s="267"/>
      <c r="AA568" s="268"/>
      <c r="AB568" s="267"/>
      <c r="AC568" s="268"/>
      <c r="AD568" s="267"/>
      <c r="AE568" s="268"/>
      <c r="AF568" s="267"/>
      <c r="AG568" s="268"/>
      <c r="AH568" s="267"/>
      <c r="AI568" s="268"/>
      <c r="AJ568" s="267"/>
      <c r="AK568" s="268"/>
    </row>
    <row r="569" spans="1:37" s="229" customFormat="1" ht="13.5" customHeight="1" x14ac:dyDescent="0.15">
      <c r="A569" s="542" t="s">
        <v>975</v>
      </c>
      <c r="B569" s="543"/>
      <c r="C569" s="543"/>
      <c r="D569" s="543"/>
      <c r="E569" s="543"/>
      <c r="F569" s="543"/>
      <c r="G569" s="543"/>
      <c r="H569" s="543"/>
      <c r="I569" s="543"/>
      <c r="J569" s="543"/>
      <c r="K569" s="543"/>
      <c r="L569" s="544"/>
      <c r="M569" s="224">
        <f>SUMIF($Q$542:$Q$568,A569,$M$542:$M$568)</f>
        <v>16.247311400000001</v>
      </c>
      <c r="N569" s="353"/>
      <c r="O569" s="224"/>
      <c r="P569" s="354"/>
      <c r="Q569" s="355"/>
      <c r="R569" s="296"/>
      <c r="S569" s="228"/>
      <c r="T569" s="467"/>
      <c r="U569" s="375"/>
      <c r="V569" s="266"/>
      <c r="W569" s="266"/>
      <c r="X569" s="267"/>
      <c r="Y569" s="268"/>
      <c r="Z569" s="267"/>
      <c r="AA569" s="268"/>
      <c r="AB569" s="267"/>
      <c r="AC569" s="268"/>
      <c r="AD569" s="267"/>
      <c r="AE569" s="268"/>
      <c r="AF569" s="267"/>
      <c r="AG569" s="268"/>
      <c r="AH569" s="267"/>
      <c r="AI569" s="268"/>
      <c r="AJ569" s="267"/>
      <c r="AK569" s="268"/>
    </row>
    <row r="570" spans="1:37" s="229" customFormat="1" ht="13.5" customHeight="1" x14ac:dyDescent="0.15">
      <c r="A570" s="542" t="s">
        <v>976</v>
      </c>
      <c r="B570" s="543"/>
      <c r="C570" s="543"/>
      <c r="D570" s="543"/>
      <c r="E570" s="543"/>
      <c r="F570" s="543"/>
      <c r="G570" s="543"/>
      <c r="H570" s="543"/>
      <c r="I570" s="543"/>
      <c r="J570" s="543"/>
      <c r="K570" s="543"/>
      <c r="L570" s="544"/>
      <c r="M570" s="224">
        <f>SUMIF($Q$542:$Q$568,A570,$M$542:$M$568)</f>
        <v>2.2647192</v>
      </c>
      <c r="N570" s="353"/>
      <c r="O570" s="224"/>
      <c r="P570" s="354"/>
      <c r="Q570" s="355"/>
      <c r="R570" s="296"/>
      <c r="S570" s="228"/>
      <c r="T570" s="467"/>
      <c r="U570" s="375"/>
      <c r="V570" s="266"/>
      <c r="W570" s="266"/>
      <c r="X570" s="267"/>
      <c r="Y570" s="268"/>
      <c r="Z570" s="267"/>
      <c r="AA570" s="268"/>
      <c r="AB570" s="267"/>
      <c r="AC570" s="268"/>
      <c r="AD570" s="267"/>
      <c r="AE570" s="268"/>
      <c r="AF570" s="267"/>
      <c r="AG570" s="268"/>
      <c r="AH570" s="267"/>
      <c r="AI570" s="268"/>
      <c r="AJ570" s="267"/>
      <c r="AK570" s="268"/>
    </row>
    <row r="571" spans="1:37" s="229" customFormat="1" ht="13.5" customHeight="1" x14ac:dyDescent="0.15">
      <c r="A571" s="542" t="s">
        <v>977</v>
      </c>
      <c r="B571" s="543"/>
      <c r="C571" s="543"/>
      <c r="D571" s="543"/>
      <c r="E571" s="543"/>
      <c r="F571" s="543"/>
      <c r="G571" s="543"/>
      <c r="H571" s="543"/>
      <c r="I571" s="543"/>
      <c r="J571" s="543"/>
      <c r="K571" s="543"/>
      <c r="L571" s="544"/>
      <c r="M571" s="224">
        <f>SUMIF($Q$542:$Q$568,A571,$M$542:$M$568)</f>
        <v>0.78957080000000013</v>
      </c>
      <c r="N571" s="353"/>
      <c r="O571" s="224"/>
      <c r="P571" s="354"/>
      <c r="Q571" s="355"/>
      <c r="R571" s="296"/>
      <c r="S571" s="228"/>
      <c r="T571" s="467"/>
      <c r="U571" s="375"/>
      <c r="V571" s="266"/>
      <c r="W571" s="266"/>
      <c r="X571" s="267"/>
      <c r="Y571" s="268"/>
      <c r="Z571" s="267"/>
      <c r="AA571" s="268"/>
      <c r="AB571" s="267"/>
      <c r="AC571" s="268"/>
      <c r="AD571" s="267"/>
      <c r="AE571" s="268"/>
      <c r="AF571" s="267"/>
      <c r="AG571" s="268"/>
      <c r="AH571" s="267"/>
      <c r="AI571" s="268"/>
      <c r="AJ571" s="267"/>
      <c r="AK571" s="268"/>
    </row>
    <row r="572" spans="1:37" ht="13.5" customHeight="1" x14ac:dyDescent="0.15">
      <c r="A572" s="552"/>
      <c r="B572" s="557"/>
      <c r="C572" s="557"/>
      <c r="D572" s="553"/>
      <c r="E572" s="552" t="s">
        <v>48</v>
      </c>
      <c r="F572" s="557"/>
      <c r="G572" s="557"/>
      <c r="H572" s="557"/>
      <c r="I572" s="557"/>
      <c r="J572" s="557"/>
      <c r="K572" s="553"/>
      <c r="L572" s="62"/>
      <c r="M572" s="62">
        <f>SUM(M569:M571)</f>
        <v>19.301601400000003</v>
      </c>
      <c r="N572" s="63"/>
      <c r="O572" s="62">
        <f>SUM(O542:O568)</f>
        <v>0</v>
      </c>
      <c r="P572" s="63"/>
      <c r="Q572" s="337"/>
      <c r="R572" s="64"/>
      <c r="S572" s="64"/>
      <c r="T572" s="460"/>
      <c r="X572" s="264"/>
      <c r="Y572" s="265"/>
      <c r="Z572" s="264"/>
      <c r="AA572" s="265"/>
      <c r="AB572" s="264"/>
      <c r="AC572" s="265"/>
      <c r="AD572" s="264"/>
      <c r="AE572" s="265"/>
      <c r="AF572" s="264"/>
      <c r="AG572" s="265"/>
      <c r="AH572" s="264"/>
      <c r="AI572" s="265"/>
      <c r="AJ572" s="264"/>
      <c r="AK572" s="265"/>
    </row>
    <row r="573" spans="1:37" ht="24" x14ac:dyDescent="0.15">
      <c r="A573" s="65"/>
      <c r="B573" s="560" t="s">
        <v>49</v>
      </c>
      <c r="C573" s="561"/>
      <c r="D573" s="561"/>
      <c r="E573" s="562"/>
      <c r="F573" s="565" t="s">
        <v>26</v>
      </c>
      <c r="G573" s="566"/>
      <c r="H573" s="66" t="s">
        <v>1167</v>
      </c>
      <c r="I573" s="351" t="s">
        <v>1168</v>
      </c>
      <c r="J573" s="66" t="s">
        <v>50</v>
      </c>
      <c r="K573" s="66" t="s">
        <v>51</v>
      </c>
      <c r="L573" s="67" t="s">
        <v>30</v>
      </c>
      <c r="M573" s="66" t="s">
        <v>52</v>
      </c>
      <c r="N573" s="68" t="s">
        <v>53</v>
      </c>
      <c r="O573" s="68" t="s">
        <v>34</v>
      </c>
      <c r="P573" s="69" t="s">
        <v>35</v>
      </c>
      <c r="Q573" s="42"/>
      <c r="R573" s="67"/>
      <c r="S573" s="67"/>
      <c r="T573" s="461"/>
      <c r="V573" s="270" t="s">
        <v>352</v>
      </c>
      <c r="W573" s="270" t="s">
        <v>353</v>
      </c>
      <c r="X573" s="271" t="s">
        <v>352</v>
      </c>
      <c r="Y573" s="272" t="s">
        <v>353</v>
      </c>
      <c r="Z573" s="271" t="s">
        <v>352</v>
      </c>
      <c r="AA573" s="272" t="s">
        <v>353</v>
      </c>
      <c r="AB573" s="271" t="s">
        <v>352</v>
      </c>
      <c r="AC573" s="272" t="s">
        <v>353</v>
      </c>
      <c r="AD573" s="271" t="s">
        <v>352</v>
      </c>
      <c r="AE573" s="272" t="s">
        <v>353</v>
      </c>
      <c r="AF573" s="271" t="s">
        <v>352</v>
      </c>
      <c r="AG573" s="272" t="s">
        <v>353</v>
      </c>
      <c r="AH573" s="271" t="s">
        <v>352</v>
      </c>
      <c r="AI573" s="272" t="s">
        <v>353</v>
      </c>
      <c r="AJ573" s="271" t="s">
        <v>352</v>
      </c>
      <c r="AK573" s="272" t="s">
        <v>353</v>
      </c>
    </row>
    <row r="574" spans="1:37" x14ac:dyDescent="0.15">
      <c r="A574" s="302">
        <v>1</v>
      </c>
      <c r="B574" s="542" t="s">
        <v>133</v>
      </c>
      <c r="C574" s="543"/>
      <c r="D574" s="543"/>
      <c r="E574" s="544"/>
      <c r="F574" s="545" t="s">
        <v>55</v>
      </c>
      <c r="G574" s="547"/>
      <c r="H574" s="45" t="s">
        <v>1260</v>
      </c>
      <c r="I574" s="207" t="s">
        <v>1261</v>
      </c>
      <c r="J574" s="46">
        <f>IF(G527=55,M534-V574,IF(G527=551,M534-X574,IF(G527=60,M534-Z574,IF(G527=601,M534-AB574,IF(G527=65,M534-AD574,IF(G527=70,M534-AF574,IF(G527=75,M534-AH574,IF(G527=50,M534-AJ574))))))))</f>
        <v>495.2</v>
      </c>
      <c r="K574" s="70">
        <f>IF(G527=55,M531-W574,IF(G527=551,M531-Y574,IF(G527=60,M531-AA574,IF(G527=601,M531-AC574,IF(G527=65,M531-AE574,IF(G527=70,M531-AG574,IF(G527=75,M531-AI574,IF(G527=50,M531-AK574))))))))</f>
        <v>995.2</v>
      </c>
      <c r="L574" s="70">
        <v>1</v>
      </c>
      <c r="M574" s="46">
        <f>J574*K574*L574/1000000</f>
        <v>0.49282304000000005</v>
      </c>
      <c r="N574" s="46"/>
      <c r="O574" s="46">
        <f>N574*M574</f>
        <v>0</v>
      </c>
      <c r="P574" s="71"/>
      <c r="Q574" s="71"/>
      <c r="R574" s="72"/>
      <c r="S574" s="72"/>
      <c r="T574" s="462" t="s">
        <v>1621</v>
      </c>
      <c r="U574" s="374" t="s">
        <v>1627</v>
      </c>
      <c r="V574" s="259">
        <f t="shared" ref="V574:AE574" si="93">109.9+94.9</f>
        <v>204.8</v>
      </c>
      <c r="W574" s="259">
        <f t="shared" si="93"/>
        <v>204.8</v>
      </c>
      <c r="X574" s="286">
        <f t="shared" si="93"/>
        <v>204.8</v>
      </c>
      <c r="Y574" s="304">
        <f t="shared" si="93"/>
        <v>204.8</v>
      </c>
      <c r="Z574" s="286">
        <f t="shared" si="93"/>
        <v>204.8</v>
      </c>
      <c r="AA574" s="304">
        <f t="shared" si="93"/>
        <v>204.8</v>
      </c>
      <c r="AB574" s="286">
        <f t="shared" si="93"/>
        <v>204.8</v>
      </c>
      <c r="AC574" s="304">
        <f t="shared" si="93"/>
        <v>204.8</v>
      </c>
      <c r="AD574" s="286">
        <f t="shared" si="93"/>
        <v>204.8</v>
      </c>
      <c r="AE574" s="304">
        <f t="shared" si="93"/>
        <v>204.8</v>
      </c>
      <c r="AF574" s="286">
        <f>117.4+102.4</f>
        <v>219.8</v>
      </c>
      <c r="AG574" s="304">
        <f>117.4+102.4</f>
        <v>219.8</v>
      </c>
      <c r="AH574" s="286">
        <f>117.4+102.4</f>
        <v>219.8</v>
      </c>
      <c r="AI574" s="304">
        <f>117.4+102.4</f>
        <v>219.8</v>
      </c>
      <c r="AJ574" s="259">
        <f>98.4+83.1</f>
        <v>181.5</v>
      </c>
      <c r="AK574" s="318">
        <f>98.4+83.1</f>
        <v>181.5</v>
      </c>
    </row>
    <row r="575" spans="1:37" x14ac:dyDescent="0.15">
      <c r="A575" s="238">
        <v>2</v>
      </c>
      <c r="B575" s="542" t="s">
        <v>134</v>
      </c>
      <c r="C575" s="543"/>
      <c r="D575" s="543"/>
      <c r="E575" s="544"/>
      <c r="F575" s="545" t="s">
        <v>135</v>
      </c>
      <c r="G575" s="547"/>
      <c r="H575" s="45" t="s">
        <v>1262</v>
      </c>
      <c r="I575" s="207" t="s">
        <v>1264</v>
      </c>
      <c r="J575" s="208">
        <f>IF(G527=55,M534-V575,IF(G527=551,M534-X575,IF(G527=60,M534-Z575,IF(G527=601,M534-AB575,IF(G527=65,M534-AD575,IF(G527=70,M534-AF575,IF(G527=75,M534-AH575,IF(G527=50,M534-AJ575))))))))</f>
        <v>647</v>
      </c>
      <c r="K575" s="239">
        <f>IF(G527=55,M532-W575,IF(G527=551,M532-Y575,IF(G527=60,M532-AA575,IF(G527=601,M532-AC575,IF(G527=65,M532-AE575,IF(G527=70,M532-AG575,IF(G527=75,M532-AI575,IF(G527=50,M532-AK575))))))))</f>
        <v>447</v>
      </c>
      <c r="L575" s="239">
        <v>1</v>
      </c>
      <c r="M575" s="46">
        <f>J575*K575*L575/1000000</f>
        <v>0.28920899999999999</v>
      </c>
      <c r="N575" s="208"/>
      <c r="O575" s="46">
        <f>N575*M575</f>
        <v>0</v>
      </c>
      <c r="P575" s="240"/>
      <c r="Q575" s="71"/>
      <c r="R575" s="209"/>
      <c r="S575" s="209"/>
      <c r="T575" s="462" t="s">
        <v>1622</v>
      </c>
      <c r="U575" s="374" t="s">
        <v>1628</v>
      </c>
      <c r="V575" s="259">
        <f t="shared" ref="V575:AE575" si="94">18+35</f>
        <v>53</v>
      </c>
      <c r="W575" s="259">
        <f t="shared" si="94"/>
        <v>53</v>
      </c>
      <c r="X575" s="286">
        <f t="shared" si="94"/>
        <v>53</v>
      </c>
      <c r="Y575" s="304">
        <f t="shared" si="94"/>
        <v>53</v>
      </c>
      <c r="Z575" s="286">
        <f t="shared" si="94"/>
        <v>53</v>
      </c>
      <c r="AA575" s="304">
        <f t="shared" si="94"/>
        <v>53</v>
      </c>
      <c r="AB575" s="286">
        <f t="shared" si="94"/>
        <v>53</v>
      </c>
      <c r="AC575" s="304">
        <f t="shared" si="94"/>
        <v>53</v>
      </c>
      <c r="AD575" s="286">
        <f t="shared" si="94"/>
        <v>53</v>
      </c>
      <c r="AE575" s="304">
        <f t="shared" si="94"/>
        <v>53</v>
      </c>
      <c r="AF575" s="286">
        <f>20+35</f>
        <v>55</v>
      </c>
      <c r="AG575" s="304">
        <f>20+35</f>
        <v>55</v>
      </c>
      <c r="AH575" s="286">
        <f>20+35</f>
        <v>55</v>
      </c>
      <c r="AI575" s="304">
        <f>20+35</f>
        <v>55</v>
      </c>
      <c r="AJ575" s="264">
        <f>16+31.3</f>
        <v>47.3</v>
      </c>
      <c r="AK575" s="318">
        <f>16+31.3</f>
        <v>47.3</v>
      </c>
    </row>
    <row r="576" spans="1:37" x14ac:dyDescent="0.15">
      <c r="A576" s="377">
        <v>3</v>
      </c>
      <c r="B576" s="542" t="s">
        <v>134</v>
      </c>
      <c r="C576" s="543"/>
      <c r="D576" s="543"/>
      <c r="E576" s="544"/>
      <c r="F576" s="545" t="s">
        <v>145</v>
      </c>
      <c r="G576" s="547"/>
      <c r="H576" s="45" t="s">
        <v>1263</v>
      </c>
      <c r="I576" s="207" t="s">
        <v>1265</v>
      </c>
      <c r="J576" s="45">
        <f>IF(G527=55,M535-V576,IF(G527=551,M535-X576,IF(G527=60,M535-Z576,IF(G527=601,M535-AB576,IF(G527=65,M535-AD576,IF(G527=70,M535-AF576,IF(G527=75,M535-AH576,IF(G527=50,M535-AJ576))))))))</f>
        <v>947</v>
      </c>
      <c r="K576" s="45">
        <f>IF(G527=55,M529-W576,IF(G527=551,M529-Y576,IF(G527=60,M529-AA576,IF(G527=601,M529-AC576,IF(G527=65,M529-AE576,IF(G527=70,M529-AG576,IF(G527=75,M529-AI576,IF(G527=50,M529-AK576))))))))</f>
        <v>1630</v>
      </c>
      <c r="L576" s="70">
        <v>1</v>
      </c>
      <c r="M576" s="46">
        <f>J576*K576*L576/1000000</f>
        <v>1.5436099999999999</v>
      </c>
      <c r="N576" s="46"/>
      <c r="O576" s="46">
        <f>N576*M576</f>
        <v>0</v>
      </c>
      <c r="P576" s="71"/>
      <c r="Q576" s="71"/>
      <c r="R576" s="72"/>
      <c r="S576" s="72"/>
      <c r="T576" s="462" t="s">
        <v>1622</v>
      </c>
      <c r="U576" s="374" t="s">
        <v>1623</v>
      </c>
      <c r="V576" s="259">
        <f>18+35</f>
        <v>53</v>
      </c>
      <c r="W576" s="259">
        <f>35*2</f>
        <v>70</v>
      </c>
      <c r="X576" s="286">
        <f>18+35</f>
        <v>53</v>
      </c>
      <c r="Y576" s="304">
        <f>35*2</f>
        <v>70</v>
      </c>
      <c r="Z576" s="286">
        <f>18+35</f>
        <v>53</v>
      </c>
      <c r="AA576" s="304">
        <f>35*2</f>
        <v>70</v>
      </c>
      <c r="AB576" s="286">
        <f>18+35</f>
        <v>53</v>
      </c>
      <c r="AC576" s="304">
        <f>35*2</f>
        <v>70</v>
      </c>
      <c r="AD576" s="286">
        <f>18+35</f>
        <v>53</v>
      </c>
      <c r="AE576" s="304">
        <f>35*2</f>
        <v>70</v>
      </c>
      <c r="AF576" s="286">
        <f>20+35</f>
        <v>55</v>
      </c>
      <c r="AG576" s="265">
        <f>35*2</f>
        <v>70</v>
      </c>
      <c r="AH576" s="286">
        <f>20+35</f>
        <v>55</v>
      </c>
      <c r="AI576" s="265">
        <f>35*2</f>
        <v>70</v>
      </c>
      <c r="AJ576" s="264">
        <f>16+31.3</f>
        <v>47.3</v>
      </c>
      <c r="AK576" s="265">
        <f>31.3*2</f>
        <v>62.6</v>
      </c>
    </row>
    <row r="577" spans="1:37" x14ac:dyDescent="0.15">
      <c r="A577" s="414"/>
      <c r="B577" s="446"/>
      <c r="C577" s="447"/>
      <c r="D577" s="447"/>
      <c r="E577" s="448"/>
      <c r="F577" s="434"/>
      <c r="G577" s="436"/>
      <c r="H577" s="207"/>
      <c r="I577" s="207"/>
      <c r="J577" s="207"/>
      <c r="K577" s="207"/>
      <c r="L577" s="239"/>
      <c r="M577" s="208"/>
      <c r="N577" s="208"/>
      <c r="O577" s="208"/>
      <c r="P577" s="240"/>
      <c r="Q577" s="240"/>
      <c r="R577" s="209"/>
      <c r="S577" s="209"/>
      <c r="T577" s="462"/>
      <c r="X577" s="286"/>
      <c r="Y577" s="288"/>
      <c r="Z577" s="286"/>
      <c r="AA577" s="288"/>
      <c r="AB577" s="288"/>
      <c r="AC577" s="288"/>
      <c r="AD577" s="288"/>
      <c r="AE577" s="288"/>
      <c r="AF577" s="288"/>
      <c r="AG577" s="265"/>
      <c r="AH577" s="288"/>
      <c r="AI577" s="265"/>
      <c r="AJ577" s="265"/>
      <c r="AK577" s="265"/>
    </row>
    <row r="578" spans="1:37" x14ac:dyDescent="0.15">
      <c r="A578" s="414"/>
      <c r="B578" s="446"/>
      <c r="C578" s="447"/>
      <c r="D578" s="447"/>
      <c r="E578" s="448"/>
      <c r="F578" s="434"/>
      <c r="G578" s="436"/>
      <c r="H578" s="207"/>
      <c r="I578" s="207"/>
      <c r="J578" s="207"/>
      <c r="K578" s="207"/>
      <c r="L578" s="239"/>
      <c r="M578" s="208"/>
      <c r="N578" s="208"/>
      <c r="O578" s="208"/>
      <c r="P578" s="240"/>
      <c r="Q578" s="240"/>
      <c r="R578" s="209"/>
      <c r="S578" s="209"/>
      <c r="T578" s="462"/>
      <c r="X578" s="286"/>
      <c r="Y578" s="288"/>
      <c r="Z578" s="286"/>
      <c r="AA578" s="288"/>
      <c r="AB578" s="288"/>
      <c r="AC578" s="288"/>
      <c r="AD578" s="288"/>
      <c r="AE578" s="288"/>
      <c r="AF578" s="288"/>
      <c r="AG578" s="265"/>
      <c r="AH578" s="288"/>
      <c r="AI578" s="265"/>
      <c r="AJ578" s="265"/>
      <c r="AK578" s="265"/>
    </row>
    <row r="579" spans="1:37" x14ac:dyDescent="0.15">
      <c r="A579" s="302"/>
      <c r="B579" s="542"/>
      <c r="C579" s="543"/>
      <c r="D579" s="543"/>
      <c r="E579" s="544"/>
      <c r="F579" s="545"/>
      <c r="G579" s="547"/>
      <c r="H579" s="45"/>
      <c r="I579" s="207"/>
      <c r="J579" s="46"/>
      <c r="K579" s="302"/>
      <c r="L579" s="70"/>
      <c r="M579" s="46"/>
      <c r="N579" s="46"/>
      <c r="O579" s="46"/>
      <c r="P579" s="48"/>
      <c r="Q579" s="48"/>
      <c r="R579" s="73"/>
      <c r="S579" s="73"/>
      <c r="T579" s="463"/>
      <c r="X579" s="264"/>
      <c r="Y579" s="265"/>
      <c r="Z579" s="264"/>
      <c r="AA579" s="265"/>
    </row>
    <row r="580" spans="1:37" x14ac:dyDescent="0.15">
      <c r="A580" s="74"/>
      <c r="B580" s="552"/>
      <c r="C580" s="557"/>
      <c r="D580" s="557"/>
      <c r="E580" s="553"/>
      <c r="F580" s="554" t="s">
        <v>56</v>
      </c>
      <c r="G580" s="554"/>
      <c r="H580" s="554"/>
      <c r="I580" s="579"/>
      <c r="J580" s="570"/>
      <c r="K580" s="570"/>
      <c r="L580" s="554"/>
      <c r="M580" s="62">
        <f>SUM(M574:M579)</f>
        <v>2.32564204</v>
      </c>
      <c r="N580" s="300"/>
      <c r="O580" s="62">
        <f>SUM(O574:O579)</f>
        <v>0</v>
      </c>
      <c r="P580" s="63" t="s">
        <v>57</v>
      </c>
      <c r="Q580" s="337"/>
      <c r="R580" s="64"/>
      <c r="S580" s="64"/>
      <c r="T580" s="460"/>
    </row>
    <row r="581" spans="1:37" ht="24" x14ac:dyDescent="0.15">
      <c r="A581" s="65"/>
      <c r="B581" s="560" t="s">
        <v>58</v>
      </c>
      <c r="C581" s="561"/>
      <c r="D581" s="561"/>
      <c r="E581" s="562"/>
      <c r="F581" s="565" t="s">
        <v>26</v>
      </c>
      <c r="G581" s="566"/>
      <c r="H581" s="66" t="s">
        <v>59</v>
      </c>
      <c r="I581" s="351"/>
      <c r="J581" s="66" t="s">
        <v>60</v>
      </c>
      <c r="K581" s="66" t="s">
        <v>6</v>
      </c>
      <c r="L581" s="67" t="s">
        <v>61</v>
      </c>
      <c r="M581" s="66" t="s">
        <v>30</v>
      </c>
      <c r="N581" s="68" t="s">
        <v>62</v>
      </c>
      <c r="O581" s="68" t="s">
        <v>34</v>
      </c>
      <c r="P581" s="69" t="s">
        <v>57</v>
      </c>
      <c r="Q581" s="42"/>
      <c r="R581" s="67"/>
      <c r="S581" s="67"/>
      <c r="T581" s="461"/>
    </row>
    <row r="582" spans="1:37" ht="25.5" customHeight="1" x14ac:dyDescent="0.15">
      <c r="A582" s="302">
        <v>1</v>
      </c>
      <c r="B582" s="542"/>
      <c r="C582" s="543"/>
      <c r="D582" s="543"/>
      <c r="E582" s="544"/>
      <c r="F582" s="545" t="s">
        <v>872</v>
      </c>
      <c r="G582" s="547"/>
      <c r="H582" s="45"/>
      <c r="I582" s="207"/>
      <c r="J582" s="45"/>
      <c r="K582" s="46" t="str">
        <f>VLOOKUP($F:$F,材料单价表!$B$3:$G$42,4,0)</f>
        <v>套</v>
      </c>
      <c r="L582" s="72"/>
      <c r="M582" s="46">
        <v>1</v>
      </c>
      <c r="N582" s="46">
        <f>VLOOKUP($F:$F,材料单价表!$B$3:$G$42,5,0)</f>
        <v>0</v>
      </c>
      <c r="O582" s="46">
        <f t="shared" ref="O582" si="95">N582*M582</f>
        <v>0</v>
      </c>
      <c r="P582" s="48"/>
      <c r="Q582" s="48"/>
      <c r="R582" s="73"/>
      <c r="S582" s="73"/>
      <c r="T582" s="463"/>
    </row>
    <row r="583" spans="1:37" x14ac:dyDescent="0.15">
      <c r="A583" s="74"/>
      <c r="B583" s="552"/>
      <c r="C583" s="557"/>
      <c r="D583" s="557"/>
      <c r="E583" s="553"/>
      <c r="F583" s="554" t="s">
        <v>64</v>
      </c>
      <c r="G583" s="554"/>
      <c r="H583" s="554"/>
      <c r="I583" s="579"/>
      <c r="J583" s="570"/>
      <c r="K583" s="570"/>
      <c r="L583" s="554"/>
      <c r="M583" s="62">
        <f>M582</f>
        <v>1</v>
      </c>
      <c r="N583" s="300"/>
      <c r="O583" s="62">
        <f>SUM(O582:O582)</f>
        <v>0</v>
      </c>
      <c r="P583" s="63" t="s">
        <v>57</v>
      </c>
      <c r="Q583" s="337"/>
      <c r="R583" s="64"/>
      <c r="S583" s="64"/>
      <c r="T583" s="460"/>
    </row>
    <row r="584" spans="1:37" ht="24" x14ac:dyDescent="0.15">
      <c r="A584" s="65"/>
      <c r="B584" s="560" t="s">
        <v>65</v>
      </c>
      <c r="C584" s="561"/>
      <c r="D584" s="561"/>
      <c r="E584" s="562"/>
      <c r="F584" s="565" t="s">
        <v>26</v>
      </c>
      <c r="G584" s="566"/>
      <c r="H584" s="66" t="s">
        <v>59</v>
      </c>
      <c r="I584" s="351"/>
      <c r="J584" s="66" t="s">
        <v>60</v>
      </c>
      <c r="K584" s="66" t="s">
        <v>6</v>
      </c>
      <c r="L584" s="67" t="s">
        <v>61</v>
      </c>
      <c r="M584" s="66" t="s">
        <v>30</v>
      </c>
      <c r="N584" s="68" t="s">
        <v>62</v>
      </c>
      <c r="O584" s="68" t="s">
        <v>34</v>
      </c>
      <c r="P584" s="69" t="s">
        <v>57</v>
      </c>
      <c r="Q584" s="42"/>
      <c r="R584" s="67"/>
      <c r="S584" s="67"/>
      <c r="T584" s="461"/>
    </row>
    <row r="585" spans="1:37" ht="13.5" customHeight="1" x14ac:dyDescent="0.15">
      <c r="A585" s="76">
        <v>1</v>
      </c>
      <c r="B585" s="542"/>
      <c r="C585" s="543"/>
      <c r="D585" s="543"/>
      <c r="E585" s="544"/>
      <c r="F585" s="558" t="s">
        <v>66</v>
      </c>
      <c r="G585" s="559"/>
      <c r="H585" s="78"/>
      <c r="I585" s="352"/>
      <c r="J585" s="77"/>
      <c r="K585" s="46" t="str">
        <f>VLOOKUP($F:$F,材料单价表!$B$3:$G$42,4,0)</f>
        <v>m</v>
      </c>
      <c r="L585" s="46"/>
      <c r="M585" s="80">
        <f>M540</f>
        <v>7.2</v>
      </c>
      <c r="N585" s="46">
        <f>VLOOKUP($F:$F,材料单价表!$B$3:$G$42,5,0)</f>
        <v>0</v>
      </c>
      <c r="O585" s="46">
        <f>N585*M585</f>
        <v>0</v>
      </c>
      <c r="P585" s="48"/>
      <c r="Q585" s="59"/>
      <c r="R585" s="81"/>
      <c r="S585" s="79"/>
      <c r="T585" s="464"/>
    </row>
    <row r="586" spans="1:37" ht="15.75" customHeight="1" x14ac:dyDescent="0.15">
      <c r="A586" s="76">
        <v>2</v>
      </c>
      <c r="B586" s="542"/>
      <c r="C586" s="543"/>
      <c r="D586" s="543"/>
      <c r="E586" s="544"/>
      <c r="F586" s="558" t="s">
        <v>68</v>
      </c>
      <c r="G586" s="559"/>
      <c r="H586" s="78" t="s">
        <v>67</v>
      </c>
      <c r="I586" s="352"/>
      <c r="J586" s="77"/>
      <c r="K586" s="46" t="str">
        <f>VLOOKUP($F:$F,材料单价表!$B$3:$G$42,4,0)</f>
        <v>m</v>
      </c>
      <c r="L586" s="46"/>
      <c r="M586" s="80">
        <f>(J553*K553+J558*K558+J554*K554+J555*K555+J556*K556+J557*K557)/1000*2</f>
        <v>21.165599999999998</v>
      </c>
      <c r="N586" s="46">
        <f>VLOOKUP($F:$F,材料单价表!$B$3:$G$42,5,0)</f>
        <v>0</v>
      </c>
      <c r="O586" s="46">
        <f t="shared" ref="O586:O591" si="96">N586*M586</f>
        <v>0</v>
      </c>
      <c r="P586" s="48"/>
      <c r="Q586" s="59"/>
      <c r="R586" s="81"/>
      <c r="S586" s="79"/>
      <c r="T586" s="464"/>
      <c r="V586" s="104"/>
      <c r="W586" s="104"/>
    </row>
    <row r="587" spans="1:37" ht="13.5" customHeight="1" x14ac:dyDescent="0.15">
      <c r="A587" s="76">
        <v>3</v>
      </c>
      <c r="B587" s="542"/>
      <c r="C587" s="543"/>
      <c r="D587" s="543"/>
      <c r="E587" s="544"/>
      <c r="F587" s="558" t="s">
        <v>68</v>
      </c>
      <c r="G587" s="559"/>
      <c r="H587" s="78" t="s">
        <v>69</v>
      </c>
      <c r="I587" s="352"/>
      <c r="J587" s="77"/>
      <c r="K587" s="46" t="str">
        <f>VLOOKUP($F:$F,材料单价表!$B$3:$G$42,4,0)</f>
        <v>m</v>
      </c>
      <c r="L587" s="46"/>
      <c r="M587" s="80">
        <f>M540</f>
        <v>7.2</v>
      </c>
      <c r="N587" s="46">
        <f>VLOOKUP($F:$F,材料单价表!$B$3:$G$42,5,0)</f>
        <v>0</v>
      </c>
      <c r="O587" s="46">
        <f t="shared" si="96"/>
        <v>0</v>
      </c>
      <c r="P587" s="48"/>
      <c r="Q587" s="59"/>
      <c r="R587" s="81"/>
      <c r="S587" s="79"/>
      <c r="T587" s="464"/>
      <c r="V587" s="104"/>
      <c r="W587" s="104"/>
    </row>
    <row r="588" spans="1:37" ht="13.5" customHeight="1" x14ac:dyDescent="0.15">
      <c r="A588" s="76">
        <v>4</v>
      </c>
      <c r="B588" s="542"/>
      <c r="C588" s="543"/>
      <c r="D588" s="543"/>
      <c r="E588" s="544"/>
      <c r="F588" s="558" t="s">
        <v>68</v>
      </c>
      <c r="G588" s="559"/>
      <c r="H588" s="78" t="s">
        <v>70</v>
      </c>
      <c r="I588" s="352"/>
      <c r="J588" s="77"/>
      <c r="K588" s="46" t="str">
        <f>VLOOKUP($F:$F,材料单价表!$B$3:$G$42,4,0)</f>
        <v>m</v>
      </c>
      <c r="L588" s="46"/>
      <c r="M588" s="80">
        <f>M540</f>
        <v>7.2</v>
      </c>
      <c r="N588" s="46">
        <f>VLOOKUP($F:$F,材料单价表!$B$3:$G$42,5,0)</f>
        <v>0</v>
      </c>
      <c r="O588" s="46">
        <f t="shared" si="96"/>
        <v>0</v>
      </c>
      <c r="P588" s="48"/>
      <c r="Q588" s="59"/>
      <c r="R588" s="81"/>
      <c r="S588" s="79"/>
      <c r="T588" s="464"/>
      <c r="V588" s="104"/>
      <c r="W588" s="104"/>
    </row>
    <row r="589" spans="1:37" ht="13.5" customHeight="1" x14ac:dyDescent="0.15">
      <c r="A589" s="76">
        <v>5</v>
      </c>
      <c r="B589" s="542"/>
      <c r="C589" s="543"/>
      <c r="D589" s="543"/>
      <c r="E589" s="544"/>
      <c r="F589" s="558" t="s">
        <v>71</v>
      </c>
      <c r="G589" s="559"/>
      <c r="H589" s="78"/>
      <c r="I589" s="352"/>
      <c r="J589" s="77"/>
      <c r="K589" s="46" t="str">
        <f>VLOOKUP($F:$F,材料单价表!$B$3:$G$42,4,0)</f>
        <v>个</v>
      </c>
      <c r="L589" s="79"/>
      <c r="M589" s="80">
        <f>SUM(K559:K561)</f>
        <v>12</v>
      </c>
      <c r="N589" s="46">
        <f>VLOOKUP($F:$F,材料单价表!$B$3:$G$42,5,0)</f>
        <v>0</v>
      </c>
      <c r="O589" s="46">
        <f t="shared" si="96"/>
        <v>0</v>
      </c>
      <c r="P589" s="48"/>
      <c r="Q589" s="59"/>
      <c r="R589" s="81"/>
      <c r="S589" s="79"/>
      <c r="T589" s="464"/>
    </row>
    <row r="590" spans="1:37" ht="13.5" customHeight="1" x14ac:dyDescent="0.15">
      <c r="A590" s="76">
        <v>6</v>
      </c>
      <c r="B590" s="542"/>
      <c r="C590" s="543"/>
      <c r="D590" s="543"/>
      <c r="E590" s="544"/>
      <c r="F590" s="558" t="s">
        <v>833</v>
      </c>
      <c r="G590" s="559"/>
      <c r="H590" s="78"/>
      <c r="I590" s="352"/>
      <c r="J590" s="77"/>
      <c r="K590" s="46" t="str">
        <f>VLOOKUP($F:$F,材料单价表!$B$3:$G$42,4,0)</f>
        <v>m</v>
      </c>
      <c r="L590" s="79"/>
      <c r="M590" s="80">
        <f>(J546*K546+J547*K547)/1000*2</f>
        <v>6.9376000000000007</v>
      </c>
      <c r="N590" s="46">
        <f>VLOOKUP($F:$F,材料单价表!$B$3:$G$42,5,0)</f>
        <v>0</v>
      </c>
      <c r="O590" s="46">
        <f t="shared" si="96"/>
        <v>0</v>
      </c>
      <c r="P590" s="48"/>
      <c r="Q590" s="59"/>
      <c r="R590" s="81"/>
      <c r="S590" s="46"/>
      <c r="T590" s="465"/>
    </row>
    <row r="591" spans="1:37" x14ac:dyDescent="0.15">
      <c r="A591" s="76">
        <v>7</v>
      </c>
      <c r="B591" s="542"/>
      <c r="C591" s="543"/>
      <c r="D591" s="543"/>
      <c r="E591" s="544"/>
      <c r="F591" s="558" t="s">
        <v>72</v>
      </c>
      <c r="G591" s="559"/>
      <c r="H591" s="45"/>
      <c r="I591" s="207"/>
      <c r="J591" s="45"/>
      <c r="K591" s="46" t="str">
        <f>VLOOKUP($F:$F,材料单价表!$B$3:$G$42,4,0)</f>
        <v>m2</v>
      </c>
      <c r="L591" s="72"/>
      <c r="M591" s="46">
        <f>M597</f>
        <v>3.24</v>
      </c>
      <c r="N591" s="46">
        <f>VLOOKUP($F:$F,材料单价表!$B$3:$G$42,5,0)</f>
        <v>0</v>
      </c>
      <c r="O591" s="46">
        <f t="shared" si="96"/>
        <v>0</v>
      </c>
      <c r="P591" s="48"/>
      <c r="Q591" s="48"/>
      <c r="R591" s="73"/>
      <c r="S591" s="73"/>
      <c r="T591" s="463"/>
    </row>
    <row r="592" spans="1:37" x14ac:dyDescent="0.15">
      <c r="A592" s="76">
        <v>8</v>
      </c>
      <c r="B592" s="542"/>
      <c r="C592" s="543"/>
      <c r="D592" s="543"/>
      <c r="E592" s="544"/>
      <c r="F592" s="297"/>
      <c r="G592" s="298"/>
      <c r="H592" s="207"/>
      <c r="I592" s="207"/>
      <c r="J592" s="207"/>
      <c r="K592" s="208"/>
      <c r="L592" s="209"/>
      <c r="M592" s="208"/>
      <c r="N592" s="208"/>
      <c r="O592" s="208"/>
      <c r="P592" s="211"/>
      <c r="Q592" s="48"/>
      <c r="R592" s="212"/>
      <c r="S592" s="212"/>
      <c r="T592" s="463"/>
    </row>
    <row r="593" spans="1:20" x14ac:dyDescent="0.15">
      <c r="A593" s="76">
        <v>9</v>
      </c>
      <c r="B593" s="542"/>
      <c r="C593" s="543"/>
      <c r="D593" s="543"/>
      <c r="E593" s="544"/>
      <c r="F593" s="558"/>
      <c r="G593" s="559"/>
      <c r="H593" s="45"/>
      <c r="I593" s="207"/>
      <c r="J593" s="45"/>
      <c r="K593" s="45"/>
      <c r="L593" s="72"/>
      <c r="M593" s="46"/>
      <c r="N593" s="46"/>
      <c r="O593" s="82"/>
      <c r="P593" s="48"/>
      <c r="Q593" s="48"/>
      <c r="R593" s="73"/>
      <c r="S593" s="73"/>
      <c r="T593" s="463"/>
    </row>
    <row r="594" spans="1:20" x14ac:dyDescent="0.15">
      <c r="A594" s="74"/>
      <c r="B594" s="552"/>
      <c r="C594" s="557"/>
      <c r="D594" s="557"/>
      <c r="E594" s="553"/>
      <c r="F594" s="552" t="s">
        <v>73</v>
      </c>
      <c r="G594" s="557"/>
      <c r="H594" s="557"/>
      <c r="I594" s="557"/>
      <c r="J594" s="557"/>
      <c r="K594" s="557"/>
      <c r="L594" s="557"/>
      <c r="M594" s="61"/>
      <c r="N594" s="61"/>
      <c r="O594" s="62">
        <f>SUM(O585:O593)</f>
        <v>0</v>
      </c>
      <c r="P594" s="63" t="s">
        <v>57</v>
      </c>
      <c r="Q594" s="337"/>
      <c r="R594" s="64"/>
      <c r="S594" s="64"/>
      <c r="T594" s="460"/>
    </row>
    <row r="595" spans="1:20" x14ac:dyDescent="0.15">
      <c r="A595" s="74"/>
      <c r="B595" s="552"/>
      <c r="C595" s="557"/>
      <c r="D595" s="557"/>
      <c r="E595" s="553"/>
      <c r="F595" s="552" t="s">
        <v>74</v>
      </c>
      <c r="G595" s="557"/>
      <c r="H595" s="557"/>
      <c r="I595" s="557"/>
      <c r="J595" s="557"/>
      <c r="K595" s="557"/>
      <c r="L595" s="557"/>
      <c r="M595" s="557"/>
      <c r="N595" s="553"/>
      <c r="O595" s="62">
        <f>O594+O583+O580+O572</f>
        <v>0</v>
      </c>
      <c r="P595" s="63" t="s">
        <v>57</v>
      </c>
      <c r="Q595" s="337"/>
      <c r="R595" s="64"/>
      <c r="S595" s="64"/>
      <c r="T595" s="460"/>
    </row>
    <row r="596" spans="1:20" ht="24" x14ac:dyDescent="0.15">
      <c r="A596" s="65"/>
      <c r="B596" s="560" t="s">
        <v>75</v>
      </c>
      <c r="C596" s="561"/>
      <c r="D596" s="561"/>
      <c r="E596" s="562"/>
      <c r="F596" s="565" t="s">
        <v>26</v>
      </c>
      <c r="G596" s="566"/>
      <c r="H596" s="66"/>
      <c r="I596" s="351"/>
      <c r="J596" s="66"/>
      <c r="K596" s="66" t="s">
        <v>6</v>
      </c>
      <c r="L596" s="83" t="s">
        <v>61</v>
      </c>
      <c r="M596" s="66" t="s">
        <v>76</v>
      </c>
      <c r="N596" s="68" t="s">
        <v>62</v>
      </c>
      <c r="O596" s="68" t="s">
        <v>34</v>
      </c>
      <c r="P596" s="84" t="s">
        <v>57</v>
      </c>
      <c r="Q596" s="84"/>
      <c r="R596" s="67"/>
      <c r="S596" s="67"/>
      <c r="T596" s="461"/>
    </row>
    <row r="597" spans="1:20" x14ac:dyDescent="0.15">
      <c r="A597" s="302">
        <v>1</v>
      </c>
      <c r="B597" s="542"/>
      <c r="C597" s="543"/>
      <c r="D597" s="543"/>
      <c r="E597" s="544"/>
      <c r="F597" s="545" t="s">
        <v>77</v>
      </c>
      <c r="G597" s="547"/>
      <c r="H597" s="45"/>
      <c r="I597" s="207"/>
      <c r="J597" s="46"/>
      <c r="K597" s="45" t="s">
        <v>78</v>
      </c>
      <c r="L597" s="72"/>
      <c r="M597" s="85">
        <f>O527</f>
        <v>3.24</v>
      </c>
      <c r="N597" s="46">
        <f>VLOOKUP($F:$F,材料单价表!$B$3:$G$42,5,0)</f>
        <v>0</v>
      </c>
      <c r="O597" s="46">
        <f>N597*M597</f>
        <v>0</v>
      </c>
      <c r="P597" s="48"/>
      <c r="Q597" s="48"/>
      <c r="R597" s="72"/>
      <c r="S597" s="72"/>
      <c r="T597" s="462"/>
    </row>
    <row r="598" spans="1:20" x14ac:dyDescent="0.15">
      <c r="A598" s="302">
        <v>2</v>
      </c>
      <c r="B598" s="542"/>
      <c r="C598" s="543"/>
      <c r="D598" s="543"/>
      <c r="E598" s="544"/>
      <c r="F598" s="545" t="s">
        <v>79</v>
      </c>
      <c r="G598" s="547"/>
      <c r="H598" s="45"/>
      <c r="I598" s="207"/>
      <c r="J598" s="46"/>
      <c r="K598" s="45" t="s">
        <v>78</v>
      </c>
      <c r="L598" s="72"/>
      <c r="M598" s="85">
        <f>M597</f>
        <v>3.24</v>
      </c>
      <c r="N598" s="46">
        <f>VLOOKUP($F:$F,材料单价表!$B$3:$G$42,5,0)</f>
        <v>0</v>
      </c>
      <c r="O598" s="46">
        <f>N598*M598</f>
        <v>0</v>
      </c>
      <c r="P598" s="48"/>
      <c r="Q598" s="48"/>
      <c r="R598" s="72"/>
      <c r="S598" s="72"/>
      <c r="T598" s="462"/>
    </row>
    <row r="599" spans="1:20" ht="24.75" customHeight="1" x14ac:dyDescent="0.15">
      <c r="A599" s="74"/>
      <c r="B599" s="552"/>
      <c r="C599" s="557"/>
      <c r="D599" s="557"/>
      <c r="E599" s="553"/>
      <c r="F599" s="552" t="s">
        <v>80</v>
      </c>
      <c r="G599" s="553"/>
      <c r="H599" s="299"/>
      <c r="I599" s="348"/>
      <c r="J599" s="554" t="s">
        <v>81</v>
      </c>
      <c r="K599" s="554"/>
      <c r="L599" s="554"/>
      <c r="M599" s="554"/>
      <c r="N599" s="87"/>
      <c r="O599" s="62">
        <f>O595+O597+O598</f>
        <v>0</v>
      </c>
      <c r="P599" s="63" t="s">
        <v>57</v>
      </c>
      <c r="Q599" s="337"/>
      <c r="R599" s="64"/>
      <c r="S599" s="64"/>
      <c r="T599" s="460"/>
    </row>
    <row r="600" spans="1:20" ht="24" customHeight="1" x14ac:dyDescent="0.15">
      <c r="A600" s="74"/>
      <c r="B600" s="552"/>
      <c r="C600" s="557"/>
      <c r="D600" s="557"/>
      <c r="E600" s="553"/>
      <c r="F600" s="555" t="s">
        <v>82</v>
      </c>
      <c r="G600" s="556"/>
      <c r="H600" s="301"/>
      <c r="I600" s="349"/>
      <c r="J600" s="552" t="s">
        <v>81</v>
      </c>
      <c r="K600" s="557"/>
      <c r="L600" s="557"/>
      <c r="M600" s="557"/>
      <c r="N600" s="62"/>
      <c r="O600" s="62">
        <f>O599/O527</f>
        <v>0</v>
      </c>
      <c r="P600" s="89" t="s">
        <v>57</v>
      </c>
      <c r="Q600" s="89"/>
      <c r="R600" s="90"/>
      <c r="S600" s="90"/>
      <c r="T600" s="466"/>
    </row>
    <row r="601" spans="1:20" ht="18.75" customHeight="1" x14ac:dyDescent="0.15">
      <c r="A601" s="549" t="s">
        <v>0</v>
      </c>
      <c r="B601" s="549"/>
      <c r="C601" s="549"/>
      <c r="D601" s="549"/>
      <c r="E601" s="549"/>
      <c r="F601" s="549"/>
      <c r="G601" s="549"/>
      <c r="H601" s="549"/>
      <c r="I601" s="549"/>
      <c r="J601" s="549"/>
      <c r="K601" s="549"/>
      <c r="L601" s="550"/>
      <c r="M601" s="549"/>
      <c r="N601" s="549"/>
      <c r="O601" s="549"/>
      <c r="P601" s="549"/>
      <c r="Q601" s="549"/>
      <c r="R601" s="551"/>
      <c r="S601" s="551"/>
      <c r="T601" s="415"/>
    </row>
    <row r="602" spans="1:20" ht="15" customHeight="1" x14ac:dyDescent="0.15">
      <c r="A602" s="2" t="s">
        <v>1</v>
      </c>
      <c r="B602" s="3" t="str">
        <f>$B$152</f>
        <v>WC</v>
      </c>
      <c r="C602" s="3">
        <v>9</v>
      </c>
      <c r="D602" s="3"/>
      <c r="E602" s="3"/>
      <c r="F602" s="4" t="s">
        <v>2</v>
      </c>
      <c r="G602" s="5">
        <v>55</v>
      </c>
      <c r="H602" s="106" t="s">
        <v>86</v>
      </c>
      <c r="I602" s="106"/>
      <c r="J602" s="4" t="s">
        <v>3</v>
      </c>
      <c r="K602" s="6">
        <f>L605</f>
        <v>1300</v>
      </c>
      <c r="L602" s="7" t="s">
        <v>83</v>
      </c>
      <c r="M602" s="6">
        <f>L604</f>
        <v>1500</v>
      </c>
      <c r="N602" s="8" t="s">
        <v>4</v>
      </c>
      <c r="O602" s="9">
        <f>M614</f>
        <v>1.95</v>
      </c>
      <c r="P602" s="10"/>
      <c r="Q602" s="10"/>
      <c r="R602" s="10" t="s">
        <v>5</v>
      </c>
      <c r="S602" s="11"/>
      <c r="T602" s="457"/>
    </row>
    <row r="603" spans="1:20" ht="15" customHeight="1" x14ac:dyDescent="0.2">
      <c r="A603" s="12"/>
      <c r="B603" s="13"/>
      <c r="C603" s="13"/>
      <c r="D603" s="13"/>
      <c r="E603" s="13"/>
      <c r="F603" s="14"/>
      <c r="G603" s="14"/>
      <c r="H603" s="15"/>
      <c r="I603" s="15"/>
      <c r="J603" s="16"/>
      <c r="K603" s="16" t="s">
        <v>6</v>
      </c>
      <c r="L603" s="17" t="s">
        <v>7</v>
      </c>
      <c r="M603" s="16" t="s">
        <v>8</v>
      </c>
      <c r="N603" s="18"/>
      <c r="O603" s="548" t="s">
        <v>940</v>
      </c>
      <c r="P603" s="548"/>
      <c r="Q603" s="16" t="s">
        <v>1018</v>
      </c>
      <c r="R603" s="529" t="s">
        <v>1187</v>
      </c>
      <c r="S603" s="530" t="s">
        <v>1592</v>
      </c>
      <c r="T603" s="468"/>
    </row>
    <row r="604" spans="1:20" ht="15" customHeight="1" x14ac:dyDescent="0.2">
      <c r="A604" s="398" t="s">
        <v>918</v>
      </c>
      <c r="B604" s="406" t="s">
        <v>985</v>
      </c>
      <c r="C604" s="362"/>
      <c r="D604" s="362"/>
      <c r="E604" s="362"/>
      <c r="F604" s="23"/>
      <c r="G604" s="23"/>
      <c r="H604" s="107"/>
      <c r="I604" s="107"/>
      <c r="J604" s="24" t="s">
        <v>9</v>
      </c>
      <c r="K604" s="16" t="s">
        <v>10</v>
      </c>
      <c r="L604" s="25">
        <v>1500</v>
      </c>
      <c r="M604" s="113">
        <f>L604-M613*2</f>
        <v>1400</v>
      </c>
      <c r="N604" s="18"/>
      <c r="O604" s="356" t="s">
        <v>941</v>
      </c>
      <c r="P604" s="357"/>
      <c r="Q604" s="16" t="s">
        <v>1019</v>
      </c>
      <c r="R604" s="529"/>
      <c r="S604" s="530"/>
      <c r="T604" s="468"/>
    </row>
    <row r="605" spans="1:20" ht="15" customHeight="1" x14ac:dyDescent="0.2">
      <c r="A605" s="21"/>
      <c r="B605" s="22"/>
      <c r="C605" s="22"/>
      <c r="D605" s="22"/>
      <c r="E605" s="22"/>
      <c r="F605" s="23"/>
      <c r="G605" s="23"/>
      <c r="H605" s="18"/>
      <c r="I605" s="18"/>
      <c r="J605" s="24" t="s">
        <v>11</v>
      </c>
      <c r="K605" s="16" t="s">
        <v>10</v>
      </c>
      <c r="L605" s="25">
        <v>1300</v>
      </c>
      <c r="M605" s="113">
        <f>L605-M613*2</f>
        <v>1200</v>
      </c>
      <c r="N605" s="18"/>
      <c r="O605" s="356" t="s">
        <v>924</v>
      </c>
      <c r="P605" s="357"/>
      <c r="Q605" s="16" t="s">
        <v>1020</v>
      </c>
      <c r="R605" s="529" t="s">
        <v>1188</v>
      </c>
      <c r="S605" s="530" t="s">
        <v>1086</v>
      </c>
      <c r="T605" s="468"/>
    </row>
    <row r="606" spans="1:20" ht="15" customHeight="1" x14ac:dyDescent="0.2">
      <c r="A606" s="21"/>
      <c r="B606" s="22"/>
      <c r="C606" s="22"/>
      <c r="D606" s="22"/>
      <c r="E606" s="22"/>
      <c r="F606" s="23"/>
      <c r="G606" s="23"/>
      <c r="H606" s="18"/>
      <c r="I606" s="18"/>
      <c r="J606" s="24" t="s">
        <v>12</v>
      </c>
      <c r="K606" s="16" t="s">
        <v>10</v>
      </c>
      <c r="L606" s="26"/>
      <c r="M606" s="113">
        <f>M604-M607</f>
        <v>1000</v>
      </c>
      <c r="N606" s="18"/>
      <c r="O606" s="356" t="s">
        <v>925</v>
      </c>
      <c r="P606" s="357"/>
      <c r="Q606" s="16" t="s">
        <v>1021</v>
      </c>
      <c r="R606" s="529"/>
      <c r="S606" s="530"/>
      <c r="T606" s="468"/>
    </row>
    <row r="607" spans="1:20" ht="15" customHeight="1" x14ac:dyDescent="0.2">
      <c r="A607" s="21"/>
      <c r="B607" s="22"/>
      <c r="C607" s="22"/>
      <c r="D607" s="22"/>
      <c r="E607" s="22"/>
      <c r="F607" s="23"/>
      <c r="G607" s="23"/>
      <c r="H607" s="18"/>
      <c r="I607" s="18"/>
      <c r="J607" s="24" t="s">
        <v>13</v>
      </c>
      <c r="K607" s="16" t="s">
        <v>10</v>
      </c>
      <c r="L607" s="26"/>
      <c r="M607" s="25">
        <v>400</v>
      </c>
      <c r="N607" s="540" t="s">
        <v>867</v>
      </c>
      <c r="O607" s="356" t="s">
        <v>926</v>
      </c>
      <c r="P607" s="357"/>
      <c r="Q607" s="16" t="s">
        <v>1022</v>
      </c>
      <c r="R607" s="27"/>
      <c r="S607" s="28"/>
      <c r="T607" s="27"/>
    </row>
    <row r="608" spans="1:20" ht="15" customHeight="1" x14ac:dyDescent="0.2">
      <c r="A608" s="21"/>
      <c r="B608" s="22"/>
      <c r="C608" s="22"/>
      <c r="D608" s="22"/>
      <c r="E608" s="22"/>
      <c r="F608" s="23"/>
      <c r="G608" s="23"/>
      <c r="H608" s="18"/>
      <c r="I608" s="18"/>
      <c r="J608" s="24" t="s">
        <v>14</v>
      </c>
      <c r="K608" s="16" t="s">
        <v>10</v>
      </c>
      <c r="L608" s="26"/>
      <c r="M608" s="113"/>
      <c r="N608" s="540"/>
      <c r="O608" s="356" t="s">
        <v>927</v>
      </c>
      <c r="P608" s="357"/>
      <c r="Q608" s="16" t="s">
        <v>1023</v>
      </c>
      <c r="R608" s="27"/>
      <c r="S608" s="28"/>
      <c r="T608" s="27"/>
    </row>
    <row r="609" spans="1:37" ht="15" customHeight="1" x14ac:dyDescent="0.2">
      <c r="A609" s="21"/>
      <c r="B609" s="22"/>
      <c r="C609" s="22"/>
      <c r="D609" s="22"/>
      <c r="E609" s="22"/>
      <c r="F609" s="23"/>
      <c r="G609" s="23"/>
      <c r="H609" s="18"/>
      <c r="I609" s="18"/>
      <c r="J609" s="24" t="s">
        <v>15</v>
      </c>
      <c r="K609" s="16" t="s">
        <v>10</v>
      </c>
      <c r="L609" s="26"/>
      <c r="M609" s="113">
        <f>M605/2</f>
        <v>600</v>
      </c>
      <c r="N609" s="540"/>
      <c r="O609" s="356" t="s">
        <v>928</v>
      </c>
      <c r="P609" s="357"/>
      <c r="Q609" s="16" t="s">
        <v>1005</v>
      </c>
      <c r="R609" s="27"/>
      <c r="S609" s="28"/>
      <c r="T609" s="27"/>
    </row>
    <row r="610" spans="1:37" ht="15" customHeight="1" x14ac:dyDescent="0.2">
      <c r="A610" s="21"/>
      <c r="B610" s="22"/>
      <c r="C610" s="22"/>
      <c r="D610" s="22"/>
      <c r="E610" s="22"/>
      <c r="F610" s="23"/>
      <c r="G610" s="23"/>
      <c r="H610" s="18"/>
      <c r="I610" s="18"/>
      <c r="J610" s="24" t="s">
        <v>16</v>
      </c>
      <c r="K610" s="16" t="s">
        <v>10</v>
      </c>
      <c r="L610" s="26"/>
      <c r="M610" s="113"/>
      <c r="N610" s="540"/>
      <c r="O610" s="356" t="s">
        <v>929</v>
      </c>
      <c r="P610" s="357"/>
      <c r="Q610" s="16" t="s">
        <v>1024</v>
      </c>
      <c r="R610" s="27"/>
      <c r="S610" s="28"/>
      <c r="T610" s="27"/>
    </row>
    <row r="611" spans="1:37" ht="15" customHeight="1" x14ac:dyDescent="0.2">
      <c r="A611" s="21"/>
      <c r="B611" s="22"/>
      <c r="C611" s="22"/>
      <c r="D611" s="22"/>
      <c r="E611" s="22"/>
      <c r="F611" s="23"/>
      <c r="G611" s="23"/>
      <c r="H611" s="18"/>
      <c r="I611" s="18"/>
      <c r="J611" s="24" t="s">
        <v>17</v>
      </c>
      <c r="K611" s="16" t="s">
        <v>10</v>
      </c>
      <c r="L611" s="26"/>
      <c r="M611" s="113"/>
      <c r="N611" s="18"/>
      <c r="O611" s="356" t="s">
        <v>930</v>
      </c>
      <c r="P611" s="357"/>
      <c r="Q611" s="16" t="s">
        <v>931</v>
      </c>
      <c r="R611" s="27"/>
      <c r="S611" s="28"/>
      <c r="T611" s="27"/>
    </row>
    <row r="612" spans="1:37" ht="15" customHeight="1" x14ac:dyDescent="0.2">
      <c r="A612" s="21"/>
      <c r="B612" s="22"/>
      <c r="C612" s="22"/>
      <c r="D612" s="22"/>
      <c r="E612" s="22"/>
      <c r="F612" s="23"/>
      <c r="G612" s="23"/>
      <c r="H612" s="18"/>
      <c r="I612" s="18"/>
      <c r="J612" s="24" t="s">
        <v>18</v>
      </c>
      <c r="K612" s="16" t="s">
        <v>10</v>
      </c>
      <c r="L612" s="26"/>
      <c r="M612" s="113"/>
      <c r="N612" s="18"/>
      <c r="O612" s="356" t="s">
        <v>932</v>
      </c>
      <c r="P612" s="357"/>
      <c r="Q612" s="16" t="s">
        <v>933</v>
      </c>
      <c r="R612" s="27"/>
      <c r="S612" s="28"/>
      <c r="T612" s="27"/>
    </row>
    <row r="613" spans="1:37" ht="15" customHeight="1" x14ac:dyDescent="0.2">
      <c r="A613" s="21"/>
      <c r="B613" s="22"/>
      <c r="C613" s="22"/>
      <c r="D613" s="22"/>
      <c r="E613" s="22"/>
      <c r="F613" s="23"/>
      <c r="G613" s="23"/>
      <c r="H613" s="18"/>
      <c r="I613" s="18"/>
      <c r="J613" s="24" t="s">
        <v>19</v>
      </c>
      <c r="K613" s="16" t="s">
        <v>10</v>
      </c>
      <c r="L613" s="26"/>
      <c r="M613" s="25">
        <v>50</v>
      </c>
      <c r="N613" s="18"/>
      <c r="O613" s="356" t="s">
        <v>934</v>
      </c>
      <c r="P613" s="357"/>
      <c r="Q613" s="16" t="s">
        <v>935</v>
      </c>
      <c r="R613" s="27"/>
      <c r="S613" s="28"/>
      <c r="T613" s="27"/>
    </row>
    <row r="614" spans="1:37" ht="15" customHeight="1" x14ac:dyDescent="0.2">
      <c r="A614" s="21"/>
      <c r="B614" s="22"/>
      <c r="C614" s="22"/>
      <c r="D614" s="22"/>
      <c r="E614" s="22"/>
      <c r="F614" s="23"/>
      <c r="G614" s="23"/>
      <c r="H614" s="18"/>
      <c r="I614" s="18"/>
      <c r="J614" s="29" t="s">
        <v>20</v>
      </c>
      <c r="K614" s="16" t="s">
        <v>21</v>
      </c>
      <c r="L614" s="30"/>
      <c r="M614" s="31">
        <f>L604*L605/1000000</f>
        <v>1.95</v>
      </c>
      <c r="N614" s="18"/>
      <c r="O614" s="356" t="s">
        <v>936</v>
      </c>
      <c r="P614" s="357"/>
      <c r="Q614" s="16" t="s">
        <v>937</v>
      </c>
      <c r="R614" s="27"/>
      <c r="S614" s="28"/>
      <c r="T614" s="27"/>
    </row>
    <row r="615" spans="1:37" ht="15" customHeight="1" x14ac:dyDescent="0.2">
      <c r="A615" s="32"/>
      <c r="B615" s="33"/>
      <c r="C615" s="33"/>
      <c r="D615" s="33"/>
      <c r="E615" s="33"/>
      <c r="F615" s="34"/>
      <c r="G615" s="34"/>
      <c r="H615" s="35"/>
      <c r="I615" s="35"/>
      <c r="J615" s="29" t="s">
        <v>22</v>
      </c>
      <c r="K615" s="16" t="s">
        <v>23</v>
      </c>
      <c r="L615" s="30"/>
      <c r="M615" s="36">
        <f>(L605+L604)*2/1000</f>
        <v>5.6</v>
      </c>
      <c r="N615" s="35"/>
      <c r="O615" s="356" t="s">
        <v>938</v>
      </c>
      <c r="P615" s="357"/>
      <c r="Q615" s="16" t="s">
        <v>939</v>
      </c>
      <c r="R615" s="37"/>
      <c r="S615" s="38"/>
      <c r="T615" s="27"/>
    </row>
    <row r="616" spans="1:37" ht="48.75" customHeight="1" x14ac:dyDescent="0.15">
      <c r="A616" s="39" t="s">
        <v>24</v>
      </c>
      <c r="B616" s="560" t="s">
        <v>25</v>
      </c>
      <c r="C616" s="561"/>
      <c r="D616" s="561"/>
      <c r="E616" s="562"/>
      <c r="F616" s="40" t="s">
        <v>26</v>
      </c>
      <c r="G616" s="40" t="s">
        <v>27</v>
      </c>
      <c r="H616" s="40" t="s">
        <v>28</v>
      </c>
      <c r="I616" s="40" t="s">
        <v>1166</v>
      </c>
      <c r="J616" s="40" t="s">
        <v>29</v>
      </c>
      <c r="K616" s="40" t="s">
        <v>30</v>
      </c>
      <c r="L616" s="41" t="s">
        <v>31</v>
      </c>
      <c r="M616" s="40" t="s">
        <v>32</v>
      </c>
      <c r="N616" s="40" t="s">
        <v>33</v>
      </c>
      <c r="O616" s="40" t="s">
        <v>34</v>
      </c>
      <c r="P616" s="42" t="s">
        <v>35</v>
      </c>
      <c r="Q616" s="359" t="s">
        <v>974</v>
      </c>
      <c r="R616" s="43" t="s">
        <v>36</v>
      </c>
      <c r="S616" s="43" t="s">
        <v>37</v>
      </c>
      <c r="T616" s="458"/>
      <c r="V616" s="261" t="s">
        <v>128</v>
      </c>
      <c r="W616" s="261"/>
      <c r="X616" s="262" t="s">
        <v>359</v>
      </c>
      <c r="Y616" s="263"/>
      <c r="Z616" s="262" t="s">
        <v>355</v>
      </c>
      <c r="AA616" s="263"/>
      <c r="AB616" s="262" t="s">
        <v>360</v>
      </c>
      <c r="AC616" s="263"/>
      <c r="AD616" s="262" t="s">
        <v>127</v>
      </c>
      <c r="AE616" s="263"/>
      <c r="AF616" s="262" t="s">
        <v>357</v>
      </c>
      <c r="AG616" s="263"/>
      <c r="AH616" s="262" t="s">
        <v>358</v>
      </c>
      <c r="AI616" s="263"/>
      <c r="AJ616" s="262" t="s">
        <v>840</v>
      </c>
      <c r="AK616" s="263"/>
    </row>
    <row r="617" spans="1:37" ht="13.5" customHeight="1" x14ac:dyDescent="0.15">
      <c r="A617" s="302">
        <v>1</v>
      </c>
      <c r="B617" s="531" t="s">
        <v>38</v>
      </c>
      <c r="C617" s="532"/>
      <c r="D617" s="532"/>
      <c r="E617" s="533"/>
      <c r="F617" s="47" t="str">
        <f>VLOOKUP($H:$H,型材表!$B$5:$I$448,2,0)</f>
        <v>边框</v>
      </c>
      <c r="G617" s="45" t="s">
        <v>39</v>
      </c>
      <c r="H617" s="45" t="str">
        <f>IF(G602=55,"SW55K001",IF(G602=551,"SW55BK001",IF(G602=60,"SW60K001",IF(G602=601,"SW60AK001",IF(G602=65,"SW65AK001",IF(G602=70,"SW70K001",IF(G602=75,"SW75K001",IF(G602=50,"SW50K002"))))))))</f>
        <v>SW55K001</v>
      </c>
      <c r="I617" s="207" t="s">
        <v>1266</v>
      </c>
      <c r="J617" s="46">
        <f>M604</f>
        <v>1400</v>
      </c>
      <c r="K617" s="45">
        <v>2</v>
      </c>
      <c r="L617" s="47">
        <f>VLOOKUP($H:$H,型材表!$B$5:$I$448,4,0)</f>
        <v>0.96699999999999997</v>
      </c>
      <c r="M617" s="46">
        <f>J617*K617*L617/1000</f>
        <v>2.7075999999999998</v>
      </c>
      <c r="N617" s="72">
        <f>VLOOKUP($H:$H,型材表!$B$5:$I$448,7,0)</f>
        <v>0</v>
      </c>
      <c r="O617" s="46">
        <f>N617*M617</f>
        <v>0</v>
      </c>
      <c r="P617" s="100">
        <f>VLOOKUP($H:$H,型材表!$B$5:$I$448,5,0)</f>
        <v>0.125</v>
      </c>
      <c r="Q617" s="100" t="str">
        <f>VLOOKUP($H:$H,型材表!$B$5:$I$448,6,0)</f>
        <v>断桥隔热铝型材</v>
      </c>
      <c r="R617" s="49"/>
      <c r="S617" s="50"/>
      <c r="T617" s="459"/>
      <c r="X617" s="264"/>
      <c r="Y617" s="265"/>
      <c r="Z617" s="264"/>
      <c r="AA617" s="265"/>
      <c r="AB617" s="264"/>
      <c r="AC617" s="265"/>
      <c r="AD617" s="264"/>
      <c r="AE617" s="265"/>
      <c r="AF617" s="264"/>
      <c r="AG617" s="265"/>
      <c r="AH617" s="264"/>
      <c r="AI617" s="265"/>
      <c r="AJ617" s="264"/>
      <c r="AK617" s="265"/>
    </row>
    <row r="618" spans="1:37" x14ac:dyDescent="0.15">
      <c r="A618" s="302">
        <v>2</v>
      </c>
      <c r="B618" s="534"/>
      <c r="C618" s="535"/>
      <c r="D618" s="535"/>
      <c r="E618" s="536"/>
      <c r="F618" s="47" t="str">
        <f>VLOOKUP($H:$H,型材表!$B$5:$I$448,2,0)</f>
        <v>边框</v>
      </c>
      <c r="G618" s="45" t="s">
        <v>144</v>
      </c>
      <c r="H618" s="45" t="str">
        <f>H617</f>
        <v>SW55K001</v>
      </c>
      <c r="I618" s="207" t="s">
        <v>1267</v>
      </c>
      <c r="J618" s="46">
        <f>M605</f>
        <v>1200</v>
      </c>
      <c r="K618" s="45">
        <v>2</v>
      </c>
      <c r="L618" s="47">
        <f>VLOOKUP($H:$H,型材表!$B$5:$I$448,4,0)</f>
        <v>0.96699999999999997</v>
      </c>
      <c r="M618" s="46">
        <f t="shared" ref="M618" si="97">J618*K618*L618/1000</f>
        <v>2.3207999999999998</v>
      </c>
      <c r="N618" s="72">
        <f>VLOOKUP($H:$H,型材表!$B$5:$I$448,7,0)</f>
        <v>0</v>
      </c>
      <c r="O618" s="46">
        <f t="shared" ref="O618" si="98">N618*M618</f>
        <v>0</v>
      </c>
      <c r="P618" s="100">
        <f>VLOOKUP($H:$H,型材表!$B$5:$I$448,5,0)</f>
        <v>0.125</v>
      </c>
      <c r="Q618" s="100" t="str">
        <f>VLOOKUP($H:$H,型材表!$B$5:$I$448,6,0)</f>
        <v>断桥隔热铝型材</v>
      </c>
      <c r="R618" s="49"/>
      <c r="S618" s="50"/>
      <c r="T618" s="459"/>
      <c r="X618" s="264"/>
      <c r="Y618" s="265"/>
      <c r="Z618" s="264"/>
      <c r="AA618" s="265"/>
      <c r="AB618" s="264"/>
      <c r="AC618" s="265"/>
      <c r="AD618" s="264"/>
      <c r="AE618" s="265"/>
      <c r="AF618" s="264"/>
      <c r="AG618" s="265"/>
      <c r="AH618" s="264"/>
      <c r="AI618" s="265"/>
      <c r="AJ618" s="264"/>
      <c r="AK618" s="265"/>
    </row>
    <row r="619" spans="1:37" x14ac:dyDescent="0.15">
      <c r="A619" s="413">
        <v>3</v>
      </c>
      <c r="B619" s="534"/>
      <c r="C619" s="535"/>
      <c r="D619" s="535"/>
      <c r="E619" s="536"/>
      <c r="F619" s="47"/>
      <c r="G619" s="207"/>
      <c r="H619" s="207"/>
      <c r="I619" s="207"/>
      <c r="J619" s="208"/>
      <c r="K619" s="207"/>
      <c r="L619" s="47"/>
      <c r="M619" s="46"/>
      <c r="N619" s="72"/>
      <c r="O619" s="46"/>
      <c r="P619" s="100"/>
      <c r="Q619" s="100"/>
      <c r="R619" s="210"/>
      <c r="S619" s="50"/>
      <c r="T619" s="459"/>
      <c r="X619" s="264"/>
      <c r="Y619" s="265"/>
      <c r="Z619" s="264"/>
      <c r="AA619" s="265"/>
      <c r="AB619" s="264"/>
      <c r="AC619" s="265"/>
      <c r="AD619" s="264"/>
      <c r="AE619" s="265"/>
      <c r="AF619" s="264"/>
      <c r="AG619" s="265"/>
      <c r="AH619" s="264"/>
      <c r="AI619" s="265"/>
      <c r="AJ619" s="264"/>
      <c r="AK619" s="265"/>
    </row>
    <row r="620" spans="1:37" s="229" customFormat="1" x14ac:dyDescent="0.15">
      <c r="A620" s="413">
        <v>4</v>
      </c>
      <c r="B620" s="537"/>
      <c r="C620" s="538"/>
      <c r="D620" s="538"/>
      <c r="E620" s="539"/>
      <c r="F620" s="221"/>
      <c r="G620" s="222"/>
      <c r="H620" s="222"/>
      <c r="I620" s="222"/>
      <c r="J620" s="223"/>
      <c r="K620" s="222"/>
      <c r="L620" s="221"/>
      <c r="M620" s="224"/>
      <c r="N620" s="225"/>
      <c r="O620" s="224"/>
      <c r="P620" s="226"/>
      <c r="Q620" s="100"/>
      <c r="R620" s="227"/>
      <c r="S620" s="228"/>
      <c r="T620" s="467"/>
      <c r="U620" s="375"/>
      <c r="V620" s="266"/>
      <c r="W620" s="266"/>
      <c r="X620" s="267"/>
      <c r="Y620" s="268"/>
      <c r="Z620" s="267"/>
      <c r="AA620" s="268"/>
      <c r="AB620" s="267"/>
      <c r="AC620" s="268"/>
      <c r="AD620" s="267"/>
      <c r="AE620" s="268"/>
      <c r="AF620" s="267"/>
      <c r="AG620" s="268"/>
      <c r="AH620" s="267"/>
      <c r="AI620" s="268"/>
      <c r="AJ620" s="267"/>
      <c r="AK620" s="268"/>
    </row>
    <row r="621" spans="1:37" ht="13.5" customHeight="1" x14ac:dyDescent="0.15">
      <c r="A621" s="413">
        <v>5</v>
      </c>
      <c r="B621" s="531" t="s">
        <v>41</v>
      </c>
      <c r="C621" s="532"/>
      <c r="D621" s="532"/>
      <c r="E621" s="533"/>
      <c r="F621" s="47" t="str">
        <f>VLOOKUP($H:$H,型材表!$B$5:$I$448,2,0)</f>
        <v>外开扇</v>
      </c>
      <c r="G621" s="45" t="s">
        <v>39</v>
      </c>
      <c r="H621" s="45" t="str">
        <f>IF(G602=55,"SW55S001",IF(G602=551,"SW55BS001",IF(G602=60,"SW60S001",IF(G602=601,"SW60AS001",IF(G602=65,"SW65AS001",IF(G602=70,"SW70S001",IF(G602=75,"SW75S001",IF(G602=50,"SW50S001"))))))))</f>
        <v>SW55S001</v>
      </c>
      <c r="I621" s="207" t="s">
        <v>1280</v>
      </c>
      <c r="J621" s="46">
        <f>IF(G602=55,M606-V621,IF(G602=551,M606-X621,IF(G602=60,M606-Z621,IF(G602=601,M606-AB621,IF(G602=65,M606-AD621,IF(G602=70,M606-AF621,IF(G602=75,M606-AH621,IF(G602=50,M606-AJ621))))))))</f>
        <v>917.2</v>
      </c>
      <c r="K621" s="45">
        <v>4</v>
      </c>
      <c r="L621" s="47">
        <f>VLOOKUP($H:$H,型材表!$B$5:$I$448,4,0)</f>
        <v>1.4450000000000001</v>
      </c>
      <c r="M621" s="46">
        <f t="shared" ref="M621:M626" si="99">J621*K621*L621/1000</f>
        <v>5.3014160000000006</v>
      </c>
      <c r="N621" s="72">
        <f>VLOOKUP($H:$H,型材表!$B$5:$I$448,7,0)</f>
        <v>0</v>
      </c>
      <c r="O621" s="46">
        <f t="shared" ref="O621:O626" si="100">N621*M621</f>
        <v>0</v>
      </c>
      <c r="P621" s="100">
        <f>VLOOKUP($H:$H,型材表!$B$5:$I$448,5,0)</f>
        <v>0.125</v>
      </c>
      <c r="Q621" s="100" t="str">
        <f>VLOOKUP($H:$H,型材表!$B$5:$I$448,6,0)</f>
        <v>断桥隔热铝型材</v>
      </c>
      <c r="R621" s="49"/>
      <c r="S621" s="50"/>
      <c r="T621" s="459"/>
      <c r="U621" s="374" t="s">
        <v>1247</v>
      </c>
      <c r="V621" s="259">
        <f>48.9+33.9</f>
        <v>82.8</v>
      </c>
      <c r="X621" s="286">
        <f>48.9+33.9</f>
        <v>82.8</v>
      </c>
      <c r="Y621" s="265"/>
      <c r="Z621" s="286">
        <f>48.9+33.9</f>
        <v>82.8</v>
      </c>
      <c r="AA621" s="265"/>
      <c r="AB621" s="286">
        <f>48.9+33.9</f>
        <v>82.8</v>
      </c>
      <c r="AC621" s="265"/>
      <c r="AD621" s="286">
        <f>48.9+33.9</f>
        <v>82.8</v>
      </c>
      <c r="AE621" s="265"/>
      <c r="AF621" s="286">
        <f>50.9+35.9</f>
        <v>86.8</v>
      </c>
      <c r="AG621" s="265"/>
      <c r="AH621" s="286">
        <f>50.9+35.9</f>
        <v>86.8</v>
      </c>
      <c r="AI621" s="265"/>
      <c r="AJ621" s="264">
        <f>45.7+30.4</f>
        <v>76.099999999999994</v>
      </c>
      <c r="AK621" s="265"/>
    </row>
    <row r="622" spans="1:37" x14ac:dyDescent="0.15">
      <c r="A622" s="413">
        <v>6</v>
      </c>
      <c r="B622" s="534"/>
      <c r="C622" s="535"/>
      <c r="D622" s="535"/>
      <c r="E622" s="536"/>
      <c r="F622" s="47" t="str">
        <f>VLOOKUP($H:$H,型材表!$B$5:$I$448,2,0)</f>
        <v>外开扇</v>
      </c>
      <c r="G622" s="45" t="s">
        <v>144</v>
      </c>
      <c r="H622" s="207" t="str">
        <f>H621</f>
        <v>SW55S001</v>
      </c>
      <c r="I622" s="207" t="s">
        <v>1576</v>
      </c>
      <c r="J622" s="208">
        <f>IF(G602=55,M609-V622,IF(G602=551,M609-X622,IF(G602=60,M609-Z622,IF(G602=601,M609-AB622,IF(G602=65,M609-AD622,IF(G602=70,M609-AF622,IF(G602=75,M609-AH622,IF(G602=50,M609-AJ622))))))))</f>
        <v>517.20000000000005</v>
      </c>
      <c r="K622" s="207">
        <v>4</v>
      </c>
      <c r="L622" s="47">
        <f>VLOOKUP($H:$H,型材表!$B$5:$I$448,4,0)</f>
        <v>1.4450000000000001</v>
      </c>
      <c r="M622" s="46">
        <f t="shared" si="99"/>
        <v>2.9894160000000003</v>
      </c>
      <c r="N622" s="72">
        <f>VLOOKUP($H:$H,型材表!$B$5:$I$448,7,0)</f>
        <v>0</v>
      </c>
      <c r="O622" s="46">
        <f t="shared" si="100"/>
        <v>0</v>
      </c>
      <c r="P622" s="100">
        <f>VLOOKUP($H:$H,型材表!$B$5:$I$448,5,0)</f>
        <v>0.125</v>
      </c>
      <c r="Q622" s="100" t="str">
        <f>VLOOKUP($H:$H,型材表!$B$5:$I$448,6,0)</f>
        <v>断桥隔热铝型材</v>
      </c>
      <c r="R622" s="210"/>
      <c r="S622" s="50"/>
      <c r="T622" s="459"/>
      <c r="U622" s="374" t="s">
        <v>1575</v>
      </c>
      <c r="V622" s="259">
        <f>48.9+33.9</f>
        <v>82.8</v>
      </c>
      <c r="X622" s="286">
        <f>48.9+33.9</f>
        <v>82.8</v>
      </c>
      <c r="Y622" s="265"/>
      <c r="Z622" s="286">
        <f>48.9+33.9</f>
        <v>82.8</v>
      </c>
      <c r="AA622" s="265"/>
      <c r="AB622" s="286">
        <f>48.9+33.9</f>
        <v>82.8</v>
      </c>
      <c r="AC622" s="265"/>
      <c r="AD622" s="286">
        <f>48.9+33.9</f>
        <v>82.8</v>
      </c>
      <c r="AE622" s="265"/>
      <c r="AF622" s="286">
        <f>50.9+35.9</f>
        <v>86.8</v>
      </c>
      <c r="AG622" s="265"/>
      <c r="AH622" s="286">
        <f>50.9+35.9</f>
        <v>86.8</v>
      </c>
      <c r="AI622" s="265"/>
      <c r="AJ622" s="264">
        <f>45.7+30.4</f>
        <v>76.099999999999994</v>
      </c>
      <c r="AK622" s="265"/>
    </row>
    <row r="623" spans="1:37" x14ac:dyDescent="0.15">
      <c r="A623" s="413">
        <v>7</v>
      </c>
      <c r="B623" s="534"/>
      <c r="C623" s="535"/>
      <c r="D623" s="535"/>
      <c r="E623" s="536"/>
      <c r="F623" s="47" t="str">
        <f>VLOOKUP($H:$H,型材表!$B$5:$I$448,2,0)</f>
        <v>中梃</v>
      </c>
      <c r="G623" s="45" t="s">
        <v>39</v>
      </c>
      <c r="H623" s="45" t="str">
        <f>IF(G602=55,"SW55T001",IF(G602=551,"SW55BT001",IF(G602=60,"SW60T001",IF(G602=601,"SW60AT001",IF(G602=65,"SW65AT001",IF(G602=70,"SW70T001",IF(G602=75,"SW75T001",IF(G602=50,"SW50Z001"))))))))</f>
        <v>SW55T001</v>
      </c>
      <c r="I623" s="207" t="s">
        <v>1315</v>
      </c>
      <c r="J623" s="46">
        <f>IF(G602=55,M606-V623,IF(G602=551,M606-X623,IF(G602=60,M606-Z623,IF(G602=601,M606-AB623,IF(G602=65,M606-AD623,IF(G602=70,M606-AF623,IF(G602=75,M606-AH623,IF(G602=50,M606-AJ623))))))))</f>
        <v>969</v>
      </c>
      <c r="K623" s="45">
        <v>1</v>
      </c>
      <c r="L623" s="47">
        <f>VLOOKUP($H:$H,型材表!$B$5:$I$448,4,0)</f>
        <v>1.113</v>
      </c>
      <c r="M623" s="46">
        <f t="shared" si="99"/>
        <v>1.078497</v>
      </c>
      <c r="N623" s="72">
        <f>VLOOKUP($H:$H,型材表!$B$5:$I$448,7,0)</f>
        <v>0</v>
      </c>
      <c r="O623" s="46">
        <f t="shared" si="100"/>
        <v>0</v>
      </c>
      <c r="P623" s="100">
        <f>VLOOKUP($H:$H,型材表!$B$5:$I$448,5,0)</f>
        <v>0.125</v>
      </c>
      <c r="Q623" s="100" t="str">
        <f>VLOOKUP($H:$H,型材表!$B$5:$I$448,6,0)</f>
        <v>断桥隔热铝型材</v>
      </c>
      <c r="R623" s="49"/>
      <c r="S623" s="50"/>
      <c r="T623" s="459"/>
      <c r="U623" s="374" t="s">
        <v>1314</v>
      </c>
      <c r="V623" s="259">
        <f>23+8</f>
        <v>31</v>
      </c>
      <c r="X623" s="264">
        <f>23+8</f>
        <v>31</v>
      </c>
      <c r="Y623" s="265"/>
      <c r="Z623" s="264">
        <f>23+8</f>
        <v>31</v>
      </c>
      <c r="AA623" s="265"/>
      <c r="AB623" s="264">
        <f>23+8</f>
        <v>31</v>
      </c>
      <c r="AC623" s="265"/>
      <c r="AD623" s="264">
        <f>23+8</f>
        <v>31</v>
      </c>
      <c r="AE623" s="265"/>
      <c r="AF623" s="264">
        <f>23+8</f>
        <v>31</v>
      </c>
      <c r="AG623" s="265"/>
      <c r="AH623" s="264">
        <f>23+8</f>
        <v>31</v>
      </c>
      <c r="AI623" s="265"/>
      <c r="AJ623" s="264">
        <f>23.3+8</f>
        <v>31.3</v>
      </c>
      <c r="AK623" s="265"/>
    </row>
    <row r="624" spans="1:37" x14ac:dyDescent="0.15">
      <c r="A624" s="413">
        <v>8</v>
      </c>
      <c r="B624" s="534"/>
      <c r="C624" s="535"/>
      <c r="D624" s="535"/>
      <c r="E624" s="536"/>
      <c r="F624" s="47" t="str">
        <f>VLOOKUP($H:$H,型材表!$B$5:$I$448,2,0)</f>
        <v>中梃</v>
      </c>
      <c r="G624" s="45" t="s">
        <v>144</v>
      </c>
      <c r="H624" s="207" t="str">
        <f>IF(G602=55,"SW55T001",IF(G602=551,"SW55BT001",IF(G602=60,"SW60T001",IF(G602=601,"SW60AT001",IF(G602=65,"SW65AT001",IF(G602=70,"SW70T001",IF(G602=75,"SW75T001",IF(G602=50,"SW50Z001"))))))))</f>
        <v>SW55T001</v>
      </c>
      <c r="I624" s="207" t="s">
        <v>1312</v>
      </c>
      <c r="J624" s="208">
        <f>IF(G602=55,M605-V624,IF(G602=551,M605-X624,IF(G602=60,M605-Z624,IF(G602=601,M605-AB624,IF(G602=65,M605-AD624,IF(G602=70,M605-AF624,IF(G602=75,M605-AH624,IF(G602=50,M605-AJ624))))))))</f>
        <v>1154</v>
      </c>
      <c r="K624" s="207">
        <v>1</v>
      </c>
      <c r="L624" s="47">
        <f>VLOOKUP($H:$H,型材表!$B$5:$I$448,4,0)</f>
        <v>1.113</v>
      </c>
      <c r="M624" s="46">
        <f t="shared" ref="M624" si="101">J624*K624*L624/1000</f>
        <v>1.284402</v>
      </c>
      <c r="N624" s="72">
        <f>VLOOKUP($H:$H,型材表!$B$5:$I$448,7,0)</f>
        <v>0</v>
      </c>
      <c r="O624" s="46">
        <f t="shared" ref="O624" si="102">N624*M624</f>
        <v>0</v>
      </c>
      <c r="P624" s="100">
        <f>VLOOKUP($H:$H,型材表!$B$5:$I$448,5,0)</f>
        <v>0.125</v>
      </c>
      <c r="Q624" s="100" t="str">
        <f>VLOOKUP($H:$H,型材表!$B$5:$I$448,6,0)</f>
        <v>断桥隔热铝型材</v>
      </c>
      <c r="R624" s="210"/>
      <c r="S624" s="50"/>
      <c r="T624" s="459"/>
      <c r="U624" s="374" t="s">
        <v>1313</v>
      </c>
      <c r="V624" s="259">
        <f>23*2</f>
        <v>46</v>
      </c>
      <c r="X624" s="264">
        <f>23*2</f>
        <v>46</v>
      </c>
      <c r="Y624" s="265"/>
      <c r="Z624" s="264">
        <f>23*2</f>
        <v>46</v>
      </c>
      <c r="AA624" s="265"/>
      <c r="AB624" s="264">
        <f>23*2</f>
        <v>46</v>
      </c>
      <c r="AC624" s="265"/>
      <c r="AD624" s="264">
        <f>23*2</f>
        <v>46</v>
      </c>
      <c r="AE624" s="265"/>
      <c r="AF624" s="264">
        <f>23*2</f>
        <v>46</v>
      </c>
      <c r="AG624" s="265"/>
      <c r="AH624" s="264">
        <f>23*2</f>
        <v>46</v>
      </c>
      <c r="AI624" s="265"/>
      <c r="AJ624" s="264">
        <f>23.3*2</f>
        <v>46.6</v>
      </c>
      <c r="AK624" s="265"/>
    </row>
    <row r="625" spans="1:37" s="315" customFormat="1" x14ac:dyDescent="0.15">
      <c r="A625" s="413">
        <v>9</v>
      </c>
      <c r="B625" s="534"/>
      <c r="C625" s="535"/>
      <c r="D625" s="535"/>
      <c r="E625" s="536"/>
      <c r="F625" s="310" t="str">
        <f>VLOOKUP($H:$H,型材表!$B$5:$I$448,2,0)</f>
        <v>转向框</v>
      </c>
      <c r="G625" s="116" t="s">
        <v>39</v>
      </c>
      <c r="H625" s="116" t="str">
        <f>IF(G602=55,"SW55K102",IF(G602=551,"SW55BK102",IF(G602=60,"SW60K102",IF(G602=601,"SW60AK102",IF(G602=65,"SW65AK102",IF(G602=70,"SW70K102",IF(G602=75,"SW75K102",IF(G602=50,"SW50K101"))))))))</f>
        <v>SW55K102</v>
      </c>
      <c r="I625" s="328" t="s">
        <v>1283</v>
      </c>
      <c r="J625" s="147">
        <f>IF(G602=55,M607-V625,IF(G602=551,M607-X625,IF(G602=60,M607-Z625,IF(G602=601,M607-AB625,IF(G602=65,M607-AD625,IF(G602=70,M607-AF625,IF(G602=75,M607-AH625,IF(G602=50,M607-AJ625))))))))</f>
        <v>361.7</v>
      </c>
      <c r="K625" s="116">
        <v>4</v>
      </c>
      <c r="L625" s="310">
        <f>VLOOKUP($H:$H,型材表!$B$5:$I$448,4,0)</f>
        <v>0.92300000000000004</v>
      </c>
      <c r="M625" s="147">
        <f t="shared" si="99"/>
        <v>1.3353964</v>
      </c>
      <c r="N625" s="311">
        <f>VLOOKUP($H:$H,型材表!$B$5:$I$448,7,0)</f>
        <v>0</v>
      </c>
      <c r="O625" s="147">
        <f t="shared" si="100"/>
        <v>0</v>
      </c>
      <c r="P625" s="312">
        <f>VLOOKUP($H:$H,型材表!$B$5:$I$448,5,0)</f>
        <v>0.125</v>
      </c>
      <c r="Q625" s="100" t="str">
        <f>VLOOKUP($H:$H,型材表!$B$5:$I$448,6,0)</f>
        <v>断桥隔热铝型材</v>
      </c>
      <c r="R625" s="313"/>
      <c r="S625" s="314"/>
      <c r="T625" s="469"/>
      <c r="U625" s="376" t="s">
        <v>1250</v>
      </c>
      <c r="V625" s="316">
        <f>25.3+13</f>
        <v>38.299999999999997</v>
      </c>
      <c r="W625" s="316"/>
      <c r="X625" s="317">
        <f>25.3+13</f>
        <v>38.299999999999997</v>
      </c>
      <c r="Y625" s="318"/>
      <c r="Z625" s="317">
        <f>25.3+13</f>
        <v>38.299999999999997</v>
      </c>
      <c r="AA625" s="318"/>
      <c r="AB625" s="317">
        <f>25.3+13</f>
        <v>38.299999999999997</v>
      </c>
      <c r="AC625" s="318"/>
      <c r="AD625" s="317">
        <f>25.3+13</f>
        <v>38.299999999999997</v>
      </c>
      <c r="AE625" s="318"/>
      <c r="AF625" s="317">
        <f>25.3+10.3</f>
        <v>35.6</v>
      </c>
      <c r="AG625" s="318"/>
      <c r="AH625" s="317">
        <f>25.3+10.3</f>
        <v>35.6</v>
      </c>
      <c r="AI625" s="318"/>
      <c r="AJ625" s="317">
        <f>10+25.3</f>
        <v>35.299999999999997</v>
      </c>
      <c r="AK625" s="318"/>
    </row>
    <row r="626" spans="1:37" s="315" customFormat="1" x14ac:dyDescent="0.15">
      <c r="A626" s="413">
        <v>10</v>
      </c>
      <c r="B626" s="534"/>
      <c r="C626" s="535"/>
      <c r="D626" s="535"/>
      <c r="E626" s="536"/>
      <c r="F626" s="310" t="str">
        <f>VLOOKUP($H:$H,型材表!$B$5:$I$448,2,0)</f>
        <v>转向框</v>
      </c>
      <c r="G626" s="116" t="s">
        <v>144</v>
      </c>
      <c r="H626" s="328" t="str">
        <f>H625</f>
        <v>SW55K102</v>
      </c>
      <c r="I626" s="207" t="s">
        <v>1579</v>
      </c>
      <c r="J626" s="329">
        <f>IF(G602=55,M605-V626,IF(G602=551,M605-X626,IF(G602=60,M605-Z626,IF(G602=601,M605-AB626,IF(G602=65,M605-AD626,IF(G602=70,M605-AF626,IF(G602=75,M605-AH626,IF(G602=50,M605-AJ626))))))))</f>
        <v>1161.7</v>
      </c>
      <c r="K626" s="328">
        <v>4</v>
      </c>
      <c r="L626" s="310">
        <f>VLOOKUP($H:$H,型材表!$B$5:$I$448,4,0)</f>
        <v>0.92300000000000004</v>
      </c>
      <c r="M626" s="147">
        <f t="shared" si="99"/>
        <v>4.2889964000000003</v>
      </c>
      <c r="N626" s="311">
        <f>VLOOKUP($H:$H,型材表!$B$5:$I$448,7,0)</f>
        <v>0</v>
      </c>
      <c r="O626" s="147">
        <f t="shared" si="100"/>
        <v>0</v>
      </c>
      <c r="P626" s="312">
        <f>VLOOKUP($H:$H,型材表!$B$5:$I$448,5,0)</f>
        <v>0.125</v>
      </c>
      <c r="Q626" s="100" t="str">
        <f>VLOOKUP($H:$H,型材表!$B$5:$I$448,6,0)</f>
        <v>断桥隔热铝型材</v>
      </c>
      <c r="R626" s="330"/>
      <c r="S626" s="314"/>
      <c r="T626" s="469"/>
      <c r="U626" s="376" t="s">
        <v>1577</v>
      </c>
      <c r="V626" s="316">
        <f>25.3+13</f>
        <v>38.299999999999997</v>
      </c>
      <c r="W626" s="316"/>
      <c r="X626" s="317">
        <f>25.3+13</f>
        <v>38.299999999999997</v>
      </c>
      <c r="Y626" s="318"/>
      <c r="Z626" s="317">
        <f>25.3+13</f>
        <v>38.299999999999997</v>
      </c>
      <c r="AA626" s="318"/>
      <c r="AB626" s="317">
        <f>25.3+13</f>
        <v>38.299999999999997</v>
      </c>
      <c r="AC626" s="318"/>
      <c r="AD626" s="317">
        <f>25.3+13</f>
        <v>38.299999999999997</v>
      </c>
      <c r="AE626" s="318"/>
      <c r="AF626" s="317">
        <f>25.3+10.3</f>
        <v>35.6</v>
      </c>
      <c r="AG626" s="318"/>
      <c r="AH626" s="317">
        <f>25.3+10.3</f>
        <v>35.6</v>
      </c>
      <c r="AI626" s="318"/>
      <c r="AJ626" s="317">
        <f>10+25.3</f>
        <v>35.299999999999997</v>
      </c>
      <c r="AK626" s="318"/>
    </row>
    <row r="627" spans="1:37" x14ac:dyDescent="0.15">
      <c r="A627" s="413">
        <v>11</v>
      </c>
      <c r="B627" s="537"/>
      <c r="C627" s="538"/>
      <c r="D627" s="538"/>
      <c r="E627" s="539"/>
      <c r="F627" s="47"/>
      <c r="G627" s="45"/>
      <c r="H627" s="45"/>
      <c r="I627" s="207"/>
      <c r="J627" s="46"/>
      <c r="K627" s="45"/>
      <c r="L627" s="47"/>
      <c r="M627" s="46"/>
      <c r="N627" s="72"/>
      <c r="O627" s="46"/>
      <c r="P627" s="100"/>
      <c r="Q627" s="100"/>
      <c r="R627" s="49"/>
      <c r="S627" s="50"/>
      <c r="T627" s="459"/>
      <c r="X627" s="264"/>
      <c r="Y627" s="265"/>
      <c r="Z627" s="264"/>
      <c r="AA627" s="265"/>
      <c r="AB627" s="264"/>
      <c r="AC627" s="265"/>
      <c r="AD627" s="264"/>
      <c r="AE627" s="265"/>
      <c r="AF627" s="264"/>
      <c r="AG627" s="265"/>
      <c r="AH627" s="264"/>
      <c r="AI627" s="265"/>
      <c r="AJ627" s="264"/>
      <c r="AK627" s="265"/>
    </row>
    <row r="628" spans="1:37" ht="13.5" customHeight="1" x14ac:dyDescent="0.15">
      <c r="A628" s="413">
        <v>12</v>
      </c>
      <c r="B628" s="531" t="s">
        <v>44</v>
      </c>
      <c r="C628" s="532"/>
      <c r="D628" s="532"/>
      <c r="E628" s="533"/>
      <c r="F628" s="47" t="str">
        <f>VLOOKUP($H:$H,型材表!$B$5:$I$448,2,0)</f>
        <v>压线</v>
      </c>
      <c r="G628" s="45" t="s">
        <v>39</v>
      </c>
      <c r="H628" s="45" t="str">
        <f>IF(G602=55,"SN55Y001",IF(G602=551,"SW55BY001",IF(G602=60,"SN60Y001",IF(G602=601,"SW60AY001",IF(G602=65,"SN65AY001",IF(G602=70,"SN70Y001",IF(G602=75,"SN75Y001",IF(G602=50,"SW50Y001"))))))))</f>
        <v>SN55Y001</v>
      </c>
      <c r="I628" s="207" t="s">
        <v>1316</v>
      </c>
      <c r="J628" s="52">
        <f>IF(G602=55,M606-V628,IF(G602=551,M606-X628,IF(G602=60,M606-Z628,IF(G602=601,M606-AB628,IF(G602=65,M606-AD628,IF(G602=70,M606-AF628,IF(G602=75,M606-AH628,IF(G602=50,M606-AJ628))))))))</f>
        <v>815.2</v>
      </c>
      <c r="K628" s="45">
        <f>K622</f>
        <v>4</v>
      </c>
      <c r="L628" s="47">
        <f>VLOOKUP($H:$H,型材表!$B$5:$I$448,4,0)</f>
        <v>0.214</v>
      </c>
      <c r="M628" s="46">
        <f t="shared" ref="M628:M635" si="103">J628*K628*L628/1000</f>
        <v>0.69781119999999996</v>
      </c>
      <c r="N628" s="72">
        <f>VLOOKUP($H:$H,型材表!$B$5:$I$448,7,0)</f>
        <v>0</v>
      </c>
      <c r="O628" s="46">
        <f t="shared" ref="O628:O635" si="104">N628*M628</f>
        <v>0</v>
      </c>
      <c r="P628" s="100">
        <f>VLOOKUP($H:$H,型材表!$B$5:$I$448,5,0)</f>
        <v>0.125</v>
      </c>
      <c r="Q628" s="100" t="str">
        <f>VLOOKUP($H:$H,型材表!$B$5:$I$448,6,0)</f>
        <v>非断桥隔热铝型材</v>
      </c>
      <c r="R628" s="49"/>
      <c r="S628" s="50"/>
      <c r="T628" s="459"/>
      <c r="U628" s="374" t="s">
        <v>1251</v>
      </c>
      <c r="V628" s="269">
        <f>99.9+84.9</f>
        <v>184.8</v>
      </c>
      <c r="X628" s="279">
        <f>99.9+84.9</f>
        <v>184.8</v>
      </c>
      <c r="Y628" s="265"/>
      <c r="Z628" s="279">
        <f>99.9+84.9</f>
        <v>184.8</v>
      </c>
      <c r="AA628" s="265"/>
      <c r="AB628" s="279">
        <f>99.9+84.9</f>
        <v>184.8</v>
      </c>
      <c r="AC628" s="265"/>
      <c r="AD628" s="279">
        <f>99.9+84.9</f>
        <v>184.8</v>
      </c>
      <c r="AE628" s="265"/>
      <c r="AF628" s="279">
        <f>105.4+90.4</f>
        <v>195.8</v>
      </c>
      <c r="AG628" s="265"/>
      <c r="AH628" s="279">
        <f>105.4+90.4</f>
        <v>195.8</v>
      </c>
      <c r="AI628" s="265"/>
      <c r="AJ628" s="279">
        <f>90.4+75.1</f>
        <v>165.5</v>
      </c>
      <c r="AK628" s="265"/>
    </row>
    <row r="629" spans="1:37" ht="13.5" customHeight="1" x14ac:dyDescent="0.15">
      <c r="A629" s="413">
        <v>13</v>
      </c>
      <c r="B629" s="534"/>
      <c r="C629" s="535"/>
      <c r="D629" s="535"/>
      <c r="E629" s="536"/>
      <c r="F629" s="47" t="str">
        <f>VLOOKUP($H:$H,型材表!$B$5:$I$448,2,0)</f>
        <v>压线</v>
      </c>
      <c r="G629" s="45" t="s">
        <v>39</v>
      </c>
      <c r="H629" s="207" t="str">
        <f>H628</f>
        <v>SN55Y001</v>
      </c>
      <c r="I629" s="328" t="s">
        <v>1317</v>
      </c>
      <c r="J629" s="214">
        <f>IF(G602=55,M607-V629,IF(G602=551,M607-X629,IF(G602=60,M607-Z629,IF(G602=601,M607-AB629,IF(G602=65,M607-AD629,IF(G602=70,M607-AF629,IF(G602=75,M607-AH629,IF(G602=50,M607-AJ629))))))))</f>
        <v>369</v>
      </c>
      <c r="K629" s="207">
        <v>2</v>
      </c>
      <c r="L629" s="47">
        <f>VLOOKUP($H:$H,型材表!$B$5:$I$448,4,0)</f>
        <v>0.214</v>
      </c>
      <c r="M629" s="46">
        <f t="shared" ref="M629:M630" si="105">J629*K629*L629/1000</f>
        <v>0.15793199999999999</v>
      </c>
      <c r="N629" s="72">
        <f>VLOOKUP($H:$H,型材表!$B$5:$I$448,7,0)</f>
        <v>0</v>
      </c>
      <c r="O629" s="46">
        <f t="shared" ref="O629:O630" si="106">N629*M629</f>
        <v>0</v>
      </c>
      <c r="P629" s="100">
        <f>VLOOKUP($H:$H,型材表!$B$5:$I$448,5,0)</f>
        <v>0.125</v>
      </c>
      <c r="Q629" s="100" t="str">
        <f>VLOOKUP($H:$H,型材表!$B$5:$I$448,6,0)</f>
        <v>非断桥隔热铝型材</v>
      </c>
      <c r="R629" s="210"/>
      <c r="S629" s="50"/>
      <c r="T629" s="459"/>
      <c r="U629" s="374" t="s">
        <v>1252</v>
      </c>
      <c r="V629" s="269">
        <f>8+23</f>
        <v>31</v>
      </c>
      <c r="X629" s="279">
        <f>8+23</f>
        <v>31</v>
      </c>
      <c r="Y629" s="265"/>
      <c r="Z629" s="279">
        <f>8+23</f>
        <v>31</v>
      </c>
      <c r="AA629" s="265"/>
      <c r="AB629" s="279">
        <f>8+23</f>
        <v>31</v>
      </c>
      <c r="AC629" s="265"/>
      <c r="AD629" s="279">
        <f>8+23</f>
        <v>31</v>
      </c>
      <c r="AE629" s="265"/>
      <c r="AF629" s="279">
        <f>8+23</f>
        <v>31</v>
      </c>
      <c r="AG629" s="265"/>
      <c r="AH629" s="279">
        <f>8+23</f>
        <v>31</v>
      </c>
      <c r="AI629" s="265"/>
      <c r="AJ629" s="279">
        <f>8+23.3</f>
        <v>31.3</v>
      </c>
      <c r="AK629" s="265"/>
    </row>
    <row r="630" spans="1:37" ht="13.5" customHeight="1" x14ac:dyDescent="0.15">
      <c r="A630" s="413">
        <v>14</v>
      </c>
      <c r="B630" s="534"/>
      <c r="C630" s="535"/>
      <c r="D630" s="535"/>
      <c r="E630" s="536"/>
      <c r="F630" s="47" t="str">
        <f>VLOOKUP($H:$H,型材表!$B$5:$I$448,2,0)</f>
        <v>压线</v>
      </c>
      <c r="G630" s="45" t="s">
        <v>144</v>
      </c>
      <c r="H630" s="207" t="str">
        <f>H629</f>
        <v>SN55Y001</v>
      </c>
      <c r="I630" s="207" t="s">
        <v>1302</v>
      </c>
      <c r="J630" s="214">
        <f>IF(G602=55,M609-V630,IF(G602=551,M609-X630,IF(G602=60,M609-Z630,IF(G602=601,M609-AB630,IF(G602=65,M609-AD630,IF(G602=70,M609-AF630,IF(G602=75,M609-AH630,IF(G602=50,M609-AJ630))))))))</f>
        <v>415.2</v>
      </c>
      <c r="K630" s="45">
        <v>4</v>
      </c>
      <c r="L630" s="47">
        <f>VLOOKUP($H:$H,型材表!$B$5:$I$448,4,0)</f>
        <v>0.214</v>
      </c>
      <c r="M630" s="46">
        <f t="shared" si="105"/>
        <v>0.35541119999999998</v>
      </c>
      <c r="N630" s="72">
        <f>VLOOKUP($H:$H,型材表!$B$5:$I$448,7,0)</f>
        <v>0</v>
      </c>
      <c r="O630" s="46">
        <f t="shared" si="106"/>
        <v>0</v>
      </c>
      <c r="P630" s="100">
        <f>VLOOKUP($H:$H,型材表!$B$5:$I$448,5,0)</f>
        <v>0.125</v>
      </c>
      <c r="Q630" s="100" t="str">
        <f>VLOOKUP($H:$H,型材表!$B$5:$I$448,6,0)</f>
        <v>非断桥隔热铝型材</v>
      </c>
      <c r="R630" s="210"/>
      <c r="S630" s="50"/>
      <c r="T630" s="459"/>
      <c r="U630" s="374" t="s">
        <v>1254</v>
      </c>
      <c r="V630" s="269">
        <f>99.9+84.9</f>
        <v>184.8</v>
      </c>
      <c r="X630" s="279">
        <f>99.9+84.9</f>
        <v>184.8</v>
      </c>
      <c r="Y630" s="265"/>
      <c r="Z630" s="279">
        <f>99.9+84.9</f>
        <v>184.8</v>
      </c>
      <c r="AA630" s="265"/>
      <c r="AB630" s="279">
        <f>99.9+84.9</f>
        <v>184.8</v>
      </c>
      <c r="AC630" s="265"/>
      <c r="AD630" s="279">
        <f>99.9+84.9</f>
        <v>184.8</v>
      </c>
      <c r="AE630" s="265"/>
      <c r="AF630" s="279">
        <f>105.4+90.4</f>
        <v>195.8</v>
      </c>
      <c r="AG630" s="265"/>
      <c r="AH630" s="279">
        <f>105.4+90.4</f>
        <v>195.8</v>
      </c>
      <c r="AI630" s="265"/>
      <c r="AJ630" s="279">
        <f>90.4+75.1</f>
        <v>165.5</v>
      </c>
      <c r="AK630" s="265"/>
    </row>
    <row r="631" spans="1:37" x14ac:dyDescent="0.15">
      <c r="A631" s="413">
        <v>15</v>
      </c>
      <c r="B631" s="534"/>
      <c r="C631" s="535"/>
      <c r="D631" s="535"/>
      <c r="E631" s="536"/>
      <c r="F631" s="47" t="str">
        <f>VLOOKUP($H:$H,型材表!$B$5:$I$448,2,0)</f>
        <v>压线</v>
      </c>
      <c r="G631" s="45" t="s">
        <v>144</v>
      </c>
      <c r="H631" s="207" t="str">
        <f>H628</f>
        <v>SN55Y001</v>
      </c>
      <c r="I631" s="207" t="s">
        <v>1591</v>
      </c>
      <c r="J631" s="214">
        <f>IF(G602=55,M605-V631,IF(G602=551,M605-X631,IF(G602=60,M605-Z631,IF(G602=601,M605-AB631,IF(G602=65,M605-AD631,IF(G602=70,M605-AF631,IF(G602=75,M605-AH631,IF(G602=50,M605-AJ631))))))))</f>
        <v>1154</v>
      </c>
      <c r="K631" s="207">
        <v>2</v>
      </c>
      <c r="L631" s="47">
        <f>VLOOKUP($H:$H,型材表!$B$5:$I$448,4,0)</f>
        <v>0.214</v>
      </c>
      <c r="M631" s="46">
        <f t="shared" si="103"/>
        <v>0.49391199999999996</v>
      </c>
      <c r="N631" s="72">
        <f>VLOOKUP($H:$H,型材表!$B$5:$I$448,7,0)</f>
        <v>0</v>
      </c>
      <c r="O631" s="46">
        <f t="shared" si="104"/>
        <v>0</v>
      </c>
      <c r="P631" s="100">
        <f>VLOOKUP($H:$H,型材表!$B$5:$I$448,5,0)</f>
        <v>0.125</v>
      </c>
      <c r="Q631" s="100" t="str">
        <f>VLOOKUP($H:$H,型材表!$B$5:$I$448,6,0)</f>
        <v>非断桥隔热铝型材</v>
      </c>
      <c r="R631" s="210"/>
      <c r="S631" s="50"/>
      <c r="T631" s="459"/>
      <c r="U631" s="374" t="s">
        <v>1590</v>
      </c>
      <c r="V631" s="269">
        <f>23*2</f>
        <v>46</v>
      </c>
      <c r="X631" s="279">
        <f>23*2</f>
        <v>46</v>
      </c>
      <c r="Y631" s="265"/>
      <c r="Z631" s="279">
        <f>23*2</f>
        <v>46</v>
      </c>
      <c r="AA631" s="265"/>
      <c r="AB631" s="279">
        <f>23*2</f>
        <v>46</v>
      </c>
      <c r="AC631" s="265"/>
      <c r="AD631" s="279">
        <f>23*2</f>
        <v>46</v>
      </c>
      <c r="AE631" s="265"/>
      <c r="AF631" s="279">
        <f>23*2</f>
        <v>46</v>
      </c>
      <c r="AG631" s="265"/>
      <c r="AH631" s="279">
        <f>23*2</f>
        <v>46</v>
      </c>
      <c r="AI631" s="265"/>
      <c r="AJ631" s="279">
        <f>23.3*2</f>
        <v>46.6</v>
      </c>
      <c r="AK631" s="265"/>
    </row>
    <row r="632" spans="1:37" x14ac:dyDescent="0.15">
      <c r="A632" s="413">
        <v>16</v>
      </c>
      <c r="B632" s="534"/>
      <c r="C632" s="535"/>
      <c r="D632" s="535"/>
      <c r="E632" s="536"/>
      <c r="F632" s="47" t="str">
        <f>VLOOKUP($H:$H,型材表!$B$5:$I$448,2,0)</f>
        <v>角码</v>
      </c>
      <c r="G632" s="213" t="s">
        <v>446</v>
      </c>
      <c r="H632" s="207" t="str">
        <f>IF(G602=70,"SN55F003",IF(G602=75,"SN55F003",IF(G602=50,"SW50F002","SW55F001")))</f>
        <v>SW55F001</v>
      </c>
      <c r="I632" s="207" t="s">
        <v>1256</v>
      </c>
      <c r="J632" s="214">
        <f>IF(G602=55,V632,IF(G602=551,X632,IF(G602=60,Z632,IF(G602=601,AB632,IF(G602=65,AD632,IF(G602=70,AF632,IF(G602=75,AH632,IF(G602=50,AJ632))))))))</f>
        <v>32.200000000000003</v>
      </c>
      <c r="K632" s="207">
        <v>4</v>
      </c>
      <c r="L632" s="47">
        <f>VLOOKUP($H:$H,型材表!$B$5:$I$448,4,0)</f>
        <v>2.0950000000000002</v>
      </c>
      <c r="M632" s="46">
        <f t="shared" si="103"/>
        <v>0.26983600000000008</v>
      </c>
      <c r="N632" s="72">
        <f>VLOOKUP($H:$H,型材表!$B$5:$I$448,7,0)</f>
        <v>0</v>
      </c>
      <c r="O632" s="46">
        <f t="shared" si="104"/>
        <v>0</v>
      </c>
      <c r="P632" s="100">
        <f>VLOOKUP($H:$H,型材表!$B$5:$I$448,5,0)</f>
        <v>0.125</v>
      </c>
      <c r="Q632" s="100" t="str">
        <f>VLOOKUP($H:$H,型材表!$B$5:$I$448,6,0)</f>
        <v>阳极氧化铝型材</v>
      </c>
      <c r="R632" s="210"/>
      <c r="S632" s="50"/>
      <c r="T632" s="459"/>
      <c r="U632" s="374" t="s">
        <v>1256</v>
      </c>
      <c r="V632" s="259">
        <f>19.5-1+14.7-1</f>
        <v>32.200000000000003</v>
      </c>
      <c r="X632" s="264">
        <f>19.5-1+10.9-1</f>
        <v>28.4</v>
      </c>
      <c r="Y632" s="265"/>
      <c r="Z632" s="264">
        <f>19.5-1+14.7-1</f>
        <v>32.200000000000003</v>
      </c>
      <c r="AA632" s="265"/>
      <c r="AB632" s="264">
        <f>19.5-1+10.9-1</f>
        <v>28.4</v>
      </c>
      <c r="AC632" s="265"/>
      <c r="AD632" s="264">
        <f>19.5-1+14.7-1</f>
        <v>32.200000000000003</v>
      </c>
      <c r="AE632" s="265"/>
      <c r="AF632" s="264">
        <f>19.5-1+14.7-1</f>
        <v>32.200000000000003</v>
      </c>
      <c r="AG632" s="265"/>
      <c r="AH632" s="264">
        <f>19.5-1+14.7-1</f>
        <v>32.200000000000003</v>
      </c>
      <c r="AI632" s="265"/>
      <c r="AJ632" s="264">
        <f>15-1</f>
        <v>14</v>
      </c>
      <c r="AK632" s="265"/>
    </row>
    <row r="633" spans="1:37" s="229" customFormat="1" x14ac:dyDescent="0.15">
      <c r="A633" s="413">
        <v>17</v>
      </c>
      <c r="B633" s="534"/>
      <c r="C633" s="535"/>
      <c r="D633" s="535"/>
      <c r="E633" s="536"/>
      <c r="F633" s="47" t="str">
        <f>VLOOKUP($H:$H,型材表!$B$5:$I$448,2,0)</f>
        <v>角码</v>
      </c>
      <c r="G633" s="230" t="s">
        <v>447</v>
      </c>
      <c r="H633" s="222" t="str">
        <f>IF(G602=70,"SW70F001",IF(G602=75,"SW70F001",IF(G602=50,"SW50F003","SN55MF004")))</f>
        <v>SN55MF004</v>
      </c>
      <c r="I633" s="207" t="s">
        <v>995</v>
      </c>
      <c r="J633" s="214">
        <f>IF(G602=55,V633,IF(G602=551,X633,IF(G602=60,Z633,IF(G602=601,AB633,IF(G602=65,AD633,IF(G602=70,AF633,IF(G602=75,AH633,IF(G602=50,AJ633))))))))</f>
        <v>30.2</v>
      </c>
      <c r="K633" s="207">
        <v>4</v>
      </c>
      <c r="L633" s="47">
        <f>VLOOKUP($H:$H,型材表!$B$5:$I$448,4,0)</f>
        <v>2.996</v>
      </c>
      <c r="M633" s="46">
        <f t="shared" si="103"/>
        <v>0.36191679999999998</v>
      </c>
      <c r="N633" s="72">
        <f>VLOOKUP($H:$H,型材表!$B$5:$I$448,7,0)</f>
        <v>0</v>
      </c>
      <c r="O633" s="46">
        <f t="shared" si="104"/>
        <v>0</v>
      </c>
      <c r="P633" s="100">
        <f>VLOOKUP($H:$H,型材表!$B$5:$I$448,5,0)</f>
        <v>0.125</v>
      </c>
      <c r="Q633" s="100" t="str">
        <f>VLOOKUP($H:$H,型材表!$B$5:$I$448,6,0)</f>
        <v>阳极氧化铝型材</v>
      </c>
      <c r="R633" s="227"/>
      <c r="S633" s="228"/>
      <c r="T633" s="467"/>
      <c r="U633" s="374" t="s">
        <v>995</v>
      </c>
      <c r="V633" s="266">
        <f>8-1+24.2-1</f>
        <v>30.2</v>
      </c>
      <c r="W633" s="266"/>
      <c r="X633" s="267">
        <f>4.2-1+24.2-1</f>
        <v>26.4</v>
      </c>
      <c r="Y633" s="268"/>
      <c r="Z633" s="267">
        <f>8-1+24.2-1</f>
        <v>30.2</v>
      </c>
      <c r="AA633" s="268"/>
      <c r="AB633" s="267">
        <f>4.2-1+24.2-1</f>
        <v>26.4</v>
      </c>
      <c r="AC633" s="268"/>
      <c r="AD633" s="267">
        <f>8-1+24.2-1</f>
        <v>30.2</v>
      </c>
      <c r="AE633" s="268"/>
      <c r="AF633" s="267">
        <f>7.3-1+24-1</f>
        <v>29.3</v>
      </c>
      <c r="AG633" s="268"/>
      <c r="AH633" s="267">
        <f>7.3-1+24-1</f>
        <v>29.3</v>
      </c>
      <c r="AI633" s="268"/>
      <c r="AJ633" s="267">
        <f>18.9-1</f>
        <v>17.899999999999999</v>
      </c>
      <c r="AK633" s="268"/>
    </row>
    <row r="634" spans="1:37" x14ac:dyDescent="0.15">
      <c r="A634" s="413">
        <v>18</v>
      </c>
      <c r="B634" s="534"/>
      <c r="C634" s="535"/>
      <c r="D634" s="535"/>
      <c r="E634" s="536"/>
      <c r="F634" s="47" t="str">
        <f>VLOOKUP($H:$H,型材表!$B$5:$I$448,2,0)</f>
        <v>中梃角码</v>
      </c>
      <c r="G634" s="51"/>
      <c r="H634" s="45" t="str">
        <f>IF(G602=50,"SW50F004","SN55F001")</f>
        <v>SN55F001</v>
      </c>
      <c r="I634" s="207" t="s">
        <v>1258</v>
      </c>
      <c r="J634" s="52">
        <f>IF(G602=55,V634,IF(G602=551,X634,IF(G602=60,Z634,IF(G602=601,AB634,IF(G602=65,AD634,IF(G602=70,AF634,IF(G602=75,AH634,IF(G602=50,AJ634))))))))</f>
        <v>18.5</v>
      </c>
      <c r="K634" s="45">
        <v>2</v>
      </c>
      <c r="L634" s="47">
        <f>VLOOKUP($H:$H,型材表!$B$5:$I$448,4,0)</f>
        <v>1.4730000000000001</v>
      </c>
      <c r="M634" s="46">
        <f t="shared" si="103"/>
        <v>5.4501000000000008E-2</v>
      </c>
      <c r="N634" s="72">
        <f>VLOOKUP($H:$H,型材表!$B$5:$I$448,7,0)</f>
        <v>0</v>
      </c>
      <c r="O634" s="46">
        <f t="shared" si="104"/>
        <v>0</v>
      </c>
      <c r="P634" s="100">
        <f>VLOOKUP($H:$H,型材表!$B$5:$I$448,5,0)</f>
        <v>0.125</v>
      </c>
      <c r="Q634" s="100" t="str">
        <f>VLOOKUP($H:$H,型材表!$B$5:$I$448,6,0)</f>
        <v>阳极氧化铝型材</v>
      </c>
      <c r="R634" s="49"/>
      <c r="S634" s="50"/>
      <c r="T634" s="459"/>
      <c r="U634" s="374" t="s">
        <v>997</v>
      </c>
      <c r="V634" s="259">
        <f>19.5-1</f>
        <v>18.5</v>
      </c>
      <c r="X634" s="264">
        <f>19.5-1</f>
        <v>18.5</v>
      </c>
      <c r="Y634" s="265"/>
      <c r="Z634" s="286">
        <f>19.5-1</f>
        <v>18.5</v>
      </c>
      <c r="AA634" s="265"/>
      <c r="AB634" s="264">
        <f>19.5-1</f>
        <v>18.5</v>
      </c>
      <c r="AC634" s="265"/>
      <c r="AD634" s="286">
        <f>19.5-1</f>
        <v>18.5</v>
      </c>
      <c r="AE634" s="265"/>
      <c r="AF634" s="286">
        <f>19.5-1</f>
        <v>18.5</v>
      </c>
      <c r="AG634" s="265"/>
      <c r="AH634" s="286">
        <f>19.5-1</f>
        <v>18.5</v>
      </c>
      <c r="AI634" s="265"/>
      <c r="AJ634" s="264">
        <f>13.2-1</f>
        <v>12.2</v>
      </c>
      <c r="AK634" s="265"/>
    </row>
    <row r="635" spans="1:37" x14ac:dyDescent="0.15">
      <c r="A635" s="413">
        <v>19</v>
      </c>
      <c r="B635" s="534"/>
      <c r="C635" s="535"/>
      <c r="D635" s="535"/>
      <c r="E635" s="536"/>
      <c r="F635" s="47" t="str">
        <f>VLOOKUP($H:$H,型材表!$B$5:$I$448,2,0)</f>
        <v>中梃角码</v>
      </c>
      <c r="G635" s="213"/>
      <c r="H635" s="207" t="str">
        <f>IF(G602=501,"SN55BF001",IF(G602=601,"SN55BF001",IF(G602=70,"SN70F001",IF(G602=75,"SN70F001","SN55F002"))))</f>
        <v>SN55F002</v>
      </c>
      <c r="I635" s="207" t="s">
        <v>939</v>
      </c>
      <c r="J635" s="214">
        <f>IF(G602=55,V635,IF(G602=551,X635,IF(G602=60,Z635,IF(G602=601,AB635,IF(G602=65,AD635,IF(G602=70,AF635,IF(G602=75,AH635,IF(G602=50,AJ635))))))))</f>
        <v>13.5</v>
      </c>
      <c r="K635" s="207">
        <v>2</v>
      </c>
      <c r="L635" s="47">
        <f>VLOOKUP($H:$H,型材表!$B$5:$I$448,4,0)</f>
        <v>0.90400000000000003</v>
      </c>
      <c r="M635" s="46">
        <f t="shared" si="103"/>
        <v>2.4408000000000003E-2</v>
      </c>
      <c r="N635" s="72">
        <f>VLOOKUP($H:$H,型材表!$B$5:$I$448,7,0)</f>
        <v>0</v>
      </c>
      <c r="O635" s="46">
        <f t="shared" si="104"/>
        <v>0</v>
      </c>
      <c r="P635" s="100">
        <f>VLOOKUP($H:$H,型材表!$B$5:$I$448,5,0)</f>
        <v>0.125</v>
      </c>
      <c r="Q635" s="100" t="str">
        <f>VLOOKUP($H:$H,型材表!$B$5:$I$448,6,0)</f>
        <v>阳极氧化铝型材</v>
      </c>
      <c r="R635" s="210"/>
      <c r="S635" s="50"/>
      <c r="T635" s="459"/>
      <c r="U635" s="374" t="s">
        <v>939</v>
      </c>
      <c r="V635" s="259">
        <f>14.5-1</f>
        <v>13.5</v>
      </c>
      <c r="X635" s="264">
        <f>10.7-1</f>
        <v>9.6999999999999993</v>
      </c>
      <c r="Y635" s="265"/>
      <c r="Z635" s="286">
        <f>14.5-1</f>
        <v>13.5</v>
      </c>
      <c r="AA635" s="265"/>
      <c r="AB635" s="264">
        <f>10.7-1</f>
        <v>9.6999999999999993</v>
      </c>
      <c r="AC635" s="265"/>
      <c r="AD635" s="286">
        <f>14.5-1</f>
        <v>13.5</v>
      </c>
      <c r="AE635" s="265"/>
      <c r="AF635" s="286">
        <f>14.5-1</f>
        <v>13.5</v>
      </c>
      <c r="AG635" s="265"/>
      <c r="AH635" s="286">
        <f>14.5-1</f>
        <v>13.5</v>
      </c>
      <c r="AI635" s="265"/>
      <c r="AJ635" s="264"/>
      <c r="AK635" s="265"/>
    </row>
    <row r="636" spans="1:37" x14ac:dyDescent="0.15">
      <c r="A636" s="413">
        <v>20</v>
      </c>
      <c r="B636" s="534"/>
      <c r="C636" s="535"/>
      <c r="D636" s="535"/>
      <c r="E636" s="536"/>
      <c r="F636" s="306"/>
      <c r="G636" s="213"/>
      <c r="H636" s="207"/>
      <c r="I636" s="207"/>
      <c r="J636" s="214"/>
      <c r="K636" s="207"/>
      <c r="L636" s="306"/>
      <c r="M636" s="208"/>
      <c r="N636" s="209"/>
      <c r="O636" s="208"/>
      <c r="P636" s="307"/>
      <c r="Q636" s="100"/>
      <c r="R636" s="210"/>
      <c r="S636" s="50"/>
      <c r="T636" s="459"/>
      <c r="X636" s="264"/>
      <c r="Y636" s="265"/>
      <c r="Z636" s="264"/>
      <c r="AA636" s="265"/>
      <c r="AB636" s="264"/>
      <c r="AC636" s="265"/>
      <c r="AD636" s="264"/>
      <c r="AE636" s="265"/>
      <c r="AF636" s="264"/>
      <c r="AG636" s="265"/>
      <c r="AH636" s="264"/>
      <c r="AI636" s="265"/>
      <c r="AJ636" s="264"/>
      <c r="AK636" s="265"/>
    </row>
    <row r="637" spans="1:37" x14ac:dyDescent="0.15">
      <c r="A637" s="413">
        <v>21</v>
      </c>
      <c r="B637" s="534"/>
      <c r="C637" s="535"/>
      <c r="D637" s="535"/>
      <c r="E637" s="536"/>
      <c r="F637" s="306"/>
      <c r="G637" s="213"/>
      <c r="H637" s="207"/>
      <c r="I637" s="207"/>
      <c r="J637" s="214"/>
      <c r="K637" s="207"/>
      <c r="L637" s="306"/>
      <c r="M637" s="208"/>
      <c r="N637" s="209"/>
      <c r="O637" s="208"/>
      <c r="P637" s="307"/>
      <c r="Q637" s="100"/>
      <c r="R637" s="210"/>
      <c r="S637" s="50"/>
      <c r="T637" s="459"/>
      <c r="X637" s="264"/>
      <c r="Y637" s="265"/>
      <c r="Z637" s="264"/>
      <c r="AA637" s="265"/>
      <c r="AB637" s="264"/>
      <c r="AC637" s="265"/>
      <c r="AD637" s="264"/>
      <c r="AE637" s="265"/>
      <c r="AF637" s="264"/>
      <c r="AG637" s="265"/>
      <c r="AH637" s="264"/>
      <c r="AI637" s="265"/>
      <c r="AJ637" s="264"/>
      <c r="AK637" s="265"/>
    </row>
    <row r="638" spans="1:37" x14ac:dyDescent="0.15">
      <c r="A638" s="413">
        <v>22</v>
      </c>
      <c r="B638" s="534"/>
      <c r="C638" s="535"/>
      <c r="D638" s="535"/>
      <c r="E638" s="536"/>
      <c r="F638" s="306"/>
      <c r="G638" s="213"/>
      <c r="H638" s="207"/>
      <c r="I638" s="207"/>
      <c r="J638" s="214"/>
      <c r="K638" s="207"/>
      <c r="L638" s="306"/>
      <c r="M638" s="208"/>
      <c r="N638" s="209"/>
      <c r="O638" s="208"/>
      <c r="P638" s="307"/>
      <c r="Q638" s="100"/>
      <c r="R638" s="210"/>
      <c r="S638" s="50"/>
      <c r="T638" s="459"/>
      <c r="X638" s="264"/>
      <c r="Y638" s="265"/>
      <c r="Z638" s="264"/>
      <c r="AA638" s="265"/>
      <c r="AB638" s="264"/>
      <c r="AC638" s="265"/>
      <c r="AD638" s="264"/>
      <c r="AE638" s="265"/>
      <c r="AF638" s="264"/>
      <c r="AG638" s="265"/>
      <c r="AH638" s="264"/>
      <c r="AI638" s="265"/>
      <c r="AJ638" s="264"/>
      <c r="AK638" s="265"/>
    </row>
    <row r="639" spans="1:37" x14ac:dyDescent="0.15">
      <c r="A639" s="413">
        <v>23</v>
      </c>
      <c r="B639" s="534"/>
      <c r="C639" s="535"/>
      <c r="D639" s="535"/>
      <c r="E639" s="536"/>
      <c r="F639" s="306"/>
      <c r="G639" s="213"/>
      <c r="H639" s="207"/>
      <c r="I639" s="207"/>
      <c r="J639" s="214"/>
      <c r="K639" s="207"/>
      <c r="L639" s="306"/>
      <c r="M639" s="208"/>
      <c r="N639" s="209"/>
      <c r="O639" s="208"/>
      <c r="P639" s="307"/>
      <c r="Q639" s="100"/>
      <c r="R639" s="210"/>
      <c r="S639" s="50"/>
      <c r="T639" s="459"/>
      <c r="X639" s="264"/>
      <c r="Y639" s="265"/>
      <c r="Z639" s="264"/>
      <c r="AA639" s="265"/>
      <c r="AB639" s="264"/>
      <c r="AC639" s="265"/>
      <c r="AD639" s="264"/>
      <c r="AE639" s="265"/>
      <c r="AF639" s="264"/>
      <c r="AG639" s="265"/>
      <c r="AH639" s="264"/>
      <c r="AI639" s="265"/>
      <c r="AJ639" s="264"/>
      <c r="AK639" s="265"/>
    </row>
    <row r="640" spans="1:37" x14ac:dyDescent="0.15">
      <c r="A640" s="413">
        <v>24</v>
      </c>
      <c r="B640" s="534"/>
      <c r="C640" s="535"/>
      <c r="D640" s="535"/>
      <c r="E640" s="536"/>
      <c r="F640" s="306"/>
      <c r="G640" s="213"/>
      <c r="H640" s="207"/>
      <c r="I640" s="207"/>
      <c r="J640" s="214"/>
      <c r="K640" s="207"/>
      <c r="L640" s="306"/>
      <c r="M640" s="208"/>
      <c r="N640" s="209"/>
      <c r="O640" s="208"/>
      <c r="P640" s="307"/>
      <c r="Q640" s="100"/>
      <c r="R640" s="210"/>
      <c r="S640" s="50"/>
      <c r="T640" s="459"/>
      <c r="X640" s="264"/>
      <c r="Y640" s="265"/>
      <c r="Z640" s="264"/>
      <c r="AA640" s="265"/>
      <c r="AB640" s="264"/>
      <c r="AC640" s="265"/>
      <c r="AD640" s="264"/>
      <c r="AE640" s="265"/>
      <c r="AF640" s="264"/>
      <c r="AG640" s="265"/>
      <c r="AH640" s="264"/>
      <c r="AI640" s="265"/>
      <c r="AJ640" s="264"/>
      <c r="AK640" s="265"/>
    </row>
    <row r="641" spans="1:37" x14ac:dyDescent="0.15">
      <c r="A641" s="413">
        <v>25</v>
      </c>
      <c r="B641" s="534"/>
      <c r="C641" s="535"/>
      <c r="D641" s="535"/>
      <c r="E641" s="536"/>
      <c r="F641" s="47"/>
      <c r="G641" s="213"/>
      <c r="H641" s="207"/>
      <c r="I641" s="207"/>
      <c r="J641" s="214"/>
      <c r="K641" s="207"/>
      <c r="L641" s="47"/>
      <c r="M641" s="46"/>
      <c r="N641" s="72"/>
      <c r="O641" s="46"/>
      <c r="P641" s="100"/>
      <c r="Q641" s="100"/>
      <c r="R641" s="210"/>
      <c r="S641" s="50"/>
      <c r="T641" s="459"/>
      <c r="X641" s="264"/>
      <c r="Y641" s="265"/>
      <c r="Z641" s="264"/>
      <c r="AA641" s="265"/>
      <c r="AB641" s="264"/>
      <c r="AC641" s="265"/>
      <c r="AD641" s="264"/>
      <c r="AE641" s="265"/>
      <c r="AF641" s="264"/>
      <c r="AG641" s="265"/>
      <c r="AH641" s="264"/>
      <c r="AI641" s="265"/>
      <c r="AJ641" s="264"/>
      <c r="AK641" s="265"/>
    </row>
    <row r="642" spans="1:37" x14ac:dyDescent="0.15">
      <c r="A642" s="413">
        <v>26</v>
      </c>
      <c r="B642" s="534"/>
      <c r="C642" s="535"/>
      <c r="D642" s="535"/>
      <c r="E642" s="536"/>
      <c r="F642" s="306"/>
      <c r="G642" s="213"/>
      <c r="H642" s="207"/>
      <c r="I642" s="207"/>
      <c r="J642" s="214"/>
      <c r="K642" s="207"/>
      <c r="L642" s="306"/>
      <c r="M642" s="208"/>
      <c r="N642" s="209"/>
      <c r="O642" s="208"/>
      <c r="P642" s="307"/>
      <c r="Q642" s="307"/>
      <c r="R642" s="210"/>
      <c r="S642" s="50"/>
      <c r="T642" s="459"/>
      <c r="X642" s="264"/>
      <c r="Y642" s="265"/>
      <c r="Z642" s="264"/>
      <c r="AA642" s="265"/>
      <c r="AB642" s="264"/>
      <c r="AC642" s="265"/>
      <c r="AD642" s="264"/>
      <c r="AE642" s="265"/>
      <c r="AF642" s="264"/>
      <c r="AG642" s="265"/>
      <c r="AH642" s="264"/>
      <c r="AI642" s="265"/>
      <c r="AJ642" s="264"/>
      <c r="AK642" s="265"/>
    </row>
    <row r="643" spans="1:37" s="229" customFormat="1" ht="15" customHeight="1" x14ac:dyDescent="0.15">
      <c r="A643" s="413">
        <v>27</v>
      </c>
      <c r="B643" s="537"/>
      <c r="C643" s="538"/>
      <c r="D643" s="538"/>
      <c r="E643" s="539"/>
      <c r="F643" s="221"/>
      <c r="G643" s="232"/>
      <c r="H643" s="233"/>
      <c r="I643" s="222"/>
      <c r="J643" s="234"/>
      <c r="K643" s="233"/>
      <c r="L643" s="221"/>
      <c r="M643" s="224"/>
      <c r="N643" s="225"/>
      <c r="O643" s="224"/>
      <c r="P643" s="226"/>
      <c r="Q643" s="226"/>
      <c r="R643" s="235"/>
      <c r="S643" s="228"/>
      <c r="T643" s="467"/>
      <c r="U643" s="375"/>
      <c r="V643" s="266"/>
      <c r="W643" s="266"/>
      <c r="X643" s="267"/>
      <c r="Y643" s="268"/>
      <c r="Z643" s="267"/>
      <c r="AA643" s="268"/>
      <c r="AB643" s="267"/>
      <c r="AC643" s="268"/>
      <c r="AD643" s="267"/>
      <c r="AE643" s="268"/>
      <c r="AF643" s="267"/>
      <c r="AG643" s="268"/>
      <c r="AH643" s="267"/>
      <c r="AI643" s="268"/>
      <c r="AJ643" s="267"/>
      <c r="AK643" s="268"/>
    </row>
    <row r="644" spans="1:37" s="229" customFormat="1" ht="15" customHeight="1" x14ac:dyDescent="0.15">
      <c r="A644" s="542" t="s">
        <v>975</v>
      </c>
      <c r="B644" s="543"/>
      <c r="C644" s="543"/>
      <c r="D644" s="543"/>
      <c r="E644" s="543"/>
      <c r="F644" s="543"/>
      <c r="G644" s="543"/>
      <c r="H644" s="543"/>
      <c r="I644" s="543"/>
      <c r="J644" s="543"/>
      <c r="K644" s="543"/>
      <c r="L644" s="544"/>
      <c r="M644" s="224">
        <f>SUMIF($Q$617:$Q$643,A644,$M$617:$M$643)</f>
        <v>21.306523800000001</v>
      </c>
      <c r="N644" s="353"/>
      <c r="O644" s="224"/>
      <c r="P644" s="354"/>
      <c r="Q644" s="355"/>
      <c r="R644" s="296"/>
      <c r="S644" s="228"/>
      <c r="T644" s="467"/>
      <c r="U644" s="375"/>
      <c r="V644" s="266"/>
      <c r="W644" s="266"/>
      <c r="X644" s="267"/>
      <c r="Y644" s="268"/>
      <c r="Z644" s="267"/>
      <c r="AA644" s="268"/>
      <c r="AB644" s="267"/>
      <c r="AC644" s="268"/>
      <c r="AD644" s="267"/>
      <c r="AE644" s="268"/>
      <c r="AF644" s="267"/>
      <c r="AG644" s="268"/>
      <c r="AH644" s="267"/>
      <c r="AI644" s="268"/>
      <c r="AJ644" s="267"/>
      <c r="AK644" s="268"/>
    </row>
    <row r="645" spans="1:37" s="229" customFormat="1" ht="15" customHeight="1" x14ac:dyDescent="0.15">
      <c r="A645" s="542" t="s">
        <v>976</v>
      </c>
      <c r="B645" s="543"/>
      <c r="C645" s="543"/>
      <c r="D645" s="543"/>
      <c r="E645" s="543"/>
      <c r="F645" s="543"/>
      <c r="G645" s="543"/>
      <c r="H645" s="543"/>
      <c r="I645" s="543"/>
      <c r="J645" s="543"/>
      <c r="K645" s="543"/>
      <c r="L645" s="544"/>
      <c r="M645" s="224">
        <f>SUMIF($Q$617:$Q$643,A645,$M$617:$M$643)</f>
        <v>1.7050663999999998</v>
      </c>
      <c r="N645" s="353"/>
      <c r="O645" s="224"/>
      <c r="P645" s="354"/>
      <c r="Q645" s="355"/>
      <c r="R645" s="296"/>
      <c r="S645" s="228"/>
      <c r="T645" s="467"/>
      <c r="U645" s="375"/>
      <c r="V645" s="266"/>
      <c r="W645" s="266"/>
      <c r="X645" s="267"/>
      <c r="Y645" s="268"/>
      <c r="Z645" s="267"/>
      <c r="AA645" s="268"/>
      <c r="AB645" s="267"/>
      <c r="AC645" s="268"/>
      <c r="AD645" s="267"/>
      <c r="AE645" s="268"/>
      <c r="AF645" s="267"/>
      <c r="AG645" s="268"/>
      <c r="AH645" s="267"/>
      <c r="AI645" s="268"/>
      <c r="AJ645" s="267"/>
      <c r="AK645" s="268"/>
    </row>
    <row r="646" spans="1:37" s="229" customFormat="1" ht="15" customHeight="1" x14ac:dyDescent="0.15">
      <c r="A646" s="542" t="s">
        <v>977</v>
      </c>
      <c r="B646" s="543"/>
      <c r="C646" s="543"/>
      <c r="D646" s="543"/>
      <c r="E646" s="543"/>
      <c r="F646" s="543"/>
      <c r="G646" s="543"/>
      <c r="H646" s="543"/>
      <c r="I646" s="543"/>
      <c r="J646" s="543"/>
      <c r="K646" s="543"/>
      <c r="L646" s="544"/>
      <c r="M646" s="224">
        <f>SUMIF($Q$617:$Q$643,A646,$M$617:$M$643)</f>
        <v>0.71066180000000012</v>
      </c>
      <c r="N646" s="353"/>
      <c r="O646" s="224"/>
      <c r="P646" s="354"/>
      <c r="Q646" s="355"/>
      <c r="R646" s="296"/>
      <c r="S646" s="228"/>
      <c r="T646" s="467"/>
      <c r="U646" s="375"/>
      <c r="V646" s="266"/>
      <c r="W646" s="266"/>
      <c r="X646" s="267"/>
      <c r="Y646" s="268"/>
      <c r="Z646" s="267"/>
      <c r="AA646" s="268"/>
      <c r="AB646" s="267"/>
      <c r="AC646" s="268"/>
      <c r="AD646" s="267"/>
      <c r="AE646" s="268"/>
      <c r="AF646" s="267"/>
      <c r="AG646" s="268"/>
      <c r="AH646" s="267"/>
      <c r="AI646" s="268"/>
      <c r="AJ646" s="267"/>
      <c r="AK646" s="268"/>
    </row>
    <row r="647" spans="1:37" ht="13.5" customHeight="1" x14ac:dyDescent="0.15">
      <c r="A647" s="552"/>
      <c r="B647" s="557"/>
      <c r="C647" s="557"/>
      <c r="D647" s="553"/>
      <c r="E647" s="552" t="s">
        <v>48</v>
      </c>
      <c r="F647" s="557"/>
      <c r="G647" s="557"/>
      <c r="H647" s="557"/>
      <c r="I647" s="557"/>
      <c r="J647" s="557"/>
      <c r="K647" s="553"/>
      <c r="L647" s="62"/>
      <c r="M647" s="62">
        <f>SUM(M644:M646)</f>
        <v>23.722252000000001</v>
      </c>
      <c r="N647" s="63"/>
      <c r="O647" s="62">
        <f>SUM(O617:O643)</f>
        <v>0</v>
      </c>
      <c r="P647" s="63"/>
      <c r="Q647" s="337"/>
      <c r="R647" s="64"/>
      <c r="S647" s="64"/>
      <c r="T647" s="460"/>
      <c r="X647" s="264"/>
      <c r="Y647" s="265"/>
      <c r="Z647" s="264"/>
      <c r="AA647" s="265"/>
      <c r="AB647" s="264"/>
      <c r="AC647" s="265"/>
      <c r="AD647" s="264"/>
      <c r="AE647" s="265"/>
      <c r="AF647" s="264"/>
      <c r="AG647" s="265"/>
      <c r="AH647" s="264"/>
      <c r="AI647" s="265"/>
      <c r="AJ647" s="264"/>
      <c r="AK647" s="265"/>
    </row>
    <row r="648" spans="1:37" ht="24" x14ac:dyDescent="0.15">
      <c r="A648" s="65"/>
      <c r="B648" s="560" t="s">
        <v>49</v>
      </c>
      <c r="C648" s="561"/>
      <c r="D648" s="561"/>
      <c r="E648" s="562"/>
      <c r="F648" s="565" t="s">
        <v>26</v>
      </c>
      <c r="G648" s="566"/>
      <c r="H648" s="66" t="s">
        <v>1167</v>
      </c>
      <c r="I648" s="351" t="s">
        <v>1168</v>
      </c>
      <c r="J648" s="66" t="s">
        <v>50</v>
      </c>
      <c r="K648" s="66" t="s">
        <v>51</v>
      </c>
      <c r="L648" s="67" t="s">
        <v>30</v>
      </c>
      <c r="M648" s="66" t="s">
        <v>52</v>
      </c>
      <c r="N648" s="68" t="s">
        <v>53</v>
      </c>
      <c r="O648" s="68" t="s">
        <v>34</v>
      </c>
      <c r="P648" s="69" t="s">
        <v>35</v>
      </c>
      <c r="Q648" s="42"/>
      <c r="R648" s="67"/>
      <c r="S648" s="67"/>
      <c r="T648" s="461"/>
      <c r="V648" s="270" t="s">
        <v>352</v>
      </c>
      <c r="W648" s="270" t="s">
        <v>353</v>
      </c>
      <c r="X648" s="271" t="s">
        <v>352</v>
      </c>
      <c r="Y648" s="272" t="s">
        <v>353</v>
      </c>
      <c r="Z648" s="271" t="s">
        <v>352</v>
      </c>
      <c r="AA648" s="272" t="s">
        <v>353</v>
      </c>
      <c r="AB648" s="271" t="s">
        <v>352</v>
      </c>
      <c r="AC648" s="272" t="s">
        <v>353</v>
      </c>
      <c r="AD648" s="271" t="s">
        <v>352</v>
      </c>
      <c r="AE648" s="272" t="s">
        <v>353</v>
      </c>
      <c r="AF648" s="271" t="s">
        <v>352</v>
      </c>
      <c r="AG648" s="272" t="s">
        <v>353</v>
      </c>
      <c r="AH648" s="271" t="s">
        <v>352</v>
      </c>
      <c r="AI648" s="272" t="s">
        <v>353</v>
      </c>
      <c r="AJ648" s="271" t="s">
        <v>352</v>
      </c>
      <c r="AK648" s="272" t="s">
        <v>353</v>
      </c>
    </row>
    <row r="649" spans="1:37" x14ac:dyDescent="0.15">
      <c r="A649" s="302">
        <v>1</v>
      </c>
      <c r="B649" s="542" t="s">
        <v>133</v>
      </c>
      <c r="C649" s="543"/>
      <c r="D649" s="543"/>
      <c r="E649" s="544"/>
      <c r="F649" s="545" t="s">
        <v>55</v>
      </c>
      <c r="G649" s="547"/>
      <c r="H649" s="45" t="s">
        <v>1311</v>
      </c>
      <c r="I649" s="207" t="s">
        <v>1318</v>
      </c>
      <c r="J649" s="46">
        <f>IF(G602=55,M609-V649,IF(G602=551,M609-X649,IF(G602=60,M609-Z649,IF(G602=601,M609-AB649,IF(G602=65,M609-AD649,IF(G602=70,M609-AF649,IF(G602=75,M609-AH649,IF(G602=50,M609-AJ649))))))))</f>
        <v>395.2</v>
      </c>
      <c r="K649" s="70">
        <f>IF(G602=55,M606-W649,IF(G602=551,M606-Y649,IF(G602=60,M606-AA649,IF(G602=601,M606-AC649,IF(G602=65,M606-AE649,IF(G602=70,M606-AG649,IF(G602=75,M606-AI649,IF(G602=50,M606-AK649))))))))</f>
        <v>795.2</v>
      </c>
      <c r="L649" s="70">
        <v>2</v>
      </c>
      <c r="M649" s="46">
        <f>J649*K649*L649/1000000</f>
        <v>0.6285260800000001</v>
      </c>
      <c r="N649" s="46"/>
      <c r="O649" s="46">
        <f>N649*M649</f>
        <v>0</v>
      </c>
      <c r="P649" s="71"/>
      <c r="Q649" s="71"/>
      <c r="R649" s="72"/>
      <c r="S649" s="72"/>
      <c r="T649" s="462" t="s">
        <v>1621</v>
      </c>
      <c r="U649" s="374" t="s">
        <v>1627</v>
      </c>
      <c r="V649" s="259">
        <f t="shared" ref="V649:AE649" si="107">109.9+94.9</f>
        <v>204.8</v>
      </c>
      <c r="W649" s="259">
        <f t="shared" si="107"/>
        <v>204.8</v>
      </c>
      <c r="X649" s="286">
        <f t="shared" si="107"/>
        <v>204.8</v>
      </c>
      <c r="Y649" s="304">
        <f t="shared" si="107"/>
        <v>204.8</v>
      </c>
      <c r="Z649" s="286">
        <f t="shared" si="107"/>
        <v>204.8</v>
      </c>
      <c r="AA649" s="304">
        <f t="shared" si="107"/>
        <v>204.8</v>
      </c>
      <c r="AB649" s="286">
        <f t="shared" si="107"/>
        <v>204.8</v>
      </c>
      <c r="AC649" s="304">
        <f t="shared" si="107"/>
        <v>204.8</v>
      </c>
      <c r="AD649" s="286">
        <f t="shared" si="107"/>
        <v>204.8</v>
      </c>
      <c r="AE649" s="304">
        <f t="shared" si="107"/>
        <v>204.8</v>
      </c>
      <c r="AF649" s="286">
        <f>117.4+102.4</f>
        <v>219.8</v>
      </c>
      <c r="AG649" s="304">
        <f>117.4+102.4</f>
        <v>219.8</v>
      </c>
      <c r="AH649" s="286">
        <f>117.4+102.4</f>
        <v>219.8</v>
      </c>
      <c r="AI649" s="304">
        <f>117.4+102.4</f>
        <v>219.8</v>
      </c>
      <c r="AJ649" s="259">
        <f>98.4+83.1</f>
        <v>181.5</v>
      </c>
      <c r="AK649" s="318">
        <f>98.4+83.1</f>
        <v>181.5</v>
      </c>
    </row>
    <row r="650" spans="1:37" x14ac:dyDescent="0.15">
      <c r="A650" s="238">
        <v>2</v>
      </c>
      <c r="B650" s="542" t="s">
        <v>134</v>
      </c>
      <c r="C650" s="543"/>
      <c r="D650" s="543"/>
      <c r="E650" s="544"/>
      <c r="F650" s="545" t="s">
        <v>135</v>
      </c>
      <c r="G650" s="547"/>
      <c r="H650" s="207" t="s">
        <v>1647</v>
      </c>
      <c r="I650" s="207" t="s">
        <v>1319</v>
      </c>
      <c r="J650" s="208">
        <f>IF(G602=55,M609-V650,IF(G602=551,M609-X650,IF(G602=60,M609-Z650,IF(G602=601,M609-AB650,IF(G602=65,M609-AD650,IF(G602=70,M609-AF650,IF(G602=75,M609-AH650,IF(G602=50,M609-AJ650))))))))</f>
        <v>530</v>
      </c>
      <c r="K650" s="239">
        <f>IF(G602=55,M607-W650,IF(G602=551,M607-Y650,IF(G602=60,M607-AA650,IF(G602=601,M607-AC650,IF(G602=65,M607-AE650,IF(G602=70,M607-AG650,IF(G602=75,M607-AI650,IF(G602=50,M607-AK650))))))))</f>
        <v>347</v>
      </c>
      <c r="L650" s="239">
        <v>1</v>
      </c>
      <c r="M650" s="46">
        <f>J650*K650*L650/1000000</f>
        <v>0.18390999999999999</v>
      </c>
      <c r="N650" s="208"/>
      <c r="O650" s="46">
        <f>N650*M650</f>
        <v>0</v>
      </c>
      <c r="P650" s="240"/>
      <c r="Q650" s="71"/>
      <c r="R650" s="209"/>
      <c r="S650" s="209"/>
      <c r="T650" s="462" t="s">
        <v>1646</v>
      </c>
      <c r="U650" s="374" t="s">
        <v>1628</v>
      </c>
      <c r="V650" s="259">
        <f>35*2</f>
        <v>70</v>
      </c>
      <c r="W650" s="259">
        <f t="shared" ref="W650:AE650" si="108">18+35</f>
        <v>53</v>
      </c>
      <c r="X650" s="286">
        <f>35*2</f>
        <v>70</v>
      </c>
      <c r="Y650" s="304">
        <f t="shared" si="108"/>
        <v>53</v>
      </c>
      <c r="Z650" s="286">
        <f>35*2</f>
        <v>70</v>
      </c>
      <c r="AA650" s="304">
        <f t="shared" si="108"/>
        <v>53</v>
      </c>
      <c r="AB650" s="286">
        <f>35*2</f>
        <v>70</v>
      </c>
      <c r="AC650" s="304">
        <f t="shared" si="108"/>
        <v>53</v>
      </c>
      <c r="AD650" s="286">
        <f>35*2</f>
        <v>70</v>
      </c>
      <c r="AE650" s="304">
        <f t="shared" si="108"/>
        <v>53</v>
      </c>
      <c r="AF650" s="286">
        <f>35*2</f>
        <v>70</v>
      </c>
      <c r="AG650" s="304">
        <f>20+35</f>
        <v>55</v>
      </c>
      <c r="AH650" s="286">
        <f>35*2</f>
        <v>70</v>
      </c>
      <c r="AI650" s="304">
        <f>20+35</f>
        <v>55</v>
      </c>
      <c r="AJ650" s="264">
        <f>31.3*2</f>
        <v>62.6</v>
      </c>
      <c r="AK650" s="318">
        <f>16+31.3</f>
        <v>47.3</v>
      </c>
    </row>
    <row r="651" spans="1:37" x14ac:dyDescent="0.15">
      <c r="A651" s="414"/>
      <c r="B651" s="446"/>
      <c r="C651" s="447"/>
      <c r="D651" s="447"/>
      <c r="E651" s="448"/>
      <c r="F651" s="434"/>
      <c r="G651" s="436"/>
      <c r="H651" s="207"/>
      <c r="I651" s="207"/>
      <c r="J651" s="208"/>
      <c r="K651" s="239"/>
      <c r="L651" s="239"/>
      <c r="M651" s="208"/>
      <c r="N651" s="208"/>
      <c r="O651" s="208"/>
      <c r="P651" s="240"/>
      <c r="Q651" s="240"/>
      <c r="R651" s="209"/>
      <c r="S651" s="209"/>
      <c r="T651" s="462"/>
      <c r="X651" s="286"/>
      <c r="Y651" s="288"/>
      <c r="Z651" s="286"/>
      <c r="AA651" s="288"/>
      <c r="AB651" s="286"/>
      <c r="AC651" s="288"/>
      <c r="AD651" s="286"/>
      <c r="AE651" s="288"/>
      <c r="AF651" s="286"/>
      <c r="AG651" s="288"/>
      <c r="AH651" s="286"/>
      <c r="AI651" s="288"/>
      <c r="AJ651" s="264"/>
      <c r="AK651" s="265"/>
    </row>
    <row r="652" spans="1:37" x14ac:dyDescent="0.15">
      <c r="A652" s="414"/>
      <c r="B652" s="446"/>
      <c r="C652" s="447"/>
      <c r="D652" s="447"/>
      <c r="E652" s="448"/>
      <c r="F652" s="434"/>
      <c r="G652" s="436"/>
      <c r="H652" s="207"/>
      <c r="I652" s="207"/>
      <c r="J652" s="208"/>
      <c r="K652" s="239"/>
      <c r="L652" s="239"/>
      <c r="M652" s="208"/>
      <c r="N652" s="208"/>
      <c r="O652" s="208"/>
      <c r="P652" s="240"/>
      <c r="Q652" s="240"/>
      <c r="R652" s="209"/>
      <c r="S652" s="209"/>
      <c r="T652" s="462"/>
      <c r="X652" s="286"/>
      <c r="Y652" s="288"/>
      <c r="Z652" s="286"/>
      <c r="AA652" s="288"/>
      <c r="AB652" s="286"/>
      <c r="AC652" s="288"/>
      <c r="AD652" s="286"/>
      <c r="AE652" s="288"/>
      <c r="AF652" s="286"/>
      <c r="AG652" s="288"/>
      <c r="AH652" s="286"/>
      <c r="AI652" s="288"/>
      <c r="AJ652" s="264"/>
      <c r="AK652" s="265"/>
    </row>
    <row r="653" spans="1:37" x14ac:dyDescent="0.15">
      <c r="A653" s="302"/>
      <c r="B653" s="542"/>
      <c r="C653" s="543"/>
      <c r="D653" s="543"/>
      <c r="E653" s="544"/>
      <c r="F653" s="545"/>
      <c r="G653" s="547"/>
      <c r="H653" s="45"/>
      <c r="I653" s="207"/>
      <c r="J653" s="45"/>
      <c r="K653" s="45"/>
      <c r="L653" s="70"/>
      <c r="M653" s="46"/>
      <c r="N653" s="46"/>
      <c r="O653" s="46"/>
      <c r="P653" s="71"/>
      <c r="Q653" s="71"/>
      <c r="R653" s="72"/>
      <c r="S653" s="72"/>
      <c r="T653" s="462"/>
      <c r="X653" s="264"/>
      <c r="Y653" s="265"/>
      <c r="Z653" s="264"/>
      <c r="AA653" s="265"/>
      <c r="AB653" s="264"/>
      <c r="AC653" s="265"/>
      <c r="AD653" s="264"/>
      <c r="AE653" s="265"/>
      <c r="AF653" s="264"/>
      <c r="AG653" s="265"/>
      <c r="AH653" s="264"/>
      <c r="AI653" s="265"/>
      <c r="AJ653" s="264"/>
      <c r="AK653" s="265"/>
    </row>
    <row r="654" spans="1:37" x14ac:dyDescent="0.15">
      <c r="A654" s="302"/>
      <c r="B654" s="542"/>
      <c r="C654" s="543"/>
      <c r="D654" s="543"/>
      <c r="E654" s="544"/>
      <c r="F654" s="545"/>
      <c r="G654" s="547"/>
      <c r="H654" s="45"/>
      <c r="I654" s="207"/>
      <c r="J654" s="46"/>
      <c r="K654" s="302"/>
      <c r="L654" s="70"/>
      <c r="M654" s="46"/>
      <c r="N654" s="46"/>
      <c r="O654" s="46"/>
      <c r="P654" s="48"/>
      <c r="Q654" s="48"/>
      <c r="R654" s="73"/>
      <c r="S654" s="73"/>
      <c r="T654" s="463"/>
      <c r="X654" s="264"/>
      <c r="Y654" s="265"/>
      <c r="Z654" s="264"/>
      <c r="AA654" s="265"/>
    </row>
    <row r="655" spans="1:37" x14ac:dyDescent="0.15">
      <c r="A655" s="74"/>
      <c r="B655" s="552"/>
      <c r="C655" s="557"/>
      <c r="D655" s="557"/>
      <c r="E655" s="553"/>
      <c r="F655" s="554" t="s">
        <v>56</v>
      </c>
      <c r="G655" s="554"/>
      <c r="H655" s="554"/>
      <c r="I655" s="579"/>
      <c r="J655" s="570"/>
      <c r="K655" s="570"/>
      <c r="L655" s="554"/>
      <c r="M655" s="62">
        <f>SUM(M649:M654)</f>
        <v>0.81243608000000012</v>
      </c>
      <c r="N655" s="300"/>
      <c r="O655" s="62">
        <f>SUM(O649:O654)</f>
        <v>0</v>
      </c>
      <c r="P655" s="63" t="s">
        <v>57</v>
      </c>
      <c r="Q655" s="337"/>
      <c r="R655" s="64"/>
      <c r="S655" s="64"/>
      <c r="T655" s="460"/>
    </row>
    <row r="656" spans="1:37" ht="24" x14ac:dyDescent="0.15">
      <c r="A656" s="65"/>
      <c r="B656" s="560" t="s">
        <v>58</v>
      </c>
      <c r="C656" s="561"/>
      <c r="D656" s="561"/>
      <c r="E656" s="562"/>
      <c r="F656" s="565" t="s">
        <v>26</v>
      </c>
      <c r="G656" s="566"/>
      <c r="H656" s="66" t="s">
        <v>59</v>
      </c>
      <c r="I656" s="351"/>
      <c r="J656" s="66" t="s">
        <v>60</v>
      </c>
      <c r="K656" s="66" t="s">
        <v>6</v>
      </c>
      <c r="L656" s="67" t="s">
        <v>61</v>
      </c>
      <c r="M656" s="66" t="s">
        <v>30</v>
      </c>
      <c r="N656" s="68" t="s">
        <v>62</v>
      </c>
      <c r="O656" s="68" t="s">
        <v>34</v>
      </c>
      <c r="P656" s="69" t="s">
        <v>57</v>
      </c>
      <c r="Q656" s="42"/>
      <c r="R656" s="67"/>
      <c r="S656" s="67"/>
      <c r="T656" s="461"/>
    </row>
    <row r="657" spans="1:23" ht="25.5" customHeight="1" x14ac:dyDescent="0.15">
      <c r="A657" s="302">
        <v>1</v>
      </c>
      <c r="B657" s="542"/>
      <c r="C657" s="543"/>
      <c r="D657" s="543"/>
      <c r="E657" s="544"/>
      <c r="F657" s="545" t="s">
        <v>872</v>
      </c>
      <c r="G657" s="547"/>
      <c r="H657" s="45"/>
      <c r="I657" s="207"/>
      <c r="J657" s="45"/>
      <c r="K657" s="46" t="str">
        <f>VLOOKUP($F:$F,材料单价表!$B$3:$G$42,4,0)</f>
        <v>套</v>
      </c>
      <c r="L657" s="72"/>
      <c r="M657" s="46">
        <v>2</v>
      </c>
      <c r="N657" s="46">
        <f>VLOOKUP($F:$F,材料单价表!$B$3:$G$42,5,0)</f>
        <v>0</v>
      </c>
      <c r="O657" s="46">
        <f t="shared" ref="O657" si="109">N657*M657</f>
        <v>0</v>
      </c>
      <c r="P657" s="48"/>
      <c r="Q657" s="48"/>
      <c r="R657" s="73"/>
      <c r="S657" s="73"/>
      <c r="T657" s="463"/>
    </row>
    <row r="658" spans="1:23" x14ac:dyDescent="0.15">
      <c r="A658" s="74"/>
      <c r="B658" s="552"/>
      <c r="C658" s="557"/>
      <c r="D658" s="557"/>
      <c r="E658" s="553"/>
      <c r="F658" s="554" t="s">
        <v>64</v>
      </c>
      <c r="G658" s="554"/>
      <c r="H658" s="554"/>
      <c r="I658" s="579"/>
      <c r="J658" s="570"/>
      <c r="K658" s="570"/>
      <c r="L658" s="554"/>
      <c r="M658" s="62">
        <f>M657</f>
        <v>2</v>
      </c>
      <c r="N658" s="300"/>
      <c r="O658" s="62">
        <f>SUM(O657:O657)</f>
        <v>0</v>
      </c>
      <c r="P658" s="63" t="s">
        <v>57</v>
      </c>
      <c r="Q658" s="337"/>
      <c r="R658" s="64"/>
      <c r="S658" s="64"/>
      <c r="T658" s="460"/>
    </row>
    <row r="659" spans="1:23" ht="24" x14ac:dyDescent="0.15">
      <c r="A659" s="65"/>
      <c r="B659" s="560" t="s">
        <v>65</v>
      </c>
      <c r="C659" s="561"/>
      <c r="D659" s="561"/>
      <c r="E659" s="562"/>
      <c r="F659" s="565" t="s">
        <v>26</v>
      </c>
      <c r="G659" s="566"/>
      <c r="H659" s="66" t="s">
        <v>59</v>
      </c>
      <c r="I659" s="351"/>
      <c r="J659" s="66" t="s">
        <v>60</v>
      </c>
      <c r="K659" s="66" t="s">
        <v>6</v>
      </c>
      <c r="L659" s="67" t="s">
        <v>61</v>
      </c>
      <c r="M659" s="66" t="s">
        <v>30</v>
      </c>
      <c r="N659" s="68" t="s">
        <v>62</v>
      </c>
      <c r="O659" s="68" t="s">
        <v>34</v>
      </c>
      <c r="P659" s="69" t="s">
        <v>57</v>
      </c>
      <c r="Q659" s="42"/>
      <c r="R659" s="67"/>
      <c r="S659" s="67"/>
      <c r="T659" s="461"/>
    </row>
    <row r="660" spans="1:23" ht="13.5" customHeight="1" x14ac:dyDescent="0.15">
      <c r="A660" s="76">
        <v>1</v>
      </c>
      <c r="B660" s="542"/>
      <c r="C660" s="543"/>
      <c r="D660" s="543"/>
      <c r="E660" s="544"/>
      <c r="F660" s="558" t="s">
        <v>66</v>
      </c>
      <c r="G660" s="559"/>
      <c r="H660" s="78"/>
      <c r="I660" s="352"/>
      <c r="J660" s="77"/>
      <c r="K660" s="46" t="str">
        <f>VLOOKUP($F:$F,材料单价表!$B$3:$G$42,4,0)</f>
        <v>m</v>
      </c>
      <c r="L660" s="46"/>
      <c r="M660" s="80">
        <f>M615</f>
        <v>5.6</v>
      </c>
      <c r="N660" s="46">
        <f>VLOOKUP($F:$F,材料单价表!$B$3:$G$42,5,0)</f>
        <v>0</v>
      </c>
      <c r="O660" s="46">
        <f>N660*M660</f>
        <v>0</v>
      </c>
      <c r="P660" s="48"/>
      <c r="Q660" s="59"/>
      <c r="R660" s="81"/>
      <c r="S660" s="79"/>
      <c r="T660" s="464"/>
    </row>
    <row r="661" spans="1:23" ht="15.75" customHeight="1" x14ac:dyDescent="0.15">
      <c r="A661" s="76">
        <v>2</v>
      </c>
      <c r="B661" s="542"/>
      <c r="C661" s="543"/>
      <c r="D661" s="543"/>
      <c r="E661" s="544"/>
      <c r="F661" s="558" t="s">
        <v>68</v>
      </c>
      <c r="G661" s="559"/>
      <c r="H661" s="78" t="s">
        <v>67</v>
      </c>
      <c r="I661" s="352"/>
      <c r="J661" s="77"/>
      <c r="K661" s="46" t="str">
        <f>VLOOKUP($F:$F,材料单价表!$B$3:$G$42,4,0)</f>
        <v>m</v>
      </c>
      <c r="L661" s="46"/>
      <c r="M661" s="80">
        <f>(J628*K628+J631*K631+J629*K629+J630*K630)/1000*2</f>
        <v>15.9352</v>
      </c>
      <c r="N661" s="46">
        <f>VLOOKUP($F:$F,材料单价表!$B$3:$G$42,5,0)</f>
        <v>0</v>
      </c>
      <c r="O661" s="46">
        <f t="shared" ref="O661:O666" si="110">N661*M661</f>
        <v>0</v>
      </c>
      <c r="P661" s="48"/>
      <c r="Q661" s="59"/>
      <c r="R661" s="81"/>
      <c r="S661" s="79"/>
      <c r="T661" s="464"/>
      <c r="V661" s="104"/>
      <c r="W661" s="104"/>
    </row>
    <row r="662" spans="1:23" ht="13.5" customHeight="1" x14ac:dyDescent="0.15">
      <c r="A662" s="76">
        <v>3</v>
      </c>
      <c r="B662" s="542"/>
      <c r="C662" s="543"/>
      <c r="D662" s="543"/>
      <c r="E662" s="544"/>
      <c r="F662" s="558" t="s">
        <v>68</v>
      </c>
      <c r="G662" s="559"/>
      <c r="H662" s="78" t="s">
        <v>69</v>
      </c>
      <c r="I662" s="352"/>
      <c r="J662" s="77"/>
      <c r="K662" s="46" t="str">
        <f>VLOOKUP($F:$F,材料单价表!$B$3:$G$42,4,0)</f>
        <v>m</v>
      </c>
      <c r="L662" s="46"/>
      <c r="M662" s="80">
        <f>M615</f>
        <v>5.6</v>
      </c>
      <c r="N662" s="46">
        <f>VLOOKUP($F:$F,材料单价表!$B$3:$G$42,5,0)</f>
        <v>0</v>
      </c>
      <c r="O662" s="46">
        <f t="shared" si="110"/>
        <v>0</v>
      </c>
      <c r="P662" s="48"/>
      <c r="Q662" s="59"/>
      <c r="R662" s="81"/>
      <c r="S662" s="79"/>
      <c r="T662" s="464"/>
      <c r="V662" s="104"/>
      <c r="W662" s="104"/>
    </row>
    <row r="663" spans="1:23" ht="13.5" customHeight="1" x14ac:dyDescent="0.15">
      <c r="A663" s="76">
        <v>4</v>
      </c>
      <c r="B663" s="542"/>
      <c r="C663" s="543"/>
      <c r="D663" s="543"/>
      <c r="E663" s="544"/>
      <c r="F663" s="558" t="s">
        <v>68</v>
      </c>
      <c r="G663" s="559"/>
      <c r="H663" s="78" t="s">
        <v>70</v>
      </c>
      <c r="I663" s="352"/>
      <c r="J663" s="77"/>
      <c r="K663" s="46" t="str">
        <f>VLOOKUP($F:$F,材料单价表!$B$3:$G$42,4,0)</f>
        <v>m</v>
      </c>
      <c r="L663" s="46"/>
      <c r="M663" s="80">
        <f>M615</f>
        <v>5.6</v>
      </c>
      <c r="N663" s="46">
        <f>VLOOKUP($F:$F,材料单价表!$B$3:$G$42,5,0)</f>
        <v>0</v>
      </c>
      <c r="O663" s="46">
        <f t="shared" si="110"/>
        <v>0</v>
      </c>
      <c r="P663" s="48"/>
      <c r="Q663" s="59"/>
      <c r="R663" s="81"/>
      <c r="S663" s="79"/>
      <c r="T663" s="464"/>
      <c r="V663" s="104"/>
      <c r="W663" s="104"/>
    </row>
    <row r="664" spans="1:23" ht="13.5" customHeight="1" x14ac:dyDescent="0.15">
      <c r="A664" s="76">
        <v>5</v>
      </c>
      <c r="B664" s="542"/>
      <c r="C664" s="543"/>
      <c r="D664" s="543"/>
      <c r="E664" s="544"/>
      <c r="F664" s="558" t="s">
        <v>71</v>
      </c>
      <c r="G664" s="559"/>
      <c r="H664" s="78"/>
      <c r="I664" s="352"/>
      <c r="J664" s="77"/>
      <c r="K664" s="46" t="str">
        <f>VLOOKUP($F:$F,材料单价表!$B$3:$G$42,4,0)</f>
        <v>个</v>
      </c>
      <c r="L664" s="79"/>
      <c r="M664" s="80">
        <f>SUM(K632:K634)</f>
        <v>10</v>
      </c>
      <c r="N664" s="46">
        <f>VLOOKUP($F:$F,材料单价表!$B$3:$G$42,5,0)</f>
        <v>0</v>
      </c>
      <c r="O664" s="46">
        <f t="shared" si="110"/>
        <v>0</v>
      </c>
      <c r="P664" s="48"/>
      <c r="Q664" s="59"/>
      <c r="R664" s="81"/>
      <c r="S664" s="79"/>
      <c r="T664" s="464"/>
    </row>
    <row r="665" spans="1:23" ht="13.5" customHeight="1" x14ac:dyDescent="0.15">
      <c r="A665" s="76">
        <v>6</v>
      </c>
      <c r="B665" s="542"/>
      <c r="C665" s="543"/>
      <c r="D665" s="543"/>
      <c r="E665" s="544"/>
      <c r="F665" s="558" t="s">
        <v>833</v>
      </c>
      <c r="G665" s="559"/>
      <c r="H665" s="78"/>
      <c r="I665" s="352"/>
      <c r="J665" s="77"/>
      <c r="K665" s="46" t="str">
        <f>VLOOKUP($F:$F,材料单价表!$B$3:$G$42,4,0)</f>
        <v>m</v>
      </c>
      <c r="L665" s="79"/>
      <c r="M665" s="80">
        <f>(J621*K621+J622*K622)/1000*2</f>
        <v>11.475200000000001</v>
      </c>
      <c r="N665" s="46">
        <f>VLOOKUP($F:$F,材料单价表!$B$3:$G$42,5,0)</f>
        <v>0</v>
      </c>
      <c r="O665" s="46">
        <f t="shared" si="110"/>
        <v>0</v>
      </c>
      <c r="P665" s="48"/>
      <c r="Q665" s="59"/>
      <c r="R665" s="81"/>
      <c r="S665" s="46"/>
      <c r="T665" s="465"/>
    </row>
    <row r="666" spans="1:23" x14ac:dyDescent="0.15">
      <c r="A666" s="76">
        <v>7</v>
      </c>
      <c r="B666" s="542"/>
      <c r="C666" s="543"/>
      <c r="D666" s="543"/>
      <c r="E666" s="544"/>
      <c r="F666" s="558" t="s">
        <v>72</v>
      </c>
      <c r="G666" s="559"/>
      <c r="H666" s="45"/>
      <c r="I666" s="207"/>
      <c r="J666" s="45"/>
      <c r="K666" s="46" t="str">
        <f>VLOOKUP($F:$F,材料单价表!$B$3:$G$42,4,0)</f>
        <v>m2</v>
      </c>
      <c r="L666" s="72"/>
      <c r="M666" s="46">
        <f>M672</f>
        <v>1.95</v>
      </c>
      <c r="N666" s="46">
        <f>VLOOKUP($F:$F,材料单价表!$B$3:$G$42,5,0)</f>
        <v>0</v>
      </c>
      <c r="O666" s="46">
        <f t="shared" si="110"/>
        <v>0</v>
      </c>
      <c r="P666" s="48"/>
      <c r="Q666" s="48"/>
      <c r="R666" s="73"/>
      <c r="S666" s="73"/>
      <c r="T666" s="463"/>
    </row>
    <row r="667" spans="1:23" x14ac:dyDescent="0.15">
      <c r="A667" s="76">
        <v>8</v>
      </c>
      <c r="B667" s="542"/>
      <c r="C667" s="543"/>
      <c r="D667" s="543"/>
      <c r="E667" s="544"/>
      <c r="F667" s="297"/>
      <c r="G667" s="298"/>
      <c r="H667" s="207"/>
      <c r="I667" s="207"/>
      <c r="J667" s="207"/>
      <c r="K667" s="208"/>
      <c r="L667" s="209"/>
      <c r="M667" s="208"/>
      <c r="N667" s="208"/>
      <c r="O667" s="208"/>
      <c r="P667" s="211"/>
      <c r="Q667" s="48"/>
      <c r="R667" s="212"/>
      <c r="S667" s="212"/>
      <c r="T667" s="463"/>
    </row>
    <row r="668" spans="1:23" x14ac:dyDescent="0.15">
      <c r="A668" s="76">
        <v>9</v>
      </c>
      <c r="B668" s="542"/>
      <c r="C668" s="543"/>
      <c r="D668" s="543"/>
      <c r="E668" s="544"/>
      <c r="F668" s="558"/>
      <c r="G668" s="559"/>
      <c r="H668" s="45"/>
      <c r="I668" s="207"/>
      <c r="J668" s="45"/>
      <c r="K668" s="45"/>
      <c r="L668" s="72"/>
      <c r="M668" s="46"/>
      <c r="N668" s="46"/>
      <c r="O668" s="82"/>
      <c r="P668" s="48"/>
      <c r="Q668" s="48"/>
      <c r="R668" s="73"/>
      <c r="S668" s="73"/>
      <c r="T668" s="463"/>
    </row>
    <row r="669" spans="1:23" x14ac:dyDescent="0.15">
      <c r="A669" s="74"/>
      <c r="B669" s="552"/>
      <c r="C669" s="557"/>
      <c r="D669" s="557"/>
      <c r="E669" s="553"/>
      <c r="F669" s="552" t="s">
        <v>73</v>
      </c>
      <c r="G669" s="557"/>
      <c r="H669" s="557"/>
      <c r="I669" s="557"/>
      <c r="J669" s="557"/>
      <c r="K669" s="557"/>
      <c r="L669" s="557"/>
      <c r="M669" s="61"/>
      <c r="N669" s="61"/>
      <c r="O669" s="62">
        <f>SUM(O660:O668)</f>
        <v>0</v>
      </c>
      <c r="P669" s="63" t="s">
        <v>57</v>
      </c>
      <c r="Q669" s="337"/>
      <c r="R669" s="64"/>
      <c r="S669" s="64"/>
      <c r="T669" s="460"/>
    </row>
    <row r="670" spans="1:23" x14ac:dyDescent="0.15">
      <c r="A670" s="74"/>
      <c r="B670" s="552"/>
      <c r="C670" s="557"/>
      <c r="D670" s="557"/>
      <c r="E670" s="553"/>
      <c r="F670" s="552" t="s">
        <v>74</v>
      </c>
      <c r="G670" s="557"/>
      <c r="H670" s="557"/>
      <c r="I670" s="557"/>
      <c r="J670" s="557"/>
      <c r="K670" s="557"/>
      <c r="L670" s="557"/>
      <c r="M670" s="557"/>
      <c r="N670" s="553"/>
      <c r="O670" s="62">
        <f>O669+O658+O655+O647</f>
        <v>0</v>
      </c>
      <c r="P670" s="63" t="s">
        <v>57</v>
      </c>
      <c r="Q670" s="337"/>
      <c r="R670" s="64"/>
      <c r="S670" s="64"/>
      <c r="T670" s="460"/>
    </row>
    <row r="671" spans="1:23" ht="24" x14ac:dyDescent="0.15">
      <c r="A671" s="65"/>
      <c r="B671" s="560" t="s">
        <v>75</v>
      </c>
      <c r="C671" s="561"/>
      <c r="D671" s="561"/>
      <c r="E671" s="562"/>
      <c r="F671" s="565" t="s">
        <v>26</v>
      </c>
      <c r="G671" s="566"/>
      <c r="H671" s="66"/>
      <c r="I671" s="351"/>
      <c r="J671" s="66"/>
      <c r="K671" s="66" t="s">
        <v>6</v>
      </c>
      <c r="L671" s="83" t="s">
        <v>61</v>
      </c>
      <c r="M671" s="66" t="s">
        <v>76</v>
      </c>
      <c r="N671" s="68" t="s">
        <v>62</v>
      </c>
      <c r="O671" s="68" t="s">
        <v>34</v>
      </c>
      <c r="P671" s="84" t="s">
        <v>57</v>
      </c>
      <c r="Q671" s="84"/>
      <c r="R671" s="67"/>
      <c r="S671" s="67"/>
      <c r="T671" s="461"/>
    </row>
    <row r="672" spans="1:23" x14ac:dyDescent="0.15">
      <c r="A672" s="302">
        <v>1</v>
      </c>
      <c r="B672" s="542"/>
      <c r="C672" s="543"/>
      <c r="D672" s="543"/>
      <c r="E672" s="544"/>
      <c r="F672" s="545" t="s">
        <v>77</v>
      </c>
      <c r="G672" s="547"/>
      <c r="H672" s="45"/>
      <c r="I672" s="207"/>
      <c r="J672" s="46"/>
      <c r="K672" s="45" t="s">
        <v>78</v>
      </c>
      <c r="L672" s="72"/>
      <c r="M672" s="85">
        <f>O602</f>
        <v>1.95</v>
      </c>
      <c r="N672" s="46">
        <f>VLOOKUP($F:$F,材料单价表!$B$3:$G$42,5,0)</f>
        <v>0</v>
      </c>
      <c r="O672" s="46">
        <f>N672*M672</f>
        <v>0</v>
      </c>
      <c r="P672" s="48"/>
      <c r="Q672" s="48"/>
      <c r="R672" s="72"/>
      <c r="S672" s="72"/>
      <c r="T672" s="462"/>
    </row>
    <row r="673" spans="1:20" x14ac:dyDescent="0.15">
      <c r="A673" s="302">
        <v>2</v>
      </c>
      <c r="B673" s="542"/>
      <c r="C673" s="543"/>
      <c r="D673" s="543"/>
      <c r="E673" s="544"/>
      <c r="F673" s="545" t="s">
        <v>79</v>
      </c>
      <c r="G673" s="547"/>
      <c r="H673" s="45"/>
      <c r="I673" s="207"/>
      <c r="J673" s="46"/>
      <c r="K673" s="45" t="s">
        <v>78</v>
      </c>
      <c r="L673" s="72"/>
      <c r="M673" s="85">
        <f>M672</f>
        <v>1.95</v>
      </c>
      <c r="N673" s="46">
        <f>VLOOKUP($F:$F,材料单价表!$B$3:$G$42,5,0)</f>
        <v>0</v>
      </c>
      <c r="O673" s="46">
        <f>N673*M673</f>
        <v>0</v>
      </c>
      <c r="P673" s="48"/>
      <c r="Q673" s="48"/>
      <c r="R673" s="72"/>
      <c r="S673" s="72"/>
      <c r="T673" s="462"/>
    </row>
    <row r="674" spans="1:20" ht="24.75" customHeight="1" x14ac:dyDescent="0.15">
      <c r="A674" s="74"/>
      <c r="B674" s="552"/>
      <c r="C674" s="557"/>
      <c r="D674" s="557"/>
      <c r="E674" s="553"/>
      <c r="F674" s="552" t="s">
        <v>80</v>
      </c>
      <c r="G674" s="553"/>
      <c r="H674" s="299"/>
      <c r="I674" s="348"/>
      <c r="J674" s="554" t="s">
        <v>81</v>
      </c>
      <c r="K674" s="554"/>
      <c r="L674" s="554"/>
      <c r="M674" s="554"/>
      <c r="N674" s="87"/>
      <c r="O674" s="62">
        <f>O670+O672+O673</f>
        <v>0</v>
      </c>
      <c r="P674" s="63" t="s">
        <v>57</v>
      </c>
      <c r="Q674" s="337"/>
      <c r="R674" s="64"/>
      <c r="S674" s="64"/>
      <c r="T674" s="460"/>
    </row>
    <row r="675" spans="1:20" ht="24" customHeight="1" x14ac:dyDescent="0.15">
      <c r="A675" s="74"/>
      <c r="B675" s="552"/>
      <c r="C675" s="557"/>
      <c r="D675" s="557"/>
      <c r="E675" s="553"/>
      <c r="F675" s="555" t="s">
        <v>82</v>
      </c>
      <c r="G675" s="556"/>
      <c r="H675" s="301"/>
      <c r="I675" s="349"/>
      <c r="J675" s="552" t="s">
        <v>81</v>
      </c>
      <c r="K675" s="557"/>
      <c r="L675" s="557"/>
      <c r="M675" s="557"/>
      <c r="N675" s="62"/>
      <c r="O675" s="62">
        <f>O674/O602</f>
        <v>0</v>
      </c>
      <c r="P675" s="89" t="s">
        <v>57</v>
      </c>
      <c r="Q675" s="89"/>
      <c r="R675" s="90"/>
      <c r="S675" s="90"/>
      <c r="T675" s="466"/>
    </row>
    <row r="676" spans="1:20" ht="18.75" customHeight="1" x14ac:dyDescent="0.15">
      <c r="A676" s="549" t="s">
        <v>0</v>
      </c>
      <c r="B676" s="549"/>
      <c r="C676" s="549"/>
      <c r="D676" s="549"/>
      <c r="E676" s="549"/>
      <c r="F676" s="549"/>
      <c r="G676" s="549"/>
      <c r="H676" s="549"/>
      <c r="I676" s="549"/>
      <c r="J676" s="549"/>
      <c r="K676" s="549"/>
      <c r="L676" s="550"/>
      <c r="M676" s="549"/>
      <c r="N676" s="549"/>
      <c r="O676" s="549"/>
      <c r="P676" s="549"/>
      <c r="Q676" s="549"/>
      <c r="R676" s="551"/>
      <c r="S676" s="551"/>
      <c r="T676" s="415"/>
    </row>
    <row r="677" spans="1:20" ht="15" customHeight="1" x14ac:dyDescent="0.15">
      <c r="A677" s="2" t="s">
        <v>1</v>
      </c>
      <c r="B677" s="3" t="str">
        <f>$B$152</f>
        <v>WC</v>
      </c>
      <c r="C677" s="3">
        <v>10</v>
      </c>
      <c r="D677" s="3"/>
      <c r="E677" s="3"/>
      <c r="F677" s="4" t="s">
        <v>2</v>
      </c>
      <c r="G677" s="5">
        <v>55</v>
      </c>
      <c r="H677" s="106" t="s">
        <v>86</v>
      </c>
      <c r="I677" s="106"/>
      <c r="J677" s="4" t="s">
        <v>3</v>
      </c>
      <c r="K677" s="6">
        <f>L680</f>
        <v>2100</v>
      </c>
      <c r="L677" s="7" t="s">
        <v>83</v>
      </c>
      <c r="M677" s="6">
        <f>L679</f>
        <v>1800</v>
      </c>
      <c r="N677" s="8" t="s">
        <v>4</v>
      </c>
      <c r="O677" s="9">
        <f>M689</f>
        <v>3.78</v>
      </c>
      <c r="P677" s="10"/>
      <c r="Q677" s="10"/>
      <c r="R677" s="10" t="s">
        <v>5</v>
      </c>
      <c r="S677" s="11"/>
      <c r="T677" s="457"/>
    </row>
    <row r="678" spans="1:20" ht="15" customHeight="1" x14ac:dyDescent="0.2">
      <c r="A678" s="12"/>
      <c r="B678" s="13"/>
      <c r="C678" s="13"/>
      <c r="D678" s="13"/>
      <c r="E678" s="13"/>
      <c r="F678" s="14"/>
      <c r="G678" s="14"/>
      <c r="H678" s="15"/>
      <c r="I678" s="15"/>
      <c r="J678" s="16"/>
      <c r="K678" s="16" t="s">
        <v>6</v>
      </c>
      <c r="L678" s="17" t="s">
        <v>7</v>
      </c>
      <c r="M678" s="16" t="s">
        <v>8</v>
      </c>
      <c r="N678" s="18"/>
      <c r="O678" s="548" t="s">
        <v>940</v>
      </c>
      <c r="P678" s="548"/>
      <c r="Q678" s="16" t="s">
        <v>1018</v>
      </c>
      <c r="R678" s="529" t="s">
        <v>1187</v>
      </c>
      <c r="S678" s="530" t="s">
        <v>1592</v>
      </c>
      <c r="T678" s="468"/>
    </row>
    <row r="679" spans="1:20" ht="15" customHeight="1" x14ac:dyDescent="0.2">
      <c r="A679" s="398" t="s">
        <v>918</v>
      </c>
      <c r="B679" s="406" t="s">
        <v>986</v>
      </c>
      <c r="C679" s="362"/>
      <c r="D679" s="362"/>
      <c r="E679" s="362"/>
      <c r="F679" s="23"/>
      <c r="G679" s="23"/>
      <c r="H679" s="107"/>
      <c r="I679" s="107"/>
      <c r="J679" s="24" t="s">
        <v>9</v>
      </c>
      <c r="K679" s="16" t="s">
        <v>10</v>
      </c>
      <c r="L679" s="25">
        <v>1800</v>
      </c>
      <c r="M679" s="113">
        <f>L679-M688*2</f>
        <v>1700</v>
      </c>
      <c r="N679" s="18"/>
      <c r="O679" s="356" t="s">
        <v>941</v>
      </c>
      <c r="P679" s="357"/>
      <c r="Q679" s="16" t="s">
        <v>1019</v>
      </c>
      <c r="R679" s="529"/>
      <c r="S679" s="530"/>
      <c r="T679" s="468"/>
    </row>
    <row r="680" spans="1:20" ht="15" customHeight="1" x14ac:dyDescent="0.2">
      <c r="A680" s="21"/>
      <c r="B680" s="22"/>
      <c r="C680" s="22"/>
      <c r="D680" s="22"/>
      <c r="E680" s="22"/>
      <c r="F680" s="23"/>
      <c r="G680" s="23"/>
      <c r="H680" s="18"/>
      <c r="I680" s="18"/>
      <c r="J680" s="24" t="s">
        <v>11</v>
      </c>
      <c r="K680" s="16" t="s">
        <v>10</v>
      </c>
      <c r="L680" s="25">
        <v>2100</v>
      </c>
      <c r="M680" s="113">
        <f>L680-M688*2</f>
        <v>2000</v>
      </c>
      <c r="N680" s="18"/>
      <c r="O680" s="356" t="s">
        <v>924</v>
      </c>
      <c r="P680" s="357"/>
      <c r="Q680" s="16" t="s">
        <v>1020</v>
      </c>
      <c r="R680" s="529" t="s">
        <v>1188</v>
      </c>
      <c r="S680" s="530" t="s">
        <v>1086</v>
      </c>
      <c r="T680" s="468"/>
    </row>
    <row r="681" spans="1:20" ht="15" customHeight="1" x14ac:dyDescent="0.2">
      <c r="A681" s="21"/>
      <c r="B681" s="22"/>
      <c r="C681" s="22"/>
      <c r="D681" s="22"/>
      <c r="E681" s="22"/>
      <c r="F681" s="23"/>
      <c r="G681" s="23"/>
      <c r="H681" s="18"/>
      <c r="I681" s="18"/>
      <c r="J681" s="24" t="s">
        <v>12</v>
      </c>
      <c r="K681" s="16" t="s">
        <v>10</v>
      </c>
      <c r="L681" s="26"/>
      <c r="M681" s="113">
        <f>M679-M682</f>
        <v>1200</v>
      </c>
      <c r="N681" s="18"/>
      <c r="O681" s="356" t="s">
        <v>925</v>
      </c>
      <c r="P681" s="357"/>
      <c r="Q681" s="16" t="s">
        <v>1021</v>
      </c>
      <c r="R681" s="529"/>
      <c r="S681" s="530"/>
      <c r="T681" s="468"/>
    </row>
    <row r="682" spans="1:20" ht="15" customHeight="1" x14ac:dyDescent="0.2">
      <c r="A682" s="21"/>
      <c r="B682" s="22"/>
      <c r="C682" s="22"/>
      <c r="D682" s="22"/>
      <c r="E682" s="22"/>
      <c r="F682" s="23"/>
      <c r="G682" s="23"/>
      <c r="H682" s="18"/>
      <c r="I682" s="18"/>
      <c r="J682" s="24" t="s">
        <v>13</v>
      </c>
      <c r="K682" s="16" t="s">
        <v>10</v>
      </c>
      <c r="L682" s="26"/>
      <c r="M682" s="113">
        <v>500</v>
      </c>
      <c r="N682" s="18"/>
      <c r="O682" s="356" t="s">
        <v>926</v>
      </c>
      <c r="P682" s="357"/>
      <c r="Q682" s="16" t="s">
        <v>1022</v>
      </c>
      <c r="R682" s="27"/>
      <c r="S682" s="28"/>
      <c r="T682" s="27"/>
    </row>
    <row r="683" spans="1:20" ht="15" customHeight="1" x14ac:dyDescent="0.2">
      <c r="A683" s="21"/>
      <c r="B683" s="22"/>
      <c r="C683" s="22"/>
      <c r="D683" s="22"/>
      <c r="E683" s="22"/>
      <c r="F683" s="23"/>
      <c r="G683" s="23"/>
      <c r="H683" s="18"/>
      <c r="I683" s="18"/>
      <c r="J683" s="24" t="s">
        <v>14</v>
      </c>
      <c r="K683" s="16" t="s">
        <v>10</v>
      </c>
      <c r="L683" s="26"/>
      <c r="M683" s="113"/>
      <c r="N683" s="18"/>
      <c r="O683" s="356" t="s">
        <v>927</v>
      </c>
      <c r="P683" s="357"/>
      <c r="Q683" s="16" t="s">
        <v>1023</v>
      </c>
      <c r="R683" s="27"/>
      <c r="S683" s="28"/>
      <c r="T683" s="27"/>
    </row>
    <row r="684" spans="1:20" ht="15" customHeight="1" x14ac:dyDescent="0.2">
      <c r="A684" s="21"/>
      <c r="B684" s="22"/>
      <c r="C684" s="22"/>
      <c r="D684" s="22"/>
      <c r="E684" s="22"/>
      <c r="F684" s="23"/>
      <c r="G684" s="23"/>
      <c r="H684" s="18"/>
      <c r="I684" s="18"/>
      <c r="J684" s="24" t="s">
        <v>15</v>
      </c>
      <c r="K684" s="16" t="s">
        <v>10</v>
      </c>
      <c r="L684" s="26"/>
      <c r="M684" s="25">
        <v>650</v>
      </c>
      <c r="N684" s="112" t="s">
        <v>866</v>
      </c>
      <c r="O684" s="356" t="s">
        <v>928</v>
      </c>
      <c r="P684" s="357"/>
      <c r="Q684" s="16" t="s">
        <v>1005</v>
      </c>
      <c r="R684" s="27"/>
      <c r="S684" s="28"/>
      <c r="T684" s="27"/>
    </row>
    <row r="685" spans="1:20" ht="15" customHeight="1" x14ac:dyDescent="0.2">
      <c r="A685" s="21"/>
      <c r="B685" s="22"/>
      <c r="C685" s="22"/>
      <c r="D685" s="22"/>
      <c r="E685" s="22"/>
      <c r="F685" s="23"/>
      <c r="G685" s="23"/>
      <c r="H685" s="18"/>
      <c r="I685" s="18"/>
      <c r="J685" s="24" t="s">
        <v>16</v>
      </c>
      <c r="K685" s="16" t="s">
        <v>10</v>
      </c>
      <c r="L685" s="26"/>
      <c r="M685" s="113">
        <f>M680-M684*2</f>
        <v>700</v>
      </c>
      <c r="N685" s="18"/>
      <c r="O685" s="356" t="s">
        <v>929</v>
      </c>
      <c r="P685" s="357"/>
      <c r="Q685" s="16" t="s">
        <v>1024</v>
      </c>
      <c r="R685" s="27"/>
      <c r="S685" s="28"/>
      <c r="T685" s="27"/>
    </row>
    <row r="686" spans="1:20" ht="15" customHeight="1" x14ac:dyDescent="0.2">
      <c r="A686" s="21"/>
      <c r="B686" s="22"/>
      <c r="C686" s="22"/>
      <c r="D686" s="22"/>
      <c r="E686" s="22"/>
      <c r="F686" s="23"/>
      <c r="G686" s="23"/>
      <c r="H686" s="18"/>
      <c r="I686" s="18"/>
      <c r="J686" s="24" t="s">
        <v>17</v>
      </c>
      <c r="K686" s="16" t="s">
        <v>10</v>
      </c>
      <c r="L686" s="26"/>
      <c r="M686" s="113"/>
      <c r="N686" s="18"/>
      <c r="O686" s="356" t="s">
        <v>930</v>
      </c>
      <c r="P686" s="357"/>
      <c r="Q686" s="16" t="s">
        <v>931</v>
      </c>
      <c r="R686" s="27"/>
      <c r="S686" s="28"/>
      <c r="T686" s="27"/>
    </row>
    <row r="687" spans="1:20" ht="15" customHeight="1" x14ac:dyDescent="0.2">
      <c r="A687" s="21"/>
      <c r="B687" s="22"/>
      <c r="C687" s="22"/>
      <c r="D687" s="22"/>
      <c r="E687" s="22"/>
      <c r="F687" s="23"/>
      <c r="G687" s="23"/>
      <c r="H687" s="18"/>
      <c r="I687" s="18"/>
      <c r="J687" s="24" t="s">
        <v>18</v>
      </c>
      <c r="K687" s="16" t="s">
        <v>10</v>
      </c>
      <c r="L687" s="26"/>
      <c r="M687" s="113"/>
      <c r="N687" s="18"/>
      <c r="O687" s="356" t="s">
        <v>932</v>
      </c>
      <c r="P687" s="357"/>
      <c r="Q687" s="16" t="s">
        <v>933</v>
      </c>
      <c r="R687" s="27"/>
      <c r="S687" s="28"/>
      <c r="T687" s="27"/>
    </row>
    <row r="688" spans="1:20" ht="15" customHeight="1" x14ac:dyDescent="0.2">
      <c r="A688" s="21"/>
      <c r="B688" s="22"/>
      <c r="C688" s="22"/>
      <c r="D688" s="22"/>
      <c r="E688" s="22"/>
      <c r="F688" s="23"/>
      <c r="G688" s="23"/>
      <c r="H688" s="18"/>
      <c r="I688" s="18"/>
      <c r="J688" s="24" t="s">
        <v>19</v>
      </c>
      <c r="K688" s="16" t="s">
        <v>10</v>
      </c>
      <c r="L688" s="26"/>
      <c r="M688" s="25">
        <v>50</v>
      </c>
      <c r="N688" s="18"/>
      <c r="O688" s="356" t="s">
        <v>934</v>
      </c>
      <c r="P688" s="357"/>
      <c r="Q688" s="16" t="s">
        <v>935</v>
      </c>
      <c r="R688" s="27"/>
      <c r="S688" s="28"/>
      <c r="T688" s="27"/>
    </row>
    <row r="689" spans="1:37" ht="15" customHeight="1" x14ac:dyDescent="0.2">
      <c r="A689" s="21"/>
      <c r="B689" s="22"/>
      <c r="C689" s="22"/>
      <c r="D689" s="22"/>
      <c r="E689" s="22"/>
      <c r="F689" s="23"/>
      <c r="G689" s="23"/>
      <c r="H689" s="18"/>
      <c r="I689" s="18"/>
      <c r="J689" s="29" t="s">
        <v>20</v>
      </c>
      <c r="K689" s="16" t="s">
        <v>21</v>
      </c>
      <c r="L689" s="30"/>
      <c r="M689" s="31">
        <f>L679*L680/1000000</f>
        <v>3.78</v>
      </c>
      <c r="N689" s="18"/>
      <c r="O689" s="356" t="s">
        <v>936</v>
      </c>
      <c r="P689" s="357"/>
      <c r="Q689" s="16" t="s">
        <v>937</v>
      </c>
      <c r="R689" s="27"/>
      <c r="S689" s="28"/>
      <c r="T689" s="27"/>
    </row>
    <row r="690" spans="1:37" ht="15" customHeight="1" x14ac:dyDescent="0.2">
      <c r="A690" s="32"/>
      <c r="B690" s="33"/>
      <c r="C690" s="33"/>
      <c r="D690" s="33"/>
      <c r="E690" s="33"/>
      <c r="F690" s="34"/>
      <c r="G690" s="34"/>
      <c r="H690" s="35"/>
      <c r="I690" s="35"/>
      <c r="J690" s="29" t="s">
        <v>22</v>
      </c>
      <c r="K690" s="16" t="s">
        <v>23</v>
      </c>
      <c r="L690" s="30"/>
      <c r="M690" s="36">
        <f>(L680+L679)*2/1000</f>
        <v>7.8</v>
      </c>
      <c r="N690" s="35"/>
      <c r="O690" s="356" t="s">
        <v>938</v>
      </c>
      <c r="P690" s="357"/>
      <c r="Q690" s="16" t="s">
        <v>939</v>
      </c>
      <c r="R690" s="37"/>
      <c r="S690" s="38"/>
      <c r="T690" s="27"/>
    </row>
    <row r="691" spans="1:37" ht="48.75" customHeight="1" x14ac:dyDescent="0.15">
      <c r="A691" s="39" t="s">
        <v>24</v>
      </c>
      <c r="B691" s="560" t="s">
        <v>25</v>
      </c>
      <c r="C691" s="561"/>
      <c r="D691" s="561"/>
      <c r="E691" s="562"/>
      <c r="F691" s="40" t="s">
        <v>26</v>
      </c>
      <c r="G691" s="40" t="s">
        <v>27</v>
      </c>
      <c r="H691" s="40" t="s">
        <v>28</v>
      </c>
      <c r="I691" s="40" t="s">
        <v>1166</v>
      </c>
      <c r="J691" s="40" t="s">
        <v>29</v>
      </c>
      <c r="K691" s="40" t="s">
        <v>30</v>
      </c>
      <c r="L691" s="41" t="s">
        <v>31</v>
      </c>
      <c r="M691" s="40" t="s">
        <v>32</v>
      </c>
      <c r="N691" s="40" t="s">
        <v>33</v>
      </c>
      <c r="O691" s="40" t="s">
        <v>34</v>
      </c>
      <c r="P691" s="42" t="s">
        <v>35</v>
      </c>
      <c r="Q691" s="359" t="s">
        <v>974</v>
      </c>
      <c r="R691" s="43" t="s">
        <v>36</v>
      </c>
      <c r="S691" s="43" t="s">
        <v>37</v>
      </c>
      <c r="T691" s="458"/>
      <c r="V691" s="261" t="s">
        <v>128</v>
      </c>
      <c r="W691" s="261"/>
      <c r="X691" s="262" t="s">
        <v>359</v>
      </c>
      <c r="Y691" s="263"/>
      <c r="Z691" s="262" t="s">
        <v>355</v>
      </c>
      <c r="AA691" s="263"/>
      <c r="AB691" s="262" t="s">
        <v>360</v>
      </c>
      <c r="AC691" s="263"/>
      <c r="AD691" s="262" t="s">
        <v>127</v>
      </c>
      <c r="AE691" s="263"/>
      <c r="AF691" s="262" t="s">
        <v>357</v>
      </c>
      <c r="AG691" s="263"/>
      <c r="AH691" s="262" t="s">
        <v>358</v>
      </c>
      <c r="AI691" s="263"/>
      <c r="AJ691" s="262" t="s">
        <v>840</v>
      </c>
      <c r="AK691" s="263"/>
    </row>
    <row r="692" spans="1:37" ht="13.5" customHeight="1" x14ac:dyDescent="0.15">
      <c r="A692" s="302">
        <v>1</v>
      </c>
      <c r="B692" s="531" t="s">
        <v>38</v>
      </c>
      <c r="C692" s="532"/>
      <c r="D692" s="532"/>
      <c r="E692" s="533"/>
      <c r="F692" s="47" t="str">
        <f>VLOOKUP($H:$H,型材表!$B$5:$I$448,2,0)</f>
        <v>边框</v>
      </c>
      <c r="G692" s="45" t="s">
        <v>39</v>
      </c>
      <c r="H692" s="45" t="str">
        <f>IF(G677=55,"SW55K001",IF(G677=551,"SW55BK001",IF(G677=60,"SW60K001",IF(G677=601,"SW60AK001",IF(G677=65,"SW65AK001",IF(G677=70,"SW70K001",IF(G677=75,"SW75K001",IF(G677=50,"SW50K002"))))))))</f>
        <v>SW55K001</v>
      </c>
      <c r="I692" s="207" t="s">
        <v>1266</v>
      </c>
      <c r="J692" s="46">
        <f>M679</f>
        <v>1700</v>
      </c>
      <c r="K692" s="45">
        <v>2</v>
      </c>
      <c r="L692" s="47">
        <f>VLOOKUP($H:$H,型材表!$B$5:$I$448,4,0)</f>
        <v>0.96699999999999997</v>
      </c>
      <c r="M692" s="46">
        <f>J692*K692*L692/1000</f>
        <v>3.2877999999999998</v>
      </c>
      <c r="N692" s="72">
        <f>VLOOKUP($H:$H,型材表!$B$5:$I$448,7,0)</f>
        <v>0</v>
      </c>
      <c r="O692" s="46">
        <f>N692*M692</f>
        <v>0</v>
      </c>
      <c r="P692" s="100">
        <f>VLOOKUP($H:$H,型材表!$B$5:$I$448,5,0)</f>
        <v>0.125</v>
      </c>
      <c r="Q692" s="100" t="str">
        <f>VLOOKUP($H:$H,型材表!$B$5:$I$448,6,0)</f>
        <v>断桥隔热铝型材</v>
      </c>
      <c r="R692" s="49"/>
      <c r="S692" s="50"/>
      <c r="T692" s="459"/>
      <c r="X692" s="264"/>
      <c r="Y692" s="265"/>
      <c r="Z692" s="264"/>
      <c r="AA692" s="265"/>
      <c r="AB692" s="264"/>
      <c r="AC692" s="265"/>
      <c r="AD692" s="264"/>
      <c r="AE692" s="265"/>
      <c r="AF692" s="264"/>
      <c r="AG692" s="265"/>
      <c r="AH692" s="264"/>
      <c r="AI692" s="265"/>
      <c r="AJ692" s="264"/>
      <c r="AK692" s="265"/>
    </row>
    <row r="693" spans="1:37" x14ac:dyDescent="0.15">
      <c r="A693" s="302">
        <v>2</v>
      </c>
      <c r="B693" s="534"/>
      <c r="C693" s="535"/>
      <c r="D693" s="535"/>
      <c r="E693" s="536"/>
      <c r="F693" s="47" t="str">
        <f>VLOOKUP($H:$H,型材表!$B$5:$I$448,2,0)</f>
        <v>边框</v>
      </c>
      <c r="G693" s="45" t="s">
        <v>144</v>
      </c>
      <c r="H693" s="45" t="str">
        <f>H692</f>
        <v>SW55K001</v>
      </c>
      <c r="I693" s="207" t="s">
        <v>1267</v>
      </c>
      <c r="J693" s="46">
        <f>M680</f>
        <v>2000</v>
      </c>
      <c r="K693" s="45">
        <v>2</v>
      </c>
      <c r="L693" s="47">
        <f>VLOOKUP($H:$H,型材表!$B$5:$I$448,4,0)</f>
        <v>0.96699999999999997</v>
      </c>
      <c r="M693" s="46">
        <f t="shared" ref="M693" si="111">J693*K693*L693/1000</f>
        <v>3.8679999999999999</v>
      </c>
      <c r="N693" s="72">
        <f>VLOOKUP($H:$H,型材表!$B$5:$I$448,7,0)</f>
        <v>0</v>
      </c>
      <c r="O693" s="46">
        <f t="shared" ref="O693" si="112">N693*M693</f>
        <v>0</v>
      </c>
      <c r="P693" s="100">
        <f>VLOOKUP($H:$H,型材表!$B$5:$I$448,5,0)</f>
        <v>0.125</v>
      </c>
      <c r="Q693" s="100" t="str">
        <f>VLOOKUP($H:$H,型材表!$B$5:$I$448,6,0)</f>
        <v>断桥隔热铝型材</v>
      </c>
      <c r="R693" s="49"/>
      <c r="S693" s="50"/>
      <c r="T693" s="459"/>
      <c r="X693" s="264"/>
      <c r="Y693" s="265"/>
      <c r="Z693" s="264"/>
      <c r="AA693" s="265"/>
      <c r="AB693" s="264"/>
      <c r="AC693" s="265"/>
      <c r="AD693" s="264"/>
      <c r="AE693" s="265"/>
      <c r="AF693" s="264"/>
      <c r="AG693" s="265"/>
      <c r="AH693" s="264"/>
      <c r="AI693" s="265"/>
      <c r="AJ693" s="264"/>
      <c r="AK693" s="265"/>
    </row>
    <row r="694" spans="1:37" x14ac:dyDescent="0.15">
      <c r="A694" s="382">
        <v>3</v>
      </c>
      <c r="B694" s="534"/>
      <c r="C694" s="535"/>
      <c r="D694" s="535"/>
      <c r="E694" s="536"/>
      <c r="F694" s="47"/>
      <c r="G694" s="207"/>
      <c r="H694" s="207"/>
      <c r="I694" s="207"/>
      <c r="J694" s="208"/>
      <c r="K694" s="207"/>
      <c r="L694" s="47"/>
      <c r="M694" s="46"/>
      <c r="N694" s="72"/>
      <c r="O694" s="46"/>
      <c r="P694" s="100"/>
      <c r="Q694" s="100"/>
      <c r="R694" s="210"/>
      <c r="S694" s="50"/>
      <c r="T694" s="459"/>
      <c r="X694" s="264"/>
      <c r="Y694" s="265"/>
      <c r="Z694" s="264"/>
      <c r="AA694" s="265"/>
      <c r="AB694" s="264"/>
      <c r="AC694" s="265"/>
      <c r="AD694" s="264"/>
      <c r="AE694" s="265"/>
      <c r="AF694" s="264"/>
      <c r="AG694" s="265"/>
      <c r="AH694" s="264"/>
      <c r="AI694" s="265"/>
      <c r="AJ694" s="264"/>
      <c r="AK694" s="265"/>
    </row>
    <row r="695" spans="1:37" s="229" customFormat="1" x14ac:dyDescent="0.15">
      <c r="A695" s="382">
        <v>4</v>
      </c>
      <c r="B695" s="537"/>
      <c r="C695" s="538"/>
      <c r="D695" s="538"/>
      <c r="E695" s="539"/>
      <c r="F695" s="221"/>
      <c r="G695" s="222"/>
      <c r="H695" s="222"/>
      <c r="I695" s="222"/>
      <c r="J695" s="223"/>
      <c r="K695" s="222"/>
      <c r="L695" s="221"/>
      <c r="M695" s="224"/>
      <c r="N695" s="225"/>
      <c r="O695" s="224"/>
      <c r="P695" s="226"/>
      <c r="Q695" s="100"/>
      <c r="R695" s="227"/>
      <c r="S695" s="228"/>
      <c r="T695" s="467"/>
      <c r="U695" s="375"/>
      <c r="V695" s="266"/>
      <c r="W695" s="266"/>
      <c r="X695" s="267"/>
      <c r="Y695" s="268"/>
      <c r="Z695" s="267"/>
      <c r="AA695" s="268"/>
      <c r="AB695" s="267"/>
      <c r="AC695" s="268"/>
      <c r="AD695" s="267"/>
      <c r="AE695" s="268"/>
      <c r="AF695" s="267"/>
      <c r="AG695" s="268"/>
      <c r="AH695" s="267"/>
      <c r="AI695" s="268"/>
      <c r="AJ695" s="267"/>
      <c r="AK695" s="268"/>
    </row>
    <row r="696" spans="1:37" ht="13.5" customHeight="1" x14ac:dyDescent="0.15">
      <c r="A696" s="382">
        <v>5</v>
      </c>
      <c r="B696" s="531" t="s">
        <v>41</v>
      </c>
      <c r="C696" s="532"/>
      <c r="D696" s="532"/>
      <c r="E696" s="533"/>
      <c r="F696" s="47" t="str">
        <f>VLOOKUP($H:$H,型材表!$B$5:$I$448,2,0)</f>
        <v>外开扇</v>
      </c>
      <c r="G696" s="45" t="s">
        <v>39</v>
      </c>
      <c r="H696" s="45" t="str">
        <f>IF(G677=55,"SW55S001",IF(G677=551,"SW55BS001",IF(G677=60,"SW60S001",IF(G677=601,"SW60AS001",IF(G677=65,"SW65AS001",IF(G677=70,"SW70S001",IF(G677=75,"SW75S001",IF(G677=50,"SW50S001"))))))))</f>
        <v>SW55S001</v>
      </c>
      <c r="I696" s="207" t="s">
        <v>1280</v>
      </c>
      <c r="J696" s="46">
        <f>IF(G677=55,M681-V696,IF(G677=551,M681-X696,IF(G677=60,M681-Z696,IF(G677=601,M681-AB696,IF(G677=65,M681-AD696,IF(G677=70,M681-AF696,IF(G677=75,M681-AH696,IF(G677=50,M681-AJ696))))))))</f>
        <v>1117.2</v>
      </c>
      <c r="K696" s="45">
        <v>4</v>
      </c>
      <c r="L696" s="47">
        <f>VLOOKUP($H:$H,型材表!$B$5:$I$448,4,0)</f>
        <v>1.4450000000000001</v>
      </c>
      <c r="M696" s="46">
        <f t="shared" ref="M696:M701" si="113">J696*K696*L696/1000</f>
        <v>6.4574160000000003</v>
      </c>
      <c r="N696" s="72">
        <f>VLOOKUP($H:$H,型材表!$B$5:$I$448,7,0)</f>
        <v>0</v>
      </c>
      <c r="O696" s="46">
        <f t="shared" ref="O696:O701" si="114">N696*M696</f>
        <v>0</v>
      </c>
      <c r="P696" s="100">
        <f>VLOOKUP($H:$H,型材表!$B$5:$I$448,5,0)</f>
        <v>0.125</v>
      </c>
      <c r="Q696" s="100" t="str">
        <f>VLOOKUP($H:$H,型材表!$B$5:$I$448,6,0)</f>
        <v>断桥隔热铝型材</v>
      </c>
      <c r="R696" s="49"/>
      <c r="S696" s="50"/>
      <c r="T696" s="459"/>
      <c r="U696" s="374" t="s">
        <v>1247</v>
      </c>
      <c r="V696" s="259">
        <f>48.9+33.9</f>
        <v>82.8</v>
      </c>
      <c r="X696" s="286">
        <f>48.9+33.9</f>
        <v>82.8</v>
      </c>
      <c r="Y696" s="265"/>
      <c r="Z696" s="286">
        <f>48.9+33.9</f>
        <v>82.8</v>
      </c>
      <c r="AA696" s="265"/>
      <c r="AB696" s="286">
        <f>48.9+33.9</f>
        <v>82.8</v>
      </c>
      <c r="AC696" s="265"/>
      <c r="AD696" s="286">
        <f>48.9+33.9</f>
        <v>82.8</v>
      </c>
      <c r="AE696" s="265"/>
      <c r="AF696" s="286">
        <f>50.9+35.9</f>
        <v>86.8</v>
      </c>
      <c r="AG696" s="265"/>
      <c r="AH696" s="286">
        <f>50.9+35.9</f>
        <v>86.8</v>
      </c>
      <c r="AI696" s="265"/>
      <c r="AJ696" s="264">
        <f>45.7+30.4</f>
        <v>76.099999999999994</v>
      </c>
      <c r="AK696" s="265"/>
    </row>
    <row r="697" spans="1:37" x14ac:dyDescent="0.15">
      <c r="A697" s="382">
        <v>6</v>
      </c>
      <c r="B697" s="534"/>
      <c r="C697" s="535"/>
      <c r="D697" s="535"/>
      <c r="E697" s="536"/>
      <c r="F697" s="47" t="str">
        <f>VLOOKUP($H:$H,型材表!$B$5:$I$448,2,0)</f>
        <v>外开扇</v>
      </c>
      <c r="G697" s="45" t="s">
        <v>144</v>
      </c>
      <c r="H697" s="207" t="str">
        <f>H696</f>
        <v>SW55S001</v>
      </c>
      <c r="I697" s="207" t="s">
        <v>1576</v>
      </c>
      <c r="J697" s="208">
        <f>IF(G677=55,M684-V697,IF(G677=551,M684-X697,IF(G677=60,M684-Z697,IF(G677=601,M684-AB697,IF(G677=65,M684-AD697,IF(G677=70,M684-AF697,IF(G677=75,M684-AH697,IF(G677=50,M684-AJ697))))))))</f>
        <v>567.20000000000005</v>
      </c>
      <c r="K697" s="207">
        <v>4</v>
      </c>
      <c r="L697" s="47">
        <f>VLOOKUP($H:$H,型材表!$B$5:$I$448,4,0)</f>
        <v>1.4450000000000001</v>
      </c>
      <c r="M697" s="46">
        <f t="shared" si="113"/>
        <v>3.2784160000000004</v>
      </c>
      <c r="N697" s="72">
        <f>VLOOKUP($H:$H,型材表!$B$5:$I$448,7,0)</f>
        <v>0</v>
      </c>
      <c r="O697" s="46">
        <f t="shared" si="114"/>
        <v>0</v>
      </c>
      <c r="P697" s="100">
        <f>VLOOKUP($H:$H,型材表!$B$5:$I$448,5,0)</f>
        <v>0.125</v>
      </c>
      <c r="Q697" s="100" t="str">
        <f>VLOOKUP($H:$H,型材表!$B$5:$I$448,6,0)</f>
        <v>断桥隔热铝型材</v>
      </c>
      <c r="R697" s="210"/>
      <c r="S697" s="50"/>
      <c r="T697" s="459"/>
      <c r="U697" s="374" t="s">
        <v>1575</v>
      </c>
      <c r="V697" s="259">
        <f>48.9+33.9</f>
        <v>82.8</v>
      </c>
      <c r="X697" s="286">
        <f>48.9+33.9</f>
        <v>82.8</v>
      </c>
      <c r="Y697" s="265"/>
      <c r="Z697" s="286">
        <f>48.9+33.9</f>
        <v>82.8</v>
      </c>
      <c r="AA697" s="265"/>
      <c r="AB697" s="286">
        <f>48.9+33.9</f>
        <v>82.8</v>
      </c>
      <c r="AC697" s="265"/>
      <c r="AD697" s="286">
        <f>48.9+33.9</f>
        <v>82.8</v>
      </c>
      <c r="AE697" s="265"/>
      <c r="AF697" s="286">
        <f>50.9+35.9</f>
        <v>86.8</v>
      </c>
      <c r="AG697" s="265"/>
      <c r="AH697" s="286">
        <f>50.9+35.9</f>
        <v>86.8</v>
      </c>
      <c r="AI697" s="265"/>
      <c r="AJ697" s="264">
        <f>45.7+30.4</f>
        <v>76.099999999999994</v>
      </c>
      <c r="AK697" s="265"/>
    </row>
    <row r="698" spans="1:37" x14ac:dyDescent="0.15">
      <c r="A698" s="382">
        <v>7</v>
      </c>
      <c r="B698" s="534"/>
      <c r="C698" s="535"/>
      <c r="D698" s="535"/>
      <c r="E698" s="536"/>
      <c r="F698" s="47" t="str">
        <f>VLOOKUP($H:$H,型材表!$B$5:$I$448,2,0)</f>
        <v>中梃</v>
      </c>
      <c r="G698" s="45" t="s">
        <v>39</v>
      </c>
      <c r="H698" s="45" t="str">
        <f>IF(G677=55,"SW55T001",IF(G677=551,"SW55BT001",IF(G677=60,"SW60T001",IF(G677=601,"SW60AT001",IF(G677=65,"SW65AT001",IF(G677=70,"SW70T001",IF(G677=75,"SW75T001",IF(G677=50,"SW50Z001"))))))))</f>
        <v>SW55T001</v>
      </c>
      <c r="I698" s="207" t="s">
        <v>1281</v>
      </c>
      <c r="J698" s="46">
        <f>IF(G677=55,M679-V698,IF(G677=551,M679-X698,IF(G677=60,M679-Z698,IF(G677=601,M679-AB698,IF(G677=65,M679-AD698,IF(G677=70,M679-AF698,IF(G677=75,M679-AH698,IF(G677=50,M679-AJ698))))))))</f>
        <v>1654</v>
      </c>
      <c r="K698" s="45">
        <v>2</v>
      </c>
      <c r="L698" s="47">
        <f>VLOOKUP($H:$H,型材表!$B$5:$I$448,4,0)</f>
        <v>1.113</v>
      </c>
      <c r="M698" s="46">
        <f t="shared" si="113"/>
        <v>3.6818040000000001</v>
      </c>
      <c r="N698" s="72">
        <f>VLOOKUP($H:$H,型材表!$B$5:$I$448,7,0)</f>
        <v>0</v>
      </c>
      <c r="O698" s="46">
        <f t="shared" si="114"/>
        <v>0</v>
      </c>
      <c r="P698" s="100">
        <f>VLOOKUP($H:$H,型材表!$B$5:$I$448,5,0)</f>
        <v>0.125</v>
      </c>
      <c r="Q698" s="100" t="str">
        <f>VLOOKUP($H:$H,型材表!$B$5:$I$448,6,0)</f>
        <v>断桥隔热铝型材</v>
      </c>
      <c r="R698" s="49"/>
      <c r="S698" s="50"/>
      <c r="T698" s="459"/>
      <c r="U698" s="374" t="s">
        <v>1234</v>
      </c>
      <c r="V698" s="259">
        <f>23*2</f>
        <v>46</v>
      </c>
      <c r="X698" s="286">
        <f>23*2</f>
        <v>46</v>
      </c>
      <c r="Y698" s="265"/>
      <c r="Z698" s="286">
        <f>23*2</f>
        <v>46</v>
      </c>
      <c r="AA698" s="265"/>
      <c r="AB698" s="286">
        <f>23*2</f>
        <v>46</v>
      </c>
      <c r="AC698" s="265"/>
      <c r="AD698" s="286">
        <f>23*2</f>
        <v>46</v>
      </c>
      <c r="AE698" s="265"/>
      <c r="AF698" s="286">
        <f>23*2</f>
        <v>46</v>
      </c>
      <c r="AG698" s="265"/>
      <c r="AH698" s="286">
        <f>23*2</f>
        <v>46</v>
      </c>
      <c r="AI698" s="265"/>
      <c r="AJ698" s="264">
        <f>23.3*2</f>
        <v>46.6</v>
      </c>
      <c r="AK698" s="265"/>
    </row>
    <row r="699" spans="1:37" x14ac:dyDescent="0.15">
      <c r="A699" s="382">
        <v>8</v>
      </c>
      <c r="B699" s="534"/>
      <c r="C699" s="535"/>
      <c r="D699" s="535"/>
      <c r="E699" s="536"/>
      <c r="F699" s="47" t="str">
        <f>VLOOKUP($H:$H,型材表!$B$5:$I$448,2,0)</f>
        <v>中梃</v>
      </c>
      <c r="G699" s="45" t="s">
        <v>144</v>
      </c>
      <c r="H699" s="207" t="str">
        <f>IF(G677=55,"SW55T001",IF(G677=551,"SW55BT001",IF(G677=60,"SW60T001",IF(G677=601,"SW60AT001",IF(G677=65,"SW65AT001",IF(G677=70,"SW70T001",IF(G677=75,"SW75T001",IF(G677=50,"SW50Z001"))))))))</f>
        <v>SW55T001</v>
      </c>
      <c r="I699" s="207" t="s">
        <v>1282</v>
      </c>
      <c r="J699" s="208">
        <f>IF(G677=55,M684-V699,IF(G677=551,M684-X699,IF(G677=60,M684-Z699,IF(G677=601,M684-AB699,IF(G677=65,M684-AD699,IF(G677=70,M684-AF699,IF(G677=75,M684-AH699,IF(G677=50,M684-AJ699))))))))</f>
        <v>619</v>
      </c>
      <c r="K699" s="207">
        <v>2</v>
      </c>
      <c r="L699" s="47">
        <f>VLOOKUP($H:$H,型材表!$B$5:$I$448,4,0)</f>
        <v>1.113</v>
      </c>
      <c r="M699" s="46">
        <f t="shared" ref="M699" si="115">J699*K699*L699/1000</f>
        <v>1.377894</v>
      </c>
      <c r="N699" s="72">
        <f>VLOOKUP($H:$H,型材表!$B$5:$I$448,7,0)</f>
        <v>0</v>
      </c>
      <c r="O699" s="46">
        <f t="shared" ref="O699" si="116">N699*M699</f>
        <v>0</v>
      </c>
      <c r="P699" s="100">
        <f>VLOOKUP($H:$H,型材表!$B$5:$I$448,5,0)</f>
        <v>0.125</v>
      </c>
      <c r="Q699" s="100" t="str">
        <f>VLOOKUP($H:$H,型材表!$B$5:$I$448,6,0)</f>
        <v>断桥隔热铝型材</v>
      </c>
      <c r="R699" s="210"/>
      <c r="S699" s="50"/>
      <c r="T699" s="459"/>
      <c r="U699" s="374" t="s">
        <v>1249</v>
      </c>
      <c r="V699" s="259">
        <f>23+8</f>
        <v>31</v>
      </c>
      <c r="X699" s="286">
        <f>23+8</f>
        <v>31</v>
      </c>
      <c r="Y699" s="265"/>
      <c r="Z699" s="286">
        <f>23+8</f>
        <v>31</v>
      </c>
      <c r="AA699" s="265"/>
      <c r="AB699" s="286">
        <f>23+8</f>
        <v>31</v>
      </c>
      <c r="AC699" s="265"/>
      <c r="AD699" s="286">
        <f>23+8</f>
        <v>31</v>
      </c>
      <c r="AE699" s="265"/>
      <c r="AF699" s="286">
        <f>23+8</f>
        <v>31</v>
      </c>
      <c r="AG699" s="265"/>
      <c r="AH699" s="286">
        <f>23+8</f>
        <v>31</v>
      </c>
      <c r="AI699" s="265"/>
      <c r="AJ699" s="264">
        <f>8+23.3</f>
        <v>31.3</v>
      </c>
      <c r="AK699" s="265"/>
    </row>
    <row r="700" spans="1:37" s="315" customFormat="1" x14ac:dyDescent="0.15">
      <c r="A700" s="382">
        <v>9</v>
      </c>
      <c r="B700" s="534"/>
      <c r="C700" s="535"/>
      <c r="D700" s="535"/>
      <c r="E700" s="536"/>
      <c r="F700" s="310" t="str">
        <f>VLOOKUP($H:$H,型材表!$B$5:$I$448,2,0)</f>
        <v>转向框</v>
      </c>
      <c r="G700" s="116" t="s">
        <v>39</v>
      </c>
      <c r="H700" s="116" t="str">
        <f>IF(G677=55,"SW55K102",IF(G677=551,"SW55BK102",IF(G677=60,"SW60K102",IF(G677=601,"SW60AK102",IF(G677=65,"SW65AK102",IF(G677=70,"SW70K102",IF(G677=75,"SW75K102",IF(G677=50,"SW50K101"))))))))</f>
        <v>SW55K102</v>
      </c>
      <c r="I700" s="207" t="s">
        <v>1283</v>
      </c>
      <c r="J700" s="147">
        <f>IF(G677=55,M681-V700,IF(G677=551,M681-X700,IF(G677=60,M681-Z700,IF(G677=601,M681-AB700,IF(G677=65,M681-AD700,IF(G677=70,M681-AF700,IF(G677=75,M681-AH700,IF(G677=50,M681-AJ700))))))))</f>
        <v>1161.7</v>
      </c>
      <c r="K700" s="116">
        <v>4</v>
      </c>
      <c r="L700" s="310">
        <f>VLOOKUP($H:$H,型材表!$B$5:$I$448,4,0)</f>
        <v>0.92300000000000004</v>
      </c>
      <c r="M700" s="147">
        <f t="shared" si="113"/>
        <v>4.2889964000000003</v>
      </c>
      <c r="N700" s="311">
        <f>VLOOKUP($H:$H,型材表!$B$5:$I$448,7,0)</f>
        <v>0</v>
      </c>
      <c r="O700" s="147">
        <f t="shared" si="114"/>
        <v>0</v>
      </c>
      <c r="P700" s="312">
        <f>VLOOKUP($H:$H,型材表!$B$5:$I$448,5,0)</f>
        <v>0.125</v>
      </c>
      <c r="Q700" s="100" t="str">
        <f>VLOOKUP($H:$H,型材表!$B$5:$I$448,6,0)</f>
        <v>断桥隔热铝型材</v>
      </c>
      <c r="R700" s="313"/>
      <c r="S700" s="314"/>
      <c r="T700" s="469"/>
      <c r="U700" s="376" t="s">
        <v>1250</v>
      </c>
      <c r="V700" s="316">
        <f>25.3+13</f>
        <v>38.299999999999997</v>
      </c>
      <c r="W700" s="316"/>
      <c r="X700" s="317">
        <f>25.3+13</f>
        <v>38.299999999999997</v>
      </c>
      <c r="Y700" s="318"/>
      <c r="Z700" s="317">
        <f>25.3+13</f>
        <v>38.299999999999997</v>
      </c>
      <c r="AA700" s="318"/>
      <c r="AB700" s="317">
        <f>25.3+13</f>
        <v>38.299999999999997</v>
      </c>
      <c r="AC700" s="318"/>
      <c r="AD700" s="317">
        <f>25.3+13</f>
        <v>38.299999999999997</v>
      </c>
      <c r="AE700" s="318"/>
      <c r="AF700" s="317">
        <f>25.3+10.3</f>
        <v>35.6</v>
      </c>
      <c r="AG700" s="318"/>
      <c r="AH700" s="317">
        <f>25.3+10.3</f>
        <v>35.6</v>
      </c>
      <c r="AI700" s="318"/>
      <c r="AJ700" s="317">
        <f>10+25.3</f>
        <v>35.299999999999997</v>
      </c>
      <c r="AK700" s="318"/>
    </row>
    <row r="701" spans="1:37" s="315" customFormat="1" x14ac:dyDescent="0.15">
      <c r="A701" s="382">
        <v>10</v>
      </c>
      <c r="B701" s="534"/>
      <c r="C701" s="535"/>
      <c r="D701" s="535"/>
      <c r="E701" s="536"/>
      <c r="F701" s="310" t="str">
        <f>VLOOKUP($H:$H,型材表!$B$5:$I$448,2,0)</f>
        <v>转向框</v>
      </c>
      <c r="G701" s="116" t="s">
        <v>144</v>
      </c>
      <c r="H701" s="328" t="str">
        <f>H700</f>
        <v>SW55K102</v>
      </c>
      <c r="I701" s="207" t="s">
        <v>1579</v>
      </c>
      <c r="J701" s="329">
        <f>IF(G677=55,M684-V701,IF(G677=551,M684-X701,IF(G677=60,M684-Z701,IF(G677=601,M684-AB701,IF(G677=65,M684-AD701,IF(G677=70,M684-AF701,IF(G677=75,M684-AH701,IF(G677=50,M684-AJ701))))))))</f>
        <v>611.70000000000005</v>
      </c>
      <c r="K701" s="328">
        <v>4</v>
      </c>
      <c r="L701" s="310">
        <f>VLOOKUP($H:$H,型材表!$B$5:$I$448,4,0)</f>
        <v>0.92300000000000004</v>
      </c>
      <c r="M701" s="147">
        <f t="shared" si="113"/>
        <v>2.2583964000000001</v>
      </c>
      <c r="N701" s="311">
        <f>VLOOKUP($H:$H,型材表!$B$5:$I$448,7,0)</f>
        <v>0</v>
      </c>
      <c r="O701" s="147">
        <f t="shared" si="114"/>
        <v>0</v>
      </c>
      <c r="P701" s="312">
        <f>VLOOKUP($H:$H,型材表!$B$5:$I$448,5,0)</f>
        <v>0.125</v>
      </c>
      <c r="Q701" s="100" t="str">
        <f>VLOOKUP($H:$H,型材表!$B$5:$I$448,6,0)</f>
        <v>断桥隔热铝型材</v>
      </c>
      <c r="R701" s="330"/>
      <c r="S701" s="314"/>
      <c r="T701" s="469"/>
      <c r="U701" s="376" t="s">
        <v>1577</v>
      </c>
      <c r="V701" s="316">
        <f>25.3+13</f>
        <v>38.299999999999997</v>
      </c>
      <c r="W701" s="316"/>
      <c r="X701" s="317">
        <f>25.3+13</f>
        <v>38.299999999999997</v>
      </c>
      <c r="Y701" s="318"/>
      <c r="Z701" s="317">
        <f>25.3+13</f>
        <v>38.299999999999997</v>
      </c>
      <c r="AA701" s="318"/>
      <c r="AB701" s="317">
        <f>25.3+13</f>
        <v>38.299999999999997</v>
      </c>
      <c r="AC701" s="318"/>
      <c r="AD701" s="317">
        <f>25.3+13</f>
        <v>38.299999999999997</v>
      </c>
      <c r="AE701" s="318"/>
      <c r="AF701" s="317">
        <f>25.3+10.3</f>
        <v>35.6</v>
      </c>
      <c r="AG701" s="318"/>
      <c r="AH701" s="317">
        <f>25.3+10.3</f>
        <v>35.6</v>
      </c>
      <c r="AI701" s="318"/>
      <c r="AJ701" s="317">
        <f>10+25.3</f>
        <v>35.299999999999997</v>
      </c>
      <c r="AK701" s="318"/>
    </row>
    <row r="702" spans="1:37" x14ac:dyDescent="0.15">
      <c r="A702" s="382">
        <v>11</v>
      </c>
      <c r="B702" s="537"/>
      <c r="C702" s="538"/>
      <c r="D702" s="538"/>
      <c r="E702" s="539"/>
      <c r="F702" s="47"/>
      <c r="G702" s="45"/>
      <c r="H702" s="45"/>
      <c r="I702" s="207"/>
      <c r="J702" s="46"/>
      <c r="K702" s="45"/>
      <c r="L702" s="47"/>
      <c r="M702" s="46"/>
      <c r="N702" s="72"/>
      <c r="O702" s="46"/>
      <c r="P702" s="100"/>
      <c r="Q702" s="100"/>
      <c r="R702" s="49"/>
      <c r="S702" s="50"/>
      <c r="T702" s="459"/>
      <c r="X702" s="264"/>
      <c r="Y702" s="265"/>
      <c r="Z702" s="264"/>
      <c r="AA702" s="265"/>
      <c r="AB702" s="264"/>
      <c r="AC702" s="265"/>
      <c r="AD702" s="264"/>
      <c r="AE702" s="265"/>
      <c r="AF702" s="264"/>
      <c r="AG702" s="265"/>
      <c r="AH702" s="264"/>
      <c r="AI702" s="265"/>
      <c r="AJ702" s="264"/>
      <c r="AK702" s="265"/>
    </row>
    <row r="703" spans="1:37" ht="13.5" customHeight="1" x14ac:dyDescent="0.15">
      <c r="A703" s="382">
        <v>12</v>
      </c>
      <c r="B703" s="531" t="s">
        <v>44</v>
      </c>
      <c r="C703" s="532"/>
      <c r="D703" s="532"/>
      <c r="E703" s="533"/>
      <c r="F703" s="47" t="str">
        <f>VLOOKUP($H:$H,型材表!$B$5:$I$448,2,0)</f>
        <v>压线</v>
      </c>
      <c r="G703" s="45" t="s">
        <v>39</v>
      </c>
      <c r="H703" s="45" t="str">
        <f>IF(G677=55,"SN55Y001",IF(G677=551,"SW55BY001",IF(G677=60,"SN60Y001",IF(G677=601,"SW60AY001",IF(G677=65,"SN65AY001",IF(G677=70,"SN70Y001",IF(G677=75,"SN75Y001",IF(G677=50,"SW50Y001"))))))))</f>
        <v>SN55Y001</v>
      </c>
      <c r="I703" s="207" t="s">
        <v>1284</v>
      </c>
      <c r="J703" s="52">
        <f>IF(G677=55,M681-V703,IF(G677=551,M681-X703,IF(G677=60,M681-Z703,IF(G677=601,M681-AB703,IF(G677=65,M681-AD703,IF(G677=70,M681-AF703,IF(G677=75,M681-AH703,IF(G677=50,M681-AJ703))))))))</f>
        <v>1015.2</v>
      </c>
      <c r="K703" s="45">
        <f>K697</f>
        <v>4</v>
      </c>
      <c r="L703" s="47">
        <f>VLOOKUP($H:$H,型材表!$B$5:$I$448,4,0)</f>
        <v>0.214</v>
      </c>
      <c r="M703" s="46">
        <f t="shared" ref="M703:M712" si="117">J703*K703*L703/1000</f>
        <v>0.86901119999999998</v>
      </c>
      <c r="N703" s="72">
        <f>VLOOKUP($H:$H,型材表!$B$5:$I$448,7,0)</f>
        <v>0</v>
      </c>
      <c r="O703" s="46">
        <f t="shared" ref="O703:O712" si="118">N703*M703</f>
        <v>0</v>
      </c>
      <c r="P703" s="100">
        <f>VLOOKUP($H:$H,型材表!$B$5:$I$448,5,0)</f>
        <v>0.125</v>
      </c>
      <c r="Q703" s="100" t="str">
        <f>VLOOKUP($H:$H,型材表!$B$5:$I$448,6,0)</f>
        <v>非断桥隔热铝型材</v>
      </c>
      <c r="R703" s="49"/>
      <c r="S703" s="50"/>
      <c r="T703" s="459"/>
      <c r="U703" s="374" t="s">
        <v>1251</v>
      </c>
      <c r="V703" s="269">
        <f>99.9+84.9</f>
        <v>184.8</v>
      </c>
      <c r="X703" s="279">
        <f>99.9+84.9</f>
        <v>184.8</v>
      </c>
      <c r="Y703" s="265"/>
      <c r="Z703" s="279">
        <f>99.9+84.9</f>
        <v>184.8</v>
      </c>
      <c r="AA703" s="265"/>
      <c r="AB703" s="279">
        <f>99.9+84.9</f>
        <v>184.8</v>
      </c>
      <c r="AC703" s="265"/>
      <c r="AD703" s="279">
        <f>99.9+84.9</f>
        <v>184.8</v>
      </c>
      <c r="AE703" s="265"/>
      <c r="AF703" s="279">
        <f>105.4+90.4</f>
        <v>195.8</v>
      </c>
      <c r="AG703" s="265"/>
      <c r="AH703" s="279">
        <f>105.4+90.4</f>
        <v>195.8</v>
      </c>
      <c r="AI703" s="265"/>
      <c r="AJ703" s="279">
        <f>90.4+75.1</f>
        <v>165.5</v>
      </c>
      <c r="AK703" s="265"/>
    </row>
    <row r="704" spans="1:37" ht="13.5" customHeight="1" x14ac:dyDescent="0.15">
      <c r="A704" s="382">
        <v>13</v>
      </c>
      <c r="B704" s="534"/>
      <c r="C704" s="535"/>
      <c r="D704" s="535"/>
      <c r="E704" s="536"/>
      <c r="F704" s="47" t="str">
        <f>VLOOKUP($H:$H,型材表!$B$5:$I$448,2,0)</f>
        <v>压线</v>
      </c>
      <c r="G704" s="45" t="s">
        <v>39</v>
      </c>
      <c r="H704" s="207" t="str">
        <f>H703</f>
        <v>SN55Y001</v>
      </c>
      <c r="I704" s="207" t="s">
        <v>1285</v>
      </c>
      <c r="J704" s="214">
        <f>IF(G677=55,M682-V704,IF(G677=551,M682-X704,IF(G677=60,M682-Z704,IF(G677=601,M682-AB704,IF(G677=65,M682-AD704,IF(G677=70,M682-AF704,IF(G677=75,M682-AH704,IF(G677=50,M682-AJ704))))))))</f>
        <v>469</v>
      </c>
      <c r="K704" s="207">
        <v>4</v>
      </c>
      <c r="L704" s="47">
        <f>VLOOKUP($H:$H,型材表!$B$5:$I$448,4,0)</f>
        <v>0.214</v>
      </c>
      <c r="M704" s="46">
        <f t="shared" ref="M704:M707" si="119">J704*K704*L704/1000</f>
        <v>0.40146399999999999</v>
      </c>
      <c r="N704" s="72">
        <f>VLOOKUP($H:$H,型材表!$B$5:$I$448,7,0)</f>
        <v>0</v>
      </c>
      <c r="O704" s="46">
        <f t="shared" ref="O704:O707" si="120">N704*M704</f>
        <v>0</v>
      </c>
      <c r="P704" s="100">
        <f>VLOOKUP($H:$H,型材表!$B$5:$I$448,5,0)</f>
        <v>0.125</v>
      </c>
      <c r="Q704" s="100" t="str">
        <f>VLOOKUP($H:$H,型材表!$B$5:$I$448,6,0)</f>
        <v>非断桥隔热铝型材</v>
      </c>
      <c r="R704" s="210"/>
      <c r="S704" s="50"/>
      <c r="T704" s="459"/>
      <c r="U704" s="374" t="s">
        <v>1252</v>
      </c>
      <c r="V704" s="269">
        <f>8+23</f>
        <v>31</v>
      </c>
      <c r="X704" s="279">
        <f>8+23</f>
        <v>31</v>
      </c>
      <c r="Y704" s="265"/>
      <c r="Z704" s="279">
        <f>8+23</f>
        <v>31</v>
      </c>
      <c r="AA704" s="265"/>
      <c r="AB704" s="279">
        <f>8+23</f>
        <v>31</v>
      </c>
      <c r="AC704" s="265"/>
      <c r="AD704" s="279">
        <f>8+23</f>
        <v>31</v>
      </c>
      <c r="AE704" s="265"/>
      <c r="AF704" s="279">
        <f>8+23</f>
        <v>31</v>
      </c>
      <c r="AG704" s="265"/>
      <c r="AH704" s="279">
        <f>8+23</f>
        <v>31</v>
      </c>
      <c r="AI704" s="265"/>
      <c r="AJ704" s="279">
        <f>8+23.3</f>
        <v>31.3</v>
      </c>
      <c r="AK704" s="265"/>
    </row>
    <row r="705" spans="1:37" ht="13.5" customHeight="1" x14ac:dyDescent="0.15">
      <c r="A705" s="382">
        <v>14</v>
      </c>
      <c r="B705" s="534"/>
      <c r="C705" s="535"/>
      <c r="D705" s="535"/>
      <c r="E705" s="536"/>
      <c r="F705" s="47" t="str">
        <f>VLOOKUP($H:$H,型材表!$B$5:$I$448,2,0)</f>
        <v>压线</v>
      </c>
      <c r="G705" s="45" t="s">
        <v>39</v>
      </c>
      <c r="H705" s="207" t="str">
        <f t="shared" ref="H705:H707" si="121">H704</f>
        <v>SN55Y001</v>
      </c>
      <c r="I705" s="207" t="s">
        <v>1286</v>
      </c>
      <c r="J705" s="214">
        <f>IF(G677=55,M679-V705,IF(G677=551,M679-X705,IF(G677=60,M679-Z705,IF(G677=601,M679-AB705,IF(G677=65,M679-AD705,IF(G677=70,M679-AF705,IF(G677=75,M679-AH705,IF(G677=50,M679-AJ705))))))))</f>
        <v>1654</v>
      </c>
      <c r="K705" s="207">
        <v>2</v>
      </c>
      <c r="L705" s="47">
        <f>VLOOKUP($H:$H,型材表!$B$5:$I$448,4,0)</f>
        <v>0.214</v>
      </c>
      <c r="M705" s="46">
        <f t="shared" si="119"/>
        <v>0.70791199999999999</v>
      </c>
      <c r="N705" s="72">
        <f>VLOOKUP($H:$H,型材表!$B$5:$I$448,7,0)</f>
        <v>0</v>
      </c>
      <c r="O705" s="46">
        <f t="shared" si="120"/>
        <v>0</v>
      </c>
      <c r="P705" s="100">
        <f>VLOOKUP($H:$H,型材表!$B$5:$I$448,5,0)</f>
        <v>0.125</v>
      </c>
      <c r="Q705" s="100" t="str">
        <f>VLOOKUP($H:$H,型材表!$B$5:$I$448,6,0)</f>
        <v>非断桥隔热铝型材</v>
      </c>
      <c r="R705" s="210"/>
      <c r="S705" s="50"/>
      <c r="T705" s="459"/>
      <c r="U705" s="374" t="s">
        <v>1253</v>
      </c>
      <c r="V705" s="269">
        <f>23*2</f>
        <v>46</v>
      </c>
      <c r="X705" s="279">
        <f>23*2</f>
        <v>46</v>
      </c>
      <c r="Y705" s="265"/>
      <c r="Z705" s="279">
        <f>23*2</f>
        <v>46</v>
      </c>
      <c r="AA705" s="265"/>
      <c r="AB705" s="279">
        <f>23*2</f>
        <v>46</v>
      </c>
      <c r="AC705" s="265"/>
      <c r="AD705" s="279">
        <f>23*2</f>
        <v>46</v>
      </c>
      <c r="AE705" s="265"/>
      <c r="AF705" s="279">
        <f>23*2</f>
        <v>46</v>
      </c>
      <c r="AG705" s="265"/>
      <c r="AH705" s="279">
        <f>23*2</f>
        <v>46</v>
      </c>
      <c r="AI705" s="265"/>
      <c r="AJ705" s="279">
        <f>23.3*2</f>
        <v>46.6</v>
      </c>
      <c r="AK705" s="265"/>
    </row>
    <row r="706" spans="1:37" ht="13.5" customHeight="1" x14ac:dyDescent="0.15">
      <c r="A706" s="382">
        <v>15</v>
      </c>
      <c r="B706" s="534"/>
      <c r="C706" s="535"/>
      <c r="D706" s="535"/>
      <c r="E706" s="536"/>
      <c r="F706" s="47" t="str">
        <f>VLOOKUP($H:$H,型材表!$B$5:$I$448,2,0)</f>
        <v>压线</v>
      </c>
      <c r="G706" s="45" t="s">
        <v>144</v>
      </c>
      <c r="H706" s="207" t="str">
        <f t="shared" si="121"/>
        <v>SN55Y001</v>
      </c>
      <c r="I706" s="207" t="s">
        <v>1287</v>
      </c>
      <c r="J706" s="214">
        <f>IF(G677=55,M684-V706,IF(G677=551,M684-X706,IF(G677=60,M684-Z706,IF(G677=601,M684-AB706,IF(G677=65,M684-AD706,IF(G677=70,M684-AF706,IF(G677=75,M684-AH706,IF(G677=50,M684-AJ706))))))))</f>
        <v>465.2</v>
      </c>
      <c r="K706" s="45">
        <f>K700</f>
        <v>4</v>
      </c>
      <c r="L706" s="47">
        <f>VLOOKUP($H:$H,型材表!$B$5:$I$448,4,0)</f>
        <v>0.214</v>
      </c>
      <c r="M706" s="46">
        <f t="shared" si="119"/>
        <v>0.39821119999999999</v>
      </c>
      <c r="N706" s="72">
        <f>VLOOKUP($H:$H,型材表!$B$5:$I$448,7,0)</f>
        <v>0</v>
      </c>
      <c r="O706" s="46">
        <f t="shared" si="120"/>
        <v>0</v>
      </c>
      <c r="P706" s="100">
        <f>VLOOKUP($H:$H,型材表!$B$5:$I$448,5,0)</f>
        <v>0.125</v>
      </c>
      <c r="Q706" s="100" t="str">
        <f>VLOOKUP($H:$H,型材表!$B$5:$I$448,6,0)</f>
        <v>非断桥隔热铝型材</v>
      </c>
      <c r="R706" s="210"/>
      <c r="S706" s="50"/>
      <c r="T706" s="459"/>
      <c r="U706" s="374" t="s">
        <v>1254</v>
      </c>
      <c r="V706" s="269">
        <f>99.9+84.9</f>
        <v>184.8</v>
      </c>
      <c r="X706" s="279">
        <f>99.9+84.9</f>
        <v>184.8</v>
      </c>
      <c r="Y706" s="265"/>
      <c r="Z706" s="279">
        <f>99.9+84.9</f>
        <v>184.8</v>
      </c>
      <c r="AA706" s="265"/>
      <c r="AB706" s="279">
        <f>99.9+84.9</f>
        <v>184.8</v>
      </c>
      <c r="AC706" s="265"/>
      <c r="AD706" s="279">
        <f>99.9+84.9</f>
        <v>184.8</v>
      </c>
      <c r="AE706" s="265"/>
      <c r="AF706" s="279">
        <f>105.4+90.4</f>
        <v>195.8</v>
      </c>
      <c r="AG706" s="265"/>
      <c r="AH706" s="279">
        <f>105.4+90.4</f>
        <v>195.8</v>
      </c>
      <c r="AI706" s="265"/>
      <c r="AJ706" s="279">
        <f>90.4+75.1</f>
        <v>165.5</v>
      </c>
      <c r="AK706" s="265"/>
    </row>
    <row r="707" spans="1:37" ht="13.5" customHeight="1" x14ac:dyDescent="0.15">
      <c r="A707" s="382">
        <v>16</v>
      </c>
      <c r="B707" s="534"/>
      <c r="C707" s="535"/>
      <c r="D707" s="535"/>
      <c r="E707" s="536"/>
      <c r="F707" s="47" t="str">
        <f>VLOOKUP($H:$H,型材表!$B$5:$I$448,2,0)</f>
        <v>压线</v>
      </c>
      <c r="G707" s="45" t="s">
        <v>144</v>
      </c>
      <c r="H707" s="207" t="str">
        <f t="shared" si="121"/>
        <v>SN55Y001</v>
      </c>
      <c r="I707" s="207" t="s">
        <v>1288</v>
      </c>
      <c r="J707" s="214">
        <f>IF(G677=55,M684-V707,IF(G677=551,M684-X707,IF(G677=60,M684-Z707,IF(G677=601,M684-AB707,IF(G677=65,M684-AD707,IF(G677=70,M684-AF707,IF(G677=75,M684-AH707,IF(G677=50,M684-AJ707))))))))</f>
        <v>619</v>
      </c>
      <c r="K707" s="207">
        <v>4</v>
      </c>
      <c r="L707" s="47">
        <f>VLOOKUP($H:$H,型材表!$B$5:$I$448,4,0)</f>
        <v>0.214</v>
      </c>
      <c r="M707" s="46">
        <f t="shared" si="119"/>
        <v>0.529864</v>
      </c>
      <c r="N707" s="72">
        <f>VLOOKUP($H:$H,型材表!$B$5:$I$448,7,0)</f>
        <v>0</v>
      </c>
      <c r="O707" s="46">
        <f t="shared" si="120"/>
        <v>0</v>
      </c>
      <c r="P707" s="100">
        <f>VLOOKUP($H:$H,型材表!$B$5:$I$448,5,0)</f>
        <v>0.125</v>
      </c>
      <c r="Q707" s="100" t="str">
        <f>VLOOKUP($H:$H,型材表!$B$5:$I$448,6,0)</f>
        <v>非断桥隔热铝型材</v>
      </c>
      <c r="R707" s="210"/>
      <c r="S707" s="50"/>
      <c r="T707" s="459"/>
      <c r="U707" s="374" t="s">
        <v>1255</v>
      </c>
      <c r="V707" s="269">
        <f>8+23</f>
        <v>31</v>
      </c>
      <c r="X707" s="279">
        <f>8+23</f>
        <v>31</v>
      </c>
      <c r="Y707" s="265"/>
      <c r="Z707" s="279">
        <f>8+23</f>
        <v>31</v>
      </c>
      <c r="AA707" s="265"/>
      <c r="AB707" s="279">
        <f>8+23</f>
        <v>31</v>
      </c>
      <c r="AC707" s="265"/>
      <c r="AD707" s="279">
        <f>8+23</f>
        <v>31</v>
      </c>
      <c r="AE707" s="265"/>
      <c r="AF707" s="279">
        <f>8+23</f>
        <v>31</v>
      </c>
      <c r="AG707" s="265"/>
      <c r="AH707" s="279">
        <f>8+23</f>
        <v>31</v>
      </c>
      <c r="AI707" s="265"/>
      <c r="AJ707" s="279">
        <f>23.3+8</f>
        <v>31.3</v>
      </c>
      <c r="AK707" s="265"/>
    </row>
    <row r="708" spans="1:37" x14ac:dyDescent="0.15">
      <c r="A708" s="382">
        <v>17</v>
      </c>
      <c r="B708" s="534"/>
      <c r="C708" s="535"/>
      <c r="D708" s="535"/>
      <c r="E708" s="536"/>
      <c r="F708" s="47" t="str">
        <f>VLOOKUP($H:$H,型材表!$B$5:$I$448,2,0)</f>
        <v>压线</v>
      </c>
      <c r="G708" s="45" t="s">
        <v>144</v>
      </c>
      <c r="H708" s="207" t="str">
        <f>H703</f>
        <v>SN55Y001</v>
      </c>
      <c r="I708" s="207" t="s">
        <v>1289</v>
      </c>
      <c r="J708" s="214">
        <f>IF(G677=55,M685-V708,IF(G677=551,M685-X708,IF(G677=60,M685-Z708,IF(G677=601,M685-AB708,IF(G677=65,M685-AD708,IF(G677=70,M685-AF708,IF(G677=75,M685-AH708,IF(G677=50,M685-AJ708))))))))</f>
        <v>684</v>
      </c>
      <c r="K708" s="207">
        <v>2</v>
      </c>
      <c r="L708" s="47">
        <f>VLOOKUP($H:$H,型材表!$B$5:$I$448,4,0)</f>
        <v>0.214</v>
      </c>
      <c r="M708" s="46">
        <f t="shared" si="117"/>
        <v>0.29275200000000001</v>
      </c>
      <c r="N708" s="72">
        <f>VLOOKUP($H:$H,型材表!$B$5:$I$448,7,0)</f>
        <v>0</v>
      </c>
      <c r="O708" s="46">
        <f t="shared" si="118"/>
        <v>0</v>
      </c>
      <c r="P708" s="100">
        <f>VLOOKUP($H:$H,型材表!$B$5:$I$448,5,0)</f>
        <v>0.125</v>
      </c>
      <c r="Q708" s="100" t="str">
        <f>VLOOKUP($H:$H,型材表!$B$5:$I$448,6,0)</f>
        <v>非断桥隔热铝型材</v>
      </c>
      <c r="R708" s="210"/>
      <c r="S708" s="50"/>
      <c r="T708" s="459"/>
      <c r="U708" s="374" t="s">
        <v>1290</v>
      </c>
      <c r="V708" s="269">
        <f>8*2</f>
        <v>16</v>
      </c>
      <c r="X708" s="279">
        <f>8*2</f>
        <v>16</v>
      </c>
      <c r="Y708" s="265"/>
      <c r="Z708" s="279">
        <f>8*2</f>
        <v>16</v>
      </c>
      <c r="AA708" s="265"/>
      <c r="AB708" s="279">
        <f>8*2</f>
        <v>16</v>
      </c>
      <c r="AC708" s="265"/>
      <c r="AD708" s="279">
        <f>8*2</f>
        <v>16</v>
      </c>
      <c r="AE708" s="265"/>
      <c r="AF708" s="279">
        <f>8*2</f>
        <v>16</v>
      </c>
      <c r="AG708" s="265"/>
      <c r="AH708" s="279">
        <f>8*2</f>
        <v>16</v>
      </c>
      <c r="AI708" s="265"/>
      <c r="AJ708" s="279">
        <f>8*2</f>
        <v>16</v>
      </c>
      <c r="AK708" s="265"/>
    </row>
    <row r="709" spans="1:37" x14ac:dyDescent="0.15">
      <c r="A709" s="382">
        <v>18</v>
      </c>
      <c r="B709" s="534"/>
      <c r="C709" s="535"/>
      <c r="D709" s="535"/>
      <c r="E709" s="536"/>
      <c r="F709" s="47" t="str">
        <f>VLOOKUP($H:$H,型材表!$B$5:$I$448,2,0)</f>
        <v>角码</v>
      </c>
      <c r="G709" s="213" t="s">
        <v>446</v>
      </c>
      <c r="H709" s="207" t="str">
        <f>IF(G677=70,"SN55F003",IF(G677=75,"SN55F003",IF(G677=50,"SW50F002","SW55F001")))</f>
        <v>SW55F001</v>
      </c>
      <c r="I709" s="207" t="s">
        <v>1256</v>
      </c>
      <c r="J709" s="214">
        <f>IF(G677=55,V709,IF(G677=551,X709,IF(G677=60,Z709,IF(G677=601,AB709,IF(G677=65,AD709,IF(G677=70,AF709,IF(G677=75,AH709,IF(G677=50,AJ709))))))))</f>
        <v>32.200000000000003</v>
      </c>
      <c r="K709" s="207">
        <v>4</v>
      </c>
      <c r="L709" s="47">
        <f>VLOOKUP($H:$H,型材表!$B$5:$I$448,4,0)</f>
        <v>2.0950000000000002</v>
      </c>
      <c r="M709" s="46">
        <f t="shared" si="117"/>
        <v>0.26983600000000008</v>
      </c>
      <c r="N709" s="72">
        <f>VLOOKUP($H:$H,型材表!$B$5:$I$448,7,0)</f>
        <v>0</v>
      </c>
      <c r="O709" s="46">
        <f t="shared" si="118"/>
        <v>0</v>
      </c>
      <c r="P709" s="100">
        <f>VLOOKUP($H:$H,型材表!$B$5:$I$448,5,0)</f>
        <v>0.125</v>
      </c>
      <c r="Q709" s="100" t="str">
        <f>VLOOKUP($H:$H,型材表!$B$5:$I$448,6,0)</f>
        <v>阳极氧化铝型材</v>
      </c>
      <c r="R709" s="210"/>
      <c r="S709" s="50"/>
      <c r="T709" s="459"/>
      <c r="U709" s="374" t="s">
        <v>1268</v>
      </c>
      <c r="V709" s="259">
        <f>19.5-1+14.7-1</f>
        <v>32.200000000000003</v>
      </c>
      <c r="X709" s="264">
        <f>19.5-1+10.9-1</f>
        <v>28.4</v>
      </c>
      <c r="Y709" s="265"/>
      <c r="Z709" s="264">
        <f>19.5-1+14.7-1</f>
        <v>32.200000000000003</v>
      </c>
      <c r="AA709" s="265"/>
      <c r="AB709" s="264">
        <f>19.5-1+10.9-1</f>
        <v>28.4</v>
      </c>
      <c r="AC709" s="265"/>
      <c r="AD709" s="264">
        <f>19.5-1+14.7-1</f>
        <v>32.200000000000003</v>
      </c>
      <c r="AE709" s="265"/>
      <c r="AF709" s="264">
        <f>19.5-1+14.7-1</f>
        <v>32.200000000000003</v>
      </c>
      <c r="AG709" s="265"/>
      <c r="AH709" s="264">
        <f>19.5-1+14.7-1</f>
        <v>32.200000000000003</v>
      </c>
      <c r="AI709" s="265"/>
      <c r="AJ709" s="264">
        <f>15-1</f>
        <v>14</v>
      </c>
      <c r="AK709" s="265"/>
    </row>
    <row r="710" spans="1:37" s="229" customFormat="1" x14ac:dyDescent="0.15">
      <c r="A710" s="382">
        <v>19</v>
      </c>
      <c r="B710" s="534"/>
      <c r="C710" s="535"/>
      <c r="D710" s="535"/>
      <c r="E710" s="536"/>
      <c r="F710" s="47" t="str">
        <f>VLOOKUP($H:$H,型材表!$B$5:$I$448,2,0)</f>
        <v>角码</v>
      </c>
      <c r="G710" s="230" t="s">
        <v>447</v>
      </c>
      <c r="H710" s="222" t="str">
        <f>IF(G677=70,"SW70F001",IF(G677=75,"SW70F001",IF(G677=50,"SW50F003","SN55MF004")))</f>
        <v>SN55MF004</v>
      </c>
      <c r="I710" s="207" t="s">
        <v>995</v>
      </c>
      <c r="J710" s="214">
        <f>IF(G677=55,V710,IF(G677=551,X710,IF(G677=60,Z710,IF(G677=601,AB710,IF(G677=65,AD710,IF(G677=70,AF710,IF(G677=75,AH710,IF(G677=50,AJ710))))))))</f>
        <v>30.2</v>
      </c>
      <c r="K710" s="207">
        <v>8</v>
      </c>
      <c r="L710" s="47">
        <f>VLOOKUP($H:$H,型材表!$B$5:$I$448,4,0)</f>
        <v>2.996</v>
      </c>
      <c r="M710" s="46">
        <f t="shared" si="117"/>
        <v>0.72383359999999997</v>
      </c>
      <c r="N710" s="72">
        <f>VLOOKUP($H:$H,型材表!$B$5:$I$448,7,0)</f>
        <v>0</v>
      </c>
      <c r="O710" s="46">
        <f t="shared" si="118"/>
        <v>0</v>
      </c>
      <c r="P710" s="100">
        <f>VLOOKUP($H:$H,型材表!$B$5:$I$448,5,0)</f>
        <v>0.125</v>
      </c>
      <c r="Q710" s="100" t="str">
        <f>VLOOKUP($H:$H,型材表!$B$5:$I$448,6,0)</f>
        <v>阳极氧化铝型材</v>
      </c>
      <c r="R710" s="227"/>
      <c r="S710" s="228"/>
      <c r="T710" s="467"/>
      <c r="U710" s="374" t="s">
        <v>995</v>
      </c>
      <c r="V710" s="266">
        <f>8-1+24.2-1</f>
        <v>30.2</v>
      </c>
      <c r="W710" s="266"/>
      <c r="X710" s="267">
        <f>4.2-1+24.2-1</f>
        <v>26.4</v>
      </c>
      <c r="Y710" s="268"/>
      <c r="Z710" s="267">
        <f>8-1+24.2-1</f>
        <v>30.2</v>
      </c>
      <c r="AA710" s="268"/>
      <c r="AB710" s="267">
        <f>4.2-1+24.2-1</f>
        <v>26.4</v>
      </c>
      <c r="AC710" s="268"/>
      <c r="AD710" s="267">
        <f>8-1+24.2-1</f>
        <v>30.2</v>
      </c>
      <c r="AE710" s="268"/>
      <c r="AF710" s="267">
        <f>7.3-1+24-1</f>
        <v>29.3</v>
      </c>
      <c r="AG710" s="268"/>
      <c r="AH710" s="267">
        <f>7.3-1+24-1</f>
        <v>29.3</v>
      </c>
      <c r="AI710" s="268"/>
      <c r="AJ710" s="267">
        <f>18.9-1</f>
        <v>17.899999999999999</v>
      </c>
      <c r="AK710" s="268"/>
    </row>
    <row r="711" spans="1:37" x14ac:dyDescent="0.15">
      <c r="A711" s="382">
        <v>20</v>
      </c>
      <c r="B711" s="534"/>
      <c r="C711" s="535"/>
      <c r="D711" s="535"/>
      <c r="E711" s="536"/>
      <c r="F711" s="47" t="str">
        <f>VLOOKUP($H:$H,型材表!$B$5:$I$448,2,0)</f>
        <v>中梃角码</v>
      </c>
      <c r="G711" s="51"/>
      <c r="H711" s="45" t="str">
        <f>IF(G677=50,"SW50F004","SN55F001")</f>
        <v>SN55F001</v>
      </c>
      <c r="I711" s="207" t="s">
        <v>1258</v>
      </c>
      <c r="J711" s="52">
        <f>IF(G677=55,V711,IF(G677=551,X711,IF(G677=60,Z711,IF(G677=601,AB711,IF(G677=65,AD711,IF(G677=70,AF711,IF(G677=75,AH711,IF(G677=50,AJ711))))))))</f>
        <v>18.5</v>
      </c>
      <c r="K711" s="45">
        <v>8</v>
      </c>
      <c r="L711" s="47">
        <f>VLOOKUP($H:$H,型材表!$B$5:$I$448,4,0)</f>
        <v>1.4730000000000001</v>
      </c>
      <c r="M711" s="46">
        <f t="shared" si="117"/>
        <v>0.21800400000000003</v>
      </c>
      <c r="N711" s="72">
        <f>VLOOKUP($H:$H,型材表!$B$5:$I$448,7,0)</f>
        <v>0</v>
      </c>
      <c r="O711" s="46">
        <f t="shared" si="118"/>
        <v>0</v>
      </c>
      <c r="P711" s="100">
        <f>VLOOKUP($H:$H,型材表!$B$5:$I$448,5,0)</f>
        <v>0.125</v>
      </c>
      <c r="Q711" s="100" t="str">
        <f>VLOOKUP($H:$H,型材表!$B$5:$I$448,6,0)</f>
        <v>阳极氧化铝型材</v>
      </c>
      <c r="R711" s="49"/>
      <c r="S711" s="50"/>
      <c r="T711" s="459"/>
      <c r="U711" s="374" t="s">
        <v>1269</v>
      </c>
      <c r="V711" s="259">
        <f>19.5-1</f>
        <v>18.5</v>
      </c>
      <c r="X711" s="264">
        <f>19.5-1</f>
        <v>18.5</v>
      </c>
      <c r="Y711" s="265"/>
      <c r="Z711" s="286">
        <f>19.5-1</f>
        <v>18.5</v>
      </c>
      <c r="AA711" s="265"/>
      <c r="AB711" s="264">
        <f>19.5-1</f>
        <v>18.5</v>
      </c>
      <c r="AC711" s="265"/>
      <c r="AD711" s="286">
        <f>19.5-1</f>
        <v>18.5</v>
      </c>
      <c r="AE711" s="265"/>
      <c r="AF711" s="286">
        <f>19.5-1</f>
        <v>18.5</v>
      </c>
      <c r="AG711" s="265"/>
      <c r="AH711" s="286">
        <f>19.5-1</f>
        <v>18.5</v>
      </c>
      <c r="AI711" s="265"/>
      <c r="AJ711" s="264">
        <f>13.2-1</f>
        <v>12.2</v>
      </c>
      <c r="AK711" s="265"/>
    </row>
    <row r="712" spans="1:37" x14ac:dyDescent="0.15">
      <c r="A712" s="382">
        <v>21</v>
      </c>
      <c r="B712" s="534"/>
      <c r="C712" s="535"/>
      <c r="D712" s="535"/>
      <c r="E712" s="536"/>
      <c r="F712" s="47" t="str">
        <f>VLOOKUP($H:$H,型材表!$B$5:$I$448,2,0)</f>
        <v>中梃角码</v>
      </c>
      <c r="G712" s="213"/>
      <c r="H712" s="207" t="str">
        <f>IF(G677=501,"SN55BF001",IF(G677=601,"SN55BF001",IF(G677=70,"SN70F001",IF(G677=75,"SN70F001","SN55F002"))))</f>
        <v>SN55F002</v>
      </c>
      <c r="I712" s="207" t="s">
        <v>939</v>
      </c>
      <c r="J712" s="214">
        <f>IF(G677=55,V712,IF(G677=551,X712,IF(G677=60,Z712,IF(G677=601,AB712,IF(G677=65,AD712,IF(G677=70,AF712,IF(G677=75,AH712,IF(G677=50,AJ712))))))))</f>
        <v>13.5</v>
      </c>
      <c r="K712" s="207">
        <v>8</v>
      </c>
      <c r="L712" s="47">
        <f>VLOOKUP($H:$H,型材表!$B$5:$I$448,4,0)</f>
        <v>0.90400000000000003</v>
      </c>
      <c r="M712" s="46">
        <f t="shared" si="117"/>
        <v>9.763200000000001E-2</v>
      </c>
      <c r="N712" s="72">
        <f>VLOOKUP($H:$H,型材表!$B$5:$I$448,7,0)</f>
        <v>0</v>
      </c>
      <c r="O712" s="46">
        <f t="shared" si="118"/>
        <v>0</v>
      </c>
      <c r="P712" s="100">
        <f>VLOOKUP($H:$H,型材表!$B$5:$I$448,5,0)</f>
        <v>0.125</v>
      </c>
      <c r="Q712" s="100" t="str">
        <f>VLOOKUP($H:$H,型材表!$B$5:$I$448,6,0)</f>
        <v>阳极氧化铝型材</v>
      </c>
      <c r="R712" s="210"/>
      <c r="S712" s="50"/>
      <c r="T712" s="459"/>
      <c r="U712" s="374" t="s">
        <v>939</v>
      </c>
      <c r="V712" s="259">
        <f>14.5-1</f>
        <v>13.5</v>
      </c>
      <c r="X712" s="264">
        <f>10.7-1</f>
        <v>9.6999999999999993</v>
      </c>
      <c r="Y712" s="265"/>
      <c r="Z712" s="286">
        <f>14.5-1</f>
        <v>13.5</v>
      </c>
      <c r="AA712" s="265"/>
      <c r="AB712" s="264">
        <f>10.7-1</f>
        <v>9.6999999999999993</v>
      </c>
      <c r="AC712" s="265"/>
      <c r="AD712" s="286">
        <f>14.5-1</f>
        <v>13.5</v>
      </c>
      <c r="AE712" s="265"/>
      <c r="AF712" s="286">
        <f>14.5-1</f>
        <v>13.5</v>
      </c>
      <c r="AG712" s="265"/>
      <c r="AH712" s="286">
        <f>14.5-1</f>
        <v>13.5</v>
      </c>
      <c r="AI712" s="265"/>
      <c r="AJ712" s="264"/>
      <c r="AK712" s="265"/>
    </row>
    <row r="713" spans="1:37" x14ac:dyDescent="0.15">
      <c r="A713" s="382">
        <v>22</v>
      </c>
      <c r="B713" s="534"/>
      <c r="C713" s="535"/>
      <c r="D713" s="535"/>
      <c r="E713" s="536"/>
      <c r="F713" s="306"/>
      <c r="G713" s="213"/>
      <c r="H713" s="207"/>
      <c r="I713" s="207"/>
      <c r="J713" s="214"/>
      <c r="K713" s="207"/>
      <c r="L713" s="306"/>
      <c r="M713" s="208"/>
      <c r="N713" s="209"/>
      <c r="O713" s="208"/>
      <c r="P713" s="307"/>
      <c r="Q713" s="100"/>
      <c r="R713" s="210"/>
      <c r="S713" s="50"/>
      <c r="T713" s="459"/>
      <c r="X713" s="264"/>
      <c r="Y713" s="265"/>
      <c r="Z713" s="264"/>
      <c r="AA713" s="265"/>
      <c r="AB713" s="264"/>
      <c r="AC713" s="265"/>
      <c r="AD713" s="264"/>
      <c r="AE713" s="265"/>
      <c r="AF713" s="264"/>
      <c r="AG713" s="265"/>
      <c r="AH713" s="264"/>
      <c r="AI713" s="265"/>
      <c r="AJ713" s="264"/>
      <c r="AK713" s="265"/>
    </row>
    <row r="714" spans="1:37" x14ac:dyDescent="0.15">
      <c r="A714" s="382">
        <v>23</v>
      </c>
      <c r="B714" s="534"/>
      <c r="C714" s="535"/>
      <c r="D714" s="535"/>
      <c r="E714" s="536"/>
      <c r="F714" s="306"/>
      <c r="G714" s="213"/>
      <c r="H714" s="207"/>
      <c r="I714" s="207"/>
      <c r="J714" s="214"/>
      <c r="K714" s="207"/>
      <c r="L714" s="306"/>
      <c r="M714" s="208"/>
      <c r="N714" s="209"/>
      <c r="O714" s="208"/>
      <c r="P714" s="307"/>
      <c r="Q714" s="100"/>
      <c r="R714" s="210"/>
      <c r="S714" s="50"/>
      <c r="T714" s="459"/>
      <c r="X714" s="264"/>
      <c r="Y714" s="265"/>
      <c r="Z714" s="264"/>
      <c r="AA714" s="265"/>
      <c r="AB714" s="264"/>
      <c r="AC714" s="265"/>
      <c r="AD714" s="264"/>
      <c r="AE714" s="265"/>
      <c r="AF714" s="264"/>
      <c r="AG714" s="265"/>
      <c r="AH714" s="264"/>
      <c r="AI714" s="265"/>
      <c r="AJ714" s="264"/>
      <c r="AK714" s="265"/>
    </row>
    <row r="715" spans="1:37" x14ac:dyDescent="0.15">
      <c r="A715" s="382">
        <v>24</v>
      </c>
      <c r="B715" s="534"/>
      <c r="C715" s="535"/>
      <c r="D715" s="535"/>
      <c r="E715" s="536"/>
      <c r="F715" s="306"/>
      <c r="G715" s="213"/>
      <c r="H715" s="207"/>
      <c r="I715" s="207"/>
      <c r="J715" s="214"/>
      <c r="K715" s="207"/>
      <c r="L715" s="306"/>
      <c r="M715" s="208"/>
      <c r="N715" s="209"/>
      <c r="O715" s="208"/>
      <c r="P715" s="307"/>
      <c r="Q715" s="100"/>
      <c r="R715" s="210"/>
      <c r="S715" s="50"/>
      <c r="T715" s="459"/>
      <c r="X715" s="264"/>
      <c r="Y715" s="265"/>
      <c r="Z715" s="264"/>
      <c r="AA715" s="265"/>
      <c r="AB715" s="264"/>
      <c r="AC715" s="265"/>
      <c r="AD715" s="264"/>
      <c r="AE715" s="265"/>
      <c r="AF715" s="264"/>
      <c r="AG715" s="265"/>
      <c r="AH715" s="264"/>
      <c r="AI715" s="265"/>
      <c r="AJ715" s="264"/>
      <c r="AK715" s="265"/>
    </row>
    <row r="716" spans="1:37" x14ac:dyDescent="0.15">
      <c r="A716" s="382">
        <v>25</v>
      </c>
      <c r="B716" s="534"/>
      <c r="C716" s="535"/>
      <c r="D716" s="535"/>
      <c r="E716" s="536"/>
      <c r="F716" s="306"/>
      <c r="G716" s="213"/>
      <c r="H716" s="207"/>
      <c r="I716" s="207"/>
      <c r="J716" s="214"/>
      <c r="K716" s="207"/>
      <c r="L716" s="306"/>
      <c r="M716" s="208"/>
      <c r="N716" s="209"/>
      <c r="O716" s="208"/>
      <c r="P716" s="307"/>
      <c r="Q716" s="100"/>
      <c r="R716" s="210"/>
      <c r="S716" s="50"/>
      <c r="T716" s="459"/>
      <c r="X716" s="264"/>
      <c r="Y716" s="265"/>
      <c r="Z716" s="264"/>
      <c r="AA716" s="265"/>
      <c r="AB716" s="264"/>
      <c r="AC716" s="265"/>
      <c r="AD716" s="264"/>
      <c r="AE716" s="265"/>
      <c r="AF716" s="264"/>
      <c r="AG716" s="265"/>
      <c r="AH716" s="264"/>
      <c r="AI716" s="265"/>
      <c r="AJ716" s="264"/>
      <c r="AK716" s="265"/>
    </row>
    <row r="717" spans="1:37" x14ac:dyDescent="0.15">
      <c r="A717" s="382">
        <v>26</v>
      </c>
      <c r="B717" s="534"/>
      <c r="C717" s="535"/>
      <c r="D717" s="535"/>
      <c r="E717" s="536"/>
      <c r="F717" s="306"/>
      <c r="G717" s="213"/>
      <c r="H717" s="207"/>
      <c r="I717" s="207"/>
      <c r="J717" s="214"/>
      <c r="K717" s="207"/>
      <c r="L717" s="306"/>
      <c r="M717" s="208"/>
      <c r="N717" s="209"/>
      <c r="O717" s="208"/>
      <c r="P717" s="307"/>
      <c r="Q717" s="100"/>
      <c r="R717" s="210"/>
      <c r="S717" s="50"/>
      <c r="T717" s="459"/>
      <c r="X717" s="264"/>
      <c r="Y717" s="265"/>
      <c r="Z717" s="264"/>
      <c r="AA717" s="265"/>
      <c r="AB717" s="264"/>
      <c r="AC717" s="265"/>
      <c r="AD717" s="264"/>
      <c r="AE717" s="265"/>
      <c r="AF717" s="264"/>
      <c r="AG717" s="265"/>
      <c r="AH717" s="264"/>
      <c r="AI717" s="265"/>
      <c r="AJ717" s="264"/>
      <c r="AK717" s="265"/>
    </row>
    <row r="718" spans="1:37" x14ac:dyDescent="0.15">
      <c r="A718" s="382">
        <v>27</v>
      </c>
      <c r="B718" s="534"/>
      <c r="C718" s="535"/>
      <c r="D718" s="535"/>
      <c r="E718" s="536"/>
      <c r="F718" s="47"/>
      <c r="G718" s="213"/>
      <c r="H718" s="207"/>
      <c r="I718" s="207"/>
      <c r="J718" s="214"/>
      <c r="K718" s="207"/>
      <c r="L718" s="47"/>
      <c r="M718" s="46"/>
      <c r="N718" s="72"/>
      <c r="O718" s="46"/>
      <c r="P718" s="100"/>
      <c r="Q718" s="100"/>
      <c r="R718" s="210"/>
      <c r="S718" s="50"/>
      <c r="T718" s="459"/>
      <c r="X718" s="264"/>
      <c r="Y718" s="265"/>
      <c r="Z718" s="264"/>
      <c r="AA718" s="265"/>
      <c r="AB718" s="264"/>
      <c r="AC718" s="265"/>
      <c r="AD718" s="264"/>
      <c r="AE718" s="265"/>
      <c r="AF718" s="264"/>
      <c r="AG718" s="265"/>
      <c r="AH718" s="264"/>
      <c r="AI718" s="265"/>
      <c r="AJ718" s="264"/>
      <c r="AK718" s="265"/>
    </row>
    <row r="719" spans="1:37" s="229" customFormat="1" ht="13.5" customHeight="1" x14ac:dyDescent="0.15">
      <c r="A719" s="542" t="s">
        <v>975</v>
      </c>
      <c r="B719" s="543"/>
      <c r="C719" s="543"/>
      <c r="D719" s="543"/>
      <c r="E719" s="543"/>
      <c r="F719" s="543"/>
      <c r="G719" s="543"/>
      <c r="H719" s="543"/>
      <c r="I719" s="543"/>
      <c r="J719" s="543"/>
      <c r="K719" s="543"/>
      <c r="L719" s="544"/>
      <c r="M719" s="224">
        <f>SUMIF($Q$692:$Q$718,A719,$M$692:$M$718)</f>
        <v>28.498722799999999</v>
      </c>
      <c r="N719" s="353"/>
      <c r="O719" s="224"/>
      <c r="P719" s="354"/>
      <c r="Q719" s="355"/>
      <c r="R719" s="296"/>
      <c r="S719" s="228"/>
      <c r="T719" s="467"/>
      <c r="U719" s="375"/>
      <c r="V719" s="266"/>
      <c r="W719" s="266"/>
      <c r="X719" s="267"/>
      <c r="Y719" s="268"/>
      <c r="Z719" s="267"/>
      <c r="AA719" s="268"/>
      <c r="AB719" s="267"/>
      <c r="AC719" s="268"/>
      <c r="AD719" s="267"/>
      <c r="AE719" s="268"/>
      <c r="AF719" s="267"/>
      <c r="AG719" s="268"/>
      <c r="AH719" s="267"/>
      <c r="AI719" s="268"/>
      <c r="AJ719" s="267"/>
      <c r="AK719" s="268"/>
    </row>
    <row r="720" spans="1:37" s="229" customFormat="1" ht="13.5" customHeight="1" x14ac:dyDescent="0.15">
      <c r="A720" s="542" t="s">
        <v>976</v>
      </c>
      <c r="B720" s="543"/>
      <c r="C720" s="543"/>
      <c r="D720" s="543"/>
      <c r="E720" s="543"/>
      <c r="F720" s="543"/>
      <c r="G720" s="543"/>
      <c r="H720" s="543"/>
      <c r="I720" s="543"/>
      <c r="J720" s="543"/>
      <c r="K720" s="543"/>
      <c r="L720" s="544"/>
      <c r="M720" s="224">
        <f>SUMIF($Q$692:$Q$718,A720,$M$692:$M$718)</f>
        <v>3.1992143999999998</v>
      </c>
      <c r="N720" s="353"/>
      <c r="O720" s="224"/>
      <c r="P720" s="354"/>
      <c r="Q720" s="355"/>
      <c r="R720" s="296"/>
      <c r="S720" s="228"/>
      <c r="T720" s="467"/>
      <c r="U720" s="375"/>
      <c r="V720" s="266"/>
      <c r="W720" s="266"/>
      <c r="X720" s="267"/>
      <c r="Y720" s="268"/>
      <c r="Z720" s="267"/>
      <c r="AA720" s="268"/>
      <c r="AB720" s="267"/>
      <c r="AC720" s="268"/>
      <c r="AD720" s="267"/>
      <c r="AE720" s="268"/>
      <c r="AF720" s="267"/>
      <c r="AG720" s="268"/>
      <c r="AH720" s="267"/>
      <c r="AI720" s="268"/>
      <c r="AJ720" s="267"/>
      <c r="AK720" s="268"/>
    </row>
    <row r="721" spans="1:37" s="229" customFormat="1" ht="13.5" customHeight="1" x14ac:dyDescent="0.15">
      <c r="A721" s="542" t="s">
        <v>977</v>
      </c>
      <c r="B721" s="543"/>
      <c r="C721" s="543"/>
      <c r="D721" s="543"/>
      <c r="E721" s="543"/>
      <c r="F721" s="543"/>
      <c r="G721" s="543"/>
      <c r="H721" s="543"/>
      <c r="I721" s="543"/>
      <c r="J721" s="543"/>
      <c r="K721" s="543"/>
      <c r="L721" s="544"/>
      <c r="M721" s="224">
        <f>SUMIF($Q$692:$Q$718,A721,$M$692:$M$718)</f>
        <v>1.3093056000000001</v>
      </c>
      <c r="N721" s="353"/>
      <c r="O721" s="224"/>
      <c r="P721" s="354"/>
      <c r="Q721" s="355"/>
      <c r="R721" s="296"/>
      <c r="S721" s="228"/>
      <c r="T721" s="467"/>
      <c r="U721" s="375"/>
      <c r="V721" s="266"/>
      <c r="W721" s="266"/>
      <c r="X721" s="267"/>
      <c r="Y721" s="268"/>
      <c r="Z721" s="267"/>
      <c r="AA721" s="268"/>
      <c r="AB721" s="267"/>
      <c r="AC721" s="268"/>
      <c r="AD721" s="267"/>
      <c r="AE721" s="268"/>
      <c r="AF721" s="267"/>
      <c r="AG721" s="268"/>
      <c r="AH721" s="267"/>
      <c r="AI721" s="268"/>
      <c r="AJ721" s="267"/>
      <c r="AK721" s="268"/>
    </row>
    <row r="722" spans="1:37" ht="13.5" customHeight="1" x14ac:dyDescent="0.15">
      <c r="A722" s="552"/>
      <c r="B722" s="557"/>
      <c r="C722" s="557"/>
      <c r="D722" s="553"/>
      <c r="E722" s="552" t="s">
        <v>48</v>
      </c>
      <c r="F722" s="557"/>
      <c r="G722" s="557"/>
      <c r="H722" s="557"/>
      <c r="I722" s="557"/>
      <c r="J722" s="557"/>
      <c r="K722" s="553"/>
      <c r="L722" s="62"/>
      <c r="M722" s="62">
        <f>SUM(M719:M721)</f>
        <v>33.0072428</v>
      </c>
      <c r="N722" s="63"/>
      <c r="O722" s="62">
        <f>SUM(O692:O718)</f>
        <v>0</v>
      </c>
      <c r="P722" s="63"/>
      <c r="Q722" s="337"/>
      <c r="R722" s="64"/>
      <c r="S722" s="64"/>
      <c r="T722" s="460"/>
      <c r="X722" s="264"/>
      <c r="Y722" s="265"/>
      <c r="Z722" s="264"/>
      <c r="AA722" s="265"/>
      <c r="AB722" s="264"/>
      <c r="AC722" s="265"/>
      <c r="AD722" s="264"/>
      <c r="AE722" s="265"/>
      <c r="AF722" s="264"/>
      <c r="AG722" s="265"/>
      <c r="AH722" s="264"/>
      <c r="AI722" s="265"/>
      <c r="AJ722" s="264"/>
      <c r="AK722" s="265"/>
    </row>
    <row r="723" spans="1:37" ht="24" x14ac:dyDescent="0.15">
      <c r="A723" s="65"/>
      <c r="B723" s="560" t="s">
        <v>49</v>
      </c>
      <c r="C723" s="561"/>
      <c r="D723" s="561"/>
      <c r="E723" s="562"/>
      <c r="F723" s="565" t="s">
        <v>26</v>
      </c>
      <c r="G723" s="566"/>
      <c r="H723" s="66" t="s">
        <v>1167</v>
      </c>
      <c r="I723" s="351" t="s">
        <v>1168</v>
      </c>
      <c r="J723" s="66" t="s">
        <v>50</v>
      </c>
      <c r="K723" s="66" t="s">
        <v>51</v>
      </c>
      <c r="L723" s="67" t="s">
        <v>30</v>
      </c>
      <c r="M723" s="66" t="s">
        <v>52</v>
      </c>
      <c r="N723" s="68" t="s">
        <v>53</v>
      </c>
      <c r="O723" s="68" t="s">
        <v>34</v>
      </c>
      <c r="P723" s="69" t="s">
        <v>35</v>
      </c>
      <c r="Q723" s="42"/>
      <c r="R723" s="67"/>
      <c r="S723" s="67"/>
      <c r="T723" s="461"/>
      <c r="V723" s="270" t="s">
        <v>352</v>
      </c>
      <c r="W723" s="270" t="s">
        <v>353</v>
      </c>
      <c r="X723" s="271" t="s">
        <v>352</v>
      </c>
      <c r="Y723" s="272" t="s">
        <v>353</v>
      </c>
      <c r="Z723" s="271" t="s">
        <v>352</v>
      </c>
      <c r="AA723" s="272" t="s">
        <v>353</v>
      </c>
      <c r="AB723" s="271" t="s">
        <v>352</v>
      </c>
      <c r="AC723" s="272" t="s">
        <v>353</v>
      </c>
      <c r="AD723" s="271" t="s">
        <v>352</v>
      </c>
      <c r="AE723" s="272" t="s">
        <v>353</v>
      </c>
      <c r="AF723" s="271" t="s">
        <v>352</v>
      </c>
      <c r="AG723" s="272" t="s">
        <v>353</v>
      </c>
      <c r="AH723" s="271" t="s">
        <v>352</v>
      </c>
      <c r="AI723" s="272" t="s">
        <v>353</v>
      </c>
      <c r="AJ723" s="271" t="s">
        <v>352</v>
      </c>
      <c r="AK723" s="272" t="s">
        <v>353</v>
      </c>
    </row>
    <row r="724" spans="1:37" x14ac:dyDescent="0.15">
      <c r="A724" s="302">
        <v>1</v>
      </c>
      <c r="B724" s="542" t="s">
        <v>133</v>
      </c>
      <c r="C724" s="543"/>
      <c r="D724" s="543"/>
      <c r="E724" s="544"/>
      <c r="F724" s="545" t="s">
        <v>55</v>
      </c>
      <c r="G724" s="547"/>
      <c r="H724" s="45" t="s">
        <v>1260</v>
      </c>
      <c r="I724" s="207" t="s">
        <v>1261</v>
      </c>
      <c r="J724" s="46">
        <f>IF(G677=55,M684-V724,IF(G677=551,M684-X724,IF(G677=60,M684-Z724,IF(G677=601,M684-AB724,IF(G677=65,M684-AD724,IF(G677=70,M684-AF724,IF(G677=75,M684-AH724,IF(G677=50,M684-AJ724))))))))</f>
        <v>445.2</v>
      </c>
      <c r="K724" s="70">
        <f>IF(G677=55,M681-W724,IF(G677=551,M681-Y724,IF(G677=60,M681-AA724,IF(G677=601,M681-AC724,IF(G677=65,M681-AE724,IF(G677=70,M681-AG724,IF(G677=75,M681-AI724,IF(G677=50,M681-AK724))))))))</f>
        <v>995.2</v>
      </c>
      <c r="L724" s="70">
        <v>2</v>
      </c>
      <c r="M724" s="46">
        <f>J724*K724*L724/1000000</f>
        <v>0.88612608000000004</v>
      </c>
      <c r="N724" s="46"/>
      <c r="O724" s="46">
        <f>N724*M724</f>
        <v>0</v>
      </c>
      <c r="P724" s="71"/>
      <c r="Q724" s="71"/>
      <c r="R724" s="72"/>
      <c r="S724" s="72"/>
      <c r="T724" s="462" t="s">
        <v>1621</v>
      </c>
      <c r="U724" s="374" t="s">
        <v>1627</v>
      </c>
      <c r="V724" s="259">
        <f t="shared" ref="V724:AE724" si="122">109.9+94.9</f>
        <v>204.8</v>
      </c>
      <c r="W724" s="259">
        <f t="shared" si="122"/>
        <v>204.8</v>
      </c>
      <c r="X724" s="286">
        <f t="shared" si="122"/>
        <v>204.8</v>
      </c>
      <c r="Y724" s="304">
        <f t="shared" si="122"/>
        <v>204.8</v>
      </c>
      <c r="Z724" s="286">
        <f t="shared" si="122"/>
        <v>204.8</v>
      </c>
      <c r="AA724" s="304">
        <f t="shared" si="122"/>
        <v>204.8</v>
      </c>
      <c r="AB724" s="286">
        <f t="shared" si="122"/>
        <v>204.8</v>
      </c>
      <c r="AC724" s="304">
        <f t="shared" si="122"/>
        <v>204.8</v>
      </c>
      <c r="AD724" s="286">
        <f t="shared" si="122"/>
        <v>204.8</v>
      </c>
      <c r="AE724" s="304">
        <f t="shared" si="122"/>
        <v>204.8</v>
      </c>
      <c r="AF724" s="286">
        <f>117.4+102.4</f>
        <v>219.8</v>
      </c>
      <c r="AG724" s="304">
        <f>117.4+102.4</f>
        <v>219.8</v>
      </c>
      <c r="AH724" s="286">
        <f>117.4+102.4</f>
        <v>219.8</v>
      </c>
      <c r="AI724" s="304">
        <f>117.4+102.4</f>
        <v>219.8</v>
      </c>
      <c r="AJ724" s="259">
        <f>98.4+83.1</f>
        <v>181.5</v>
      </c>
      <c r="AK724" s="318">
        <f>98.4+83.1</f>
        <v>181.5</v>
      </c>
    </row>
    <row r="725" spans="1:37" x14ac:dyDescent="0.15">
      <c r="A725" s="238">
        <v>2</v>
      </c>
      <c r="B725" s="542" t="s">
        <v>134</v>
      </c>
      <c r="C725" s="543"/>
      <c r="D725" s="543"/>
      <c r="E725" s="544"/>
      <c r="F725" s="545" t="s">
        <v>135</v>
      </c>
      <c r="G725" s="547"/>
      <c r="H725" s="45" t="s">
        <v>1262</v>
      </c>
      <c r="I725" s="207" t="s">
        <v>1264</v>
      </c>
      <c r="J725" s="208">
        <f>IF(G677=55,M684-V725,IF(G677=551,M684-X725,IF(G677=60,M684-Z725,IF(G677=601,M684-AB725,IF(G677=65,M684-AD725,IF(G677=70,M684-AF725,IF(G677=75,M684-AH725,IF(G677=50,M684-AJ725))))))))</f>
        <v>597</v>
      </c>
      <c r="K725" s="239">
        <f>IF(G677=55,M682-W725,IF(G677=551,M682-Y725,IF(G677=60,M682-AA725,IF(G677=601,M682-AC725,IF(G677=65,M682-AE725,IF(G677=70,M682-AG725,IF(G677=75,M682-AI725,IF(G677=50,M682-AK725))))))))</f>
        <v>447</v>
      </c>
      <c r="L725" s="239">
        <v>2</v>
      </c>
      <c r="M725" s="46">
        <f>J725*K725*L725/1000000</f>
        <v>0.53371800000000003</v>
      </c>
      <c r="N725" s="208"/>
      <c r="O725" s="46">
        <f>N725*M725</f>
        <v>0</v>
      </c>
      <c r="P725" s="240"/>
      <c r="Q725" s="71"/>
      <c r="R725" s="209"/>
      <c r="S725" s="209"/>
      <c r="T725" s="462" t="s">
        <v>1622</v>
      </c>
      <c r="U725" s="374" t="s">
        <v>1628</v>
      </c>
      <c r="V725" s="259">
        <f t="shared" ref="V725:AE725" si="123">18+35</f>
        <v>53</v>
      </c>
      <c r="W725" s="259">
        <f t="shared" si="123"/>
        <v>53</v>
      </c>
      <c r="X725" s="286">
        <f t="shared" si="123"/>
        <v>53</v>
      </c>
      <c r="Y725" s="304">
        <f t="shared" si="123"/>
        <v>53</v>
      </c>
      <c r="Z725" s="286">
        <f t="shared" si="123"/>
        <v>53</v>
      </c>
      <c r="AA725" s="304">
        <f t="shared" si="123"/>
        <v>53</v>
      </c>
      <c r="AB725" s="286">
        <f t="shared" si="123"/>
        <v>53</v>
      </c>
      <c r="AC725" s="304">
        <f t="shared" si="123"/>
        <v>53</v>
      </c>
      <c r="AD725" s="286">
        <f t="shared" si="123"/>
        <v>53</v>
      </c>
      <c r="AE725" s="304">
        <f t="shared" si="123"/>
        <v>53</v>
      </c>
      <c r="AF725" s="286">
        <f>20+35</f>
        <v>55</v>
      </c>
      <c r="AG725" s="304">
        <f>20+35</f>
        <v>55</v>
      </c>
      <c r="AH725" s="286">
        <f>20+35</f>
        <v>55</v>
      </c>
      <c r="AI725" s="304">
        <f>20+35</f>
        <v>55</v>
      </c>
      <c r="AJ725" s="264">
        <f>16+31.3</f>
        <v>47.3</v>
      </c>
      <c r="AK725" s="318">
        <f>16+31.3</f>
        <v>47.3</v>
      </c>
    </row>
    <row r="726" spans="1:37" x14ac:dyDescent="0.15">
      <c r="A726" s="382">
        <v>3</v>
      </c>
      <c r="B726" s="542" t="s">
        <v>134</v>
      </c>
      <c r="C726" s="543"/>
      <c r="D726" s="543"/>
      <c r="E726" s="544"/>
      <c r="F726" s="545" t="s">
        <v>145</v>
      </c>
      <c r="G726" s="547"/>
      <c r="H726" s="45" t="s">
        <v>1291</v>
      </c>
      <c r="I726" s="207" t="s">
        <v>1265</v>
      </c>
      <c r="J726" s="45">
        <f>IF(G677=55,M685-V726,IF(G677=551,M685-X726,IF(G677=60,M685-Z726,IF(G677=601,M685-AB726,IF(G677=65,M685-AD726,IF(G677=70,M685-AF726,IF(G677=75,M685-AH726,IF(G677=50,M685-AJ726))))))))</f>
        <v>664</v>
      </c>
      <c r="K726" s="45">
        <f>IF(G677=55,M679-W726,IF(G677=551,M679-Y726,IF(G677=60,M679-AA726,IF(G677=601,M679-AC726,IF(G677=65,M679-AE726,IF(G677=70,M679-AG726,IF(G677=75,M679-AI726,IF(G677=50,M679-AK726))))))))</f>
        <v>1630</v>
      </c>
      <c r="L726" s="70">
        <v>1</v>
      </c>
      <c r="M726" s="46">
        <f>J726*K726*L726/1000000</f>
        <v>1.0823199999999999</v>
      </c>
      <c r="N726" s="46"/>
      <c r="O726" s="46">
        <f>N726*M726</f>
        <v>0</v>
      </c>
      <c r="P726" s="71"/>
      <c r="Q726" s="71"/>
      <c r="R726" s="72"/>
      <c r="S726" s="72"/>
      <c r="T726" s="462" t="s">
        <v>1626</v>
      </c>
      <c r="U726" s="374" t="s">
        <v>1623</v>
      </c>
      <c r="V726" s="259">
        <f>18*2</f>
        <v>36</v>
      </c>
      <c r="W726" s="259">
        <f>35*2</f>
        <v>70</v>
      </c>
      <c r="X726" s="286">
        <f>18*2</f>
        <v>36</v>
      </c>
      <c r="Y726" s="304">
        <f>35*2</f>
        <v>70</v>
      </c>
      <c r="Z726" s="286">
        <f>18*2</f>
        <v>36</v>
      </c>
      <c r="AA726" s="304">
        <f>35*2</f>
        <v>70</v>
      </c>
      <c r="AB726" s="286">
        <f>18*2</f>
        <v>36</v>
      </c>
      <c r="AC726" s="304">
        <f>35*2</f>
        <v>70</v>
      </c>
      <c r="AD726" s="286">
        <f>18*2</f>
        <v>36</v>
      </c>
      <c r="AE726" s="304">
        <f>35*2</f>
        <v>70</v>
      </c>
      <c r="AF726" s="286">
        <f>20*2</f>
        <v>40</v>
      </c>
      <c r="AG726" s="265">
        <f>35*2</f>
        <v>70</v>
      </c>
      <c r="AH726" s="286">
        <f>20*2</f>
        <v>40</v>
      </c>
      <c r="AI726" s="265">
        <f>35*2</f>
        <v>70</v>
      </c>
      <c r="AJ726" s="264">
        <f>16*2</f>
        <v>32</v>
      </c>
      <c r="AK726" s="265">
        <f>31.3*2</f>
        <v>62.6</v>
      </c>
    </row>
    <row r="727" spans="1:37" x14ac:dyDescent="0.15">
      <c r="A727" s="414"/>
      <c r="B727" s="446"/>
      <c r="C727" s="447"/>
      <c r="D727" s="447"/>
      <c r="E727" s="448"/>
      <c r="F727" s="434"/>
      <c r="G727" s="436"/>
      <c r="H727" s="207"/>
      <c r="I727" s="207"/>
      <c r="J727" s="207"/>
      <c r="K727" s="207"/>
      <c r="L727" s="239"/>
      <c r="M727" s="208"/>
      <c r="N727" s="208"/>
      <c r="O727" s="208"/>
      <c r="P727" s="240"/>
      <c r="Q727" s="240"/>
      <c r="R727" s="209"/>
      <c r="S727" s="209"/>
      <c r="T727" s="462"/>
      <c r="X727" s="286"/>
      <c r="Y727" s="288"/>
      <c r="Z727" s="286"/>
      <c r="AA727" s="288"/>
      <c r="AB727" s="288"/>
      <c r="AC727" s="288"/>
      <c r="AD727" s="288"/>
      <c r="AE727" s="288"/>
      <c r="AF727" s="288"/>
      <c r="AG727" s="265"/>
      <c r="AH727" s="288"/>
      <c r="AI727" s="265"/>
      <c r="AJ727" s="265"/>
      <c r="AK727" s="265"/>
    </row>
    <row r="728" spans="1:37" x14ac:dyDescent="0.15">
      <c r="A728" s="414"/>
      <c r="B728" s="446"/>
      <c r="C728" s="447"/>
      <c r="D728" s="447"/>
      <c r="E728" s="448"/>
      <c r="F728" s="434"/>
      <c r="G728" s="436"/>
      <c r="H728" s="207"/>
      <c r="I728" s="207"/>
      <c r="J728" s="207"/>
      <c r="K728" s="207"/>
      <c r="L728" s="239"/>
      <c r="M728" s="208"/>
      <c r="N728" s="208"/>
      <c r="O728" s="208"/>
      <c r="P728" s="240"/>
      <c r="Q728" s="240"/>
      <c r="R728" s="209"/>
      <c r="S728" s="209"/>
      <c r="T728" s="462"/>
      <c r="X728" s="286"/>
      <c r="Y728" s="288"/>
      <c r="Z728" s="286"/>
      <c r="AA728" s="288"/>
      <c r="AB728" s="288"/>
      <c r="AC728" s="288"/>
      <c r="AD728" s="288"/>
      <c r="AE728" s="288"/>
      <c r="AF728" s="288"/>
      <c r="AG728" s="265"/>
      <c r="AH728" s="288"/>
      <c r="AI728" s="265"/>
      <c r="AJ728" s="265"/>
      <c r="AK728" s="265"/>
    </row>
    <row r="729" spans="1:37" x14ac:dyDescent="0.15">
      <c r="A729" s="302"/>
      <c r="B729" s="542"/>
      <c r="C729" s="543"/>
      <c r="D729" s="543"/>
      <c r="E729" s="544"/>
      <c r="F729" s="545"/>
      <c r="G729" s="547"/>
      <c r="H729" s="45"/>
      <c r="I729" s="207"/>
      <c r="J729" s="46"/>
      <c r="K729" s="302"/>
      <c r="L729" s="70"/>
      <c r="M729" s="46"/>
      <c r="N729" s="46"/>
      <c r="O729" s="46"/>
      <c r="P729" s="48"/>
      <c r="Q729" s="48"/>
      <c r="R729" s="73"/>
      <c r="S729" s="73"/>
      <c r="T729" s="463"/>
      <c r="X729" s="264"/>
      <c r="Y729" s="265"/>
      <c r="Z729" s="264"/>
      <c r="AA729" s="265"/>
    </row>
    <row r="730" spans="1:37" x14ac:dyDescent="0.15">
      <c r="A730" s="74"/>
      <c r="B730" s="552"/>
      <c r="C730" s="557"/>
      <c r="D730" s="557"/>
      <c r="E730" s="553"/>
      <c r="F730" s="554" t="s">
        <v>56</v>
      </c>
      <c r="G730" s="554"/>
      <c r="H730" s="554"/>
      <c r="I730" s="579"/>
      <c r="J730" s="570"/>
      <c r="K730" s="570"/>
      <c r="L730" s="554"/>
      <c r="M730" s="62">
        <f>SUM(M724:M729)</f>
        <v>2.50216408</v>
      </c>
      <c r="N730" s="300"/>
      <c r="O730" s="62">
        <f>SUM(O724:O729)</f>
        <v>0</v>
      </c>
      <c r="P730" s="63" t="s">
        <v>57</v>
      </c>
      <c r="Q730" s="337"/>
      <c r="R730" s="64"/>
      <c r="S730" s="64"/>
      <c r="T730" s="460"/>
    </row>
    <row r="731" spans="1:37" ht="24" x14ac:dyDescent="0.15">
      <c r="A731" s="65"/>
      <c r="B731" s="560" t="s">
        <v>58</v>
      </c>
      <c r="C731" s="561"/>
      <c r="D731" s="561"/>
      <c r="E731" s="562"/>
      <c r="F731" s="565" t="s">
        <v>26</v>
      </c>
      <c r="G731" s="566"/>
      <c r="H731" s="66" t="s">
        <v>59</v>
      </c>
      <c r="I731" s="351"/>
      <c r="J731" s="66" t="s">
        <v>60</v>
      </c>
      <c r="K731" s="66" t="s">
        <v>6</v>
      </c>
      <c r="L731" s="67" t="s">
        <v>61</v>
      </c>
      <c r="M731" s="66" t="s">
        <v>30</v>
      </c>
      <c r="N731" s="68" t="s">
        <v>62</v>
      </c>
      <c r="O731" s="68" t="s">
        <v>34</v>
      </c>
      <c r="P731" s="69" t="s">
        <v>57</v>
      </c>
      <c r="Q731" s="42"/>
      <c r="R731" s="67"/>
      <c r="S731" s="67"/>
      <c r="T731" s="461"/>
    </row>
    <row r="732" spans="1:37" ht="25.5" customHeight="1" x14ac:dyDescent="0.15">
      <c r="A732" s="302">
        <v>1</v>
      </c>
      <c r="B732" s="542"/>
      <c r="C732" s="543"/>
      <c r="D732" s="543"/>
      <c r="E732" s="544"/>
      <c r="F732" s="545" t="s">
        <v>872</v>
      </c>
      <c r="G732" s="547"/>
      <c r="H732" s="45"/>
      <c r="I732" s="207"/>
      <c r="J732" s="45"/>
      <c r="K732" s="46" t="str">
        <f>VLOOKUP($F:$F,材料单价表!$B$3:$G$42,4,0)</f>
        <v>套</v>
      </c>
      <c r="L732" s="72"/>
      <c r="M732" s="46">
        <v>2</v>
      </c>
      <c r="N732" s="46">
        <f>VLOOKUP($F:$F,材料单价表!$B$3:$G$42,5,0)</f>
        <v>0</v>
      </c>
      <c r="O732" s="46">
        <f t="shared" ref="O732" si="124">N732*M732</f>
        <v>0</v>
      </c>
      <c r="P732" s="48"/>
      <c r="Q732" s="48"/>
      <c r="R732" s="73"/>
      <c r="S732" s="73"/>
      <c r="T732" s="463"/>
    </row>
    <row r="733" spans="1:37" x14ac:dyDescent="0.15">
      <c r="A733" s="74"/>
      <c r="B733" s="552"/>
      <c r="C733" s="557"/>
      <c r="D733" s="557"/>
      <c r="E733" s="553"/>
      <c r="F733" s="554" t="s">
        <v>64</v>
      </c>
      <c r="G733" s="554"/>
      <c r="H733" s="554"/>
      <c r="I733" s="579"/>
      <c r="J733" s="570"/>
      <c r="K733" s="570"/>
      <c r="L733" s="554"/>
      <c r="M733" s="62">
        <f>M732</f>
        <v>2</v>
      </c>
      <c r="N733" s="300"/>
      <c r="O733" s="62">
        <f>SUM(O732:O732)</f>
        <v>0</v>
      </c>
      <c r="P733" s="63" t="s">
        <v>57</v>
      </c>
      <c r="Q733" s="337"/>
      <c r="R733" s="64"/>
      <c r="S733" s="64"/>
      <c r="T733" s="460"/>
    </row>
    <row r="734" spans="1:37" ht="24" x14ac:dyDescent="0.15">
      <c r="A734" s="65"/>
      <c r="B734" s="560" t="s">
        <v>65</v>
      </c>
      <c r="C734" s="561"/>
      <c r="D734" s="561"/>
      <c r="E734" s="562"/>
      <c r="F734" s="565" t="s">
        <v>26</v>
      </c>
      <c r="G734" s="566"/>
      <c r="H734" s="66" t="s">
        <v>59</v>
      </c>
      <c r="I734" s="351"/>
      <c r="J734" s="66" t="s">
        <v>60</v>
      </c>
      <c r="K734" s="66" t="s">
        <v>6</v>
      </c>
      <c r="L734" s="67" t="s">
        <v>61</v>
      </c>
      <c r="M734" s="66" t="s">
        <v>30</v>
      </c>
      <c r="N734" s="68" t="s">
        <v>62</v>
      </c>
      <c r="O734" s="68" t="s">
        <v>34</v>
      </c>
      <c r="P734" s="69" t="s">
        <v>57</v>
      </c>
      <c r="Q734" s="42"/>
      <c r="R734" s="67"/>
      <c r="S734" s="67"/>
      <c r="T734" s="461"/>
    </row>
    <row r="735" spans="1:37" ht="13.5" customHeight="1" x14ac:dyDescent="0.15">
      <c r="A735" s="76">
        <v>1</v>
      </c>
      <c r="B735" s="542"/>
      <c r="C735" s="543"/>
      <c r="D735" s="543"/>
      <c r="E735" s="544"/>
      <c r="F735" s="558" t="s">
        <v>66</v>
      </c>
      <c r="G735" s="559"/>
      <c r="H735" s="78"/>
      <c r="I735" s="352"/>
      <c r="J735" s="77"/>
      <c r="K735" s="46" t="str">
        <f>VLOOKUP($F:$F,材料单价表!$B$3:$G$42,4,0)</f>
        <v>m</v>
      </c>
      <c r="L735" s="46"/>
      <c r="M735" s="80">
        <f>M690</f>
        <v>7.8</v>
      </c>
      <c r="N735" s="46">
        <f>VLOOKUP($F:$F,材料单价表!$B$3:$G$42,5,0)</f>
        <v>0</v>
      </c>
      <c r="O735" s="46">
        <f>N735*M735</f>
        <v>0</v>
      </c>
      <c r="P735" s="48"/>
      <c r="Q735" s="59"/>
      <c r="R735" s="81"/>
      <c r="S735" s="79"/>
      <c r="T735" s="464"/>
    </row>
    <row r="736" spans="1:37" ht="15.75" customHeight="1" x14ac:dyDescent="0.15">
      <c r="A736" s="76">
        <v>2</v>
      </c>
      <c r="B736" s="542"/>
      <c r="C736" s="543"/>
      <c r="D736" s="543"/>
      <c r="E736" s="544"/>
      <c r="F736" s="558" t="s">
        <v>68</v>
      </c>
      <c r="G736" s="559"/>
      <c r="H736" s="78" t="s">
        <v>67</v>
      </c>
      <c r="I736" s="352"/>
      <c r="J736" s="77"/>
      <c r="K736" s="46" t="str">
        <f>VLOOKUP($F:$F,材料单价表!$B$3:$G$42,4,0)</f>
        <v>m</v>
      </c>
      <c r="L736" s="46"/>
      <c r="M736" s="80">
        <f>(J703*K703+J708*K708+J704*K704+J705*K705+J706*K706+J707*K707)/1000*2</f>
        <v>29.899199999999997</v>
      </c>
      <c r="N736" s="46">
        <f>VLOOKUP($F:$F,材料单价表!$B$3:$G$42,5,0)</f>
        <v>0</v>
      </c>
      <c r="O736" s="46">
        <f t="shared" ref="O736:O741" si="125">N736*M736</f>
        <v>0</v>
      </c>
      <c r="P736" s="48"/>
      <c r="Q736" s="59"/>
      <c r="R736" s="81"/>
      <c r="S736" s="79"/>
      <c r="T736" s="464"/>
      <c r="V736" s="104"/>
      <c r="W736" s="104"/>
    </row>
    <row r="737" spans="1:23" ht="13.5" customHeight="1" x14ac:dyDescent="0.15">
      <c r="A737" s="76">
        <v>3</v>
      </c>
      <c r="B737" s="542"/>
      <c r="C737" s="543"/>
      <c r="D737" s="543"/>
      <c r="E737" s="544"/>
      <c r="F737" s="558" t="s">
        <v>68</v>
      </c>
      <c r="G737" s="559"/>
      <c r="H737" s="78" t="s">
        <v>69</v>
      </c>
      <c r="I737" s="352"/>
      <c r="J737" s="77"/>
      <c r="K737" s="46" t="str">
        <f>VLOOKUP($F:$F,材料单价表!$B$3:$G$42,4,0)</f>
        <v>m</v>
      </c>
      <c r="L737" s="46"/>
      <c r="M737" s="80">
        <f>M690</f>
        <v>7.8</v>
      </c>
      <c r="N737" s="46">
        <f>VLOOKUP($F:$F,材料单价表!$B$3:$G$42,5,0)</f>
        <v>0</v>
      </c>
      <c r="O737" s="46">
        <f t="shared" si="125"/>
        <v>0</v>
      </c>
      <c r="P737" s="48"/>
      <c r="Q737" s="59"/>
      <c r="R737" s="81"/>
      <c r="S737" s="79"/>
      <c r="T737" s="464"/>
      <c r="V737" s="104"/>
      <c r="W737" s="104"/>
    </row>
    <row r="738" spans="1:23" ht="13.5" customHeight="1" x14ac:dyDescent="0.15">
      <c r="A738" s="76">
        <v>4</v>
      </c>
      <c r="B738" s="542"/>
      <c r="C738" s="543"/>
      <c r="D738" s="543"/>
      <c r="E738" s="544"/>
      <c r="F738" s="558" t="s">
        <v>68</v>
      </c>
      <c r="G738" s="559"/>
      <c r="H738" s="78" t="s">
        <v>70</v>
      </c>
      <c r="I738" s="352"/>
      <c r="J738" s="77"/>
      <c r="K738" s="46" t="str">
        <f>VLOOKUP($F:$F,材料单价表!$B$3:$G$42,4,0)</f>
        <v>m</v>
      </c>
      <c r="L738" s="46"/>
      <c r="M738" s="80">
        <f>M690</f>
        <v>7.8</v>
      </c>
      <c r="N738" s="46">
        <f>VLOOKUP($F:$F,材料单价表!$B$3:$G$42,5,0)</f>
        <v>0</v>
      </c>
      <c r="O738" s="46">
        <f t="shared" si="125"/>
        <v>0</v>
      </c>
      <c r="P738" s="48"/>
      <c r="Q738" s="59"/>
      <c r="R738" s="81"/>
      <c r="S738" s="79"/>
      <c r="T738" s="464"/>
      <c r="V738" s="104"/>
      <c r="W738" s="104"/>
    </row>
    <row r="739" spans="1:23" ht="13.5" customHeight="1" x14ac:dyDescent="0.15">
      <c r="A739" s="76">
        <v>5</v>
      </c>
      <c r="B739" s="542"/>
      <c r="C739" s="543"/>
      <c r="D739" s="543"/>
      <c r="E739" s="544"/>
      <c r="F739" s="558" t="s">
        <v>71</v>
      </c>
      <c r="G739" s="559"/>
      <c r="H739" s="78"/>
      <c r="I739" s="352"/>
      <c r="J739" s="77"/>
      <c r="K739" s="46" t="str">
        <f>VLOOKUP($F:$F,材料单价表!$B$3:$G$42,4,0)</f>
        <v>个</v>
      </c>
      <c r="L739" s="79"/>
      <c r="M739" s="80">
        <f>SUM(K709:K711)</f>
        <v>20</v>
      </c>
      <c r="N739" s="46">
        <f>VLOOKUP($F:$F,材料单价表!$B$3:$G$42,5,0)</f>
        <v>0</v>
      </c>
      <c r="O739" s="46">
        <f t="shared" si="125"/>
        <v>0</v>
      </c>
      <c r="P739" s="48"/>
      <c r="Q739" s="59"/>
      <c r="R739" s="81"/>
      <c r="S739" s="79"/>
      <c r="T739" s="464"/>
    </row>
    <row r="740" spans="1:23" ht="13.5" customHeight="1" x14ac:dyDescent="0.15">
      <c r="A740" s="76">
        <v>6</v>
      </c>
      <c r="B740" s="542"/>
      <c r="C740" s="543"/>
      <c r="D740" s="543"/>
      <c r="E740" s="544"/>
      <c r="F740" s="558" t="s">
        <v>833</v>
      </c>
      <c r="G740" s="559"/>
      <c r="H740" s="78"/>
      <c r="I740" s="352"/>
      <c r="J740" s="77"/>
      <c r="K740" s="46" t="str">
        <f>VLOOKUP($F:$F,材料单价表!$B$3:$G$42,4,0)</f>
        <v>m</v>
      </c>
      <c r="L740" s="79"/>
      <c r="M740" s="80">
        <f>(J696*K696+J697*K697)/1000*2</f>
        <v>13.475200000000001</v>
      </c>
      <c r="N740" s="46">
        <f>VLOOKUP($F:$F,材料单价表!$B$3:$G$42,5,0)</f>
        <v>0</v>
      </c>
      <c r="O740" s="46">
        <f t="shared" si="125"/>
        <v>0</v>
      </c>
      <c r="P740" s="48"/>
      <c r="Q740" s="59"/>
      <c r="R740" s="81"/>
      <c r="S740" s="46"/>
      <c r="T740" s="465"/>
    </row>
    <row r="741" spans="1:23" x14ac:dyDescent="0.15">
      <c r="A741" s="76">
        <v>7</v>
      </c>
      <c r="B741" s="542"/>
      <c r="C741" s="543"/>
      <c r="D741" s="543"/>
      <c r="E741" s="544"/>
      <c r="F741" s="558" t="s">
        <v>72</v>
      </c>
      <c r="G741" s="559"/>
      <c r="H741" s="45"/>
      <c r="I741" s="207"/>
      <c r="J741" s="45"/>
      <c r="K741" s="46" t="str">
        <f>VLOOKUP($F:$F,材料单价表!$B$3:$G$42,4,0)</f>
        <v>m2</v>
      </c>
      <c r="L741" s="72"/>
      <c r="M741" s="46">
        <f>M747</f>
        <v>3.78</v>
      </c>
      <c r="N741" s="46">
        <f>VLOOKUP($F:$F,材料单价表!$B$3:$G$42,5,0)</f>
        <v>0</v>
      </c>
      <c r="O741" s="46">
        <f t="shared" si="125"/>
        <v>0</v>
      </c>
      <c r="P741" s="48"/>
      <c r="Q741" s="48"/>
      <c r="R741" s="73"/>
      <c r="S741" s="73"/>
      <c r="T741" s="463"/>
    </row>
    <row r="742" spans="1:23" x14ac:dyDescent="0.15">
      <c r="A742" s="76">
        <v>8</v>
      </c>
      <c r="B742" s="542"/>
      <c r="C742" s="543"/>
      <c r="D742" s="543"/>
      <c r="E742" s="544"/>
      <c r="F742" s="297"/>
      <c r="G742" s="298"/>
      <c r="H742" s="207"/>
      <c r="I742" s="207"/>
      <c r="J742" s="207"/>
      <c r="K742" s="208"/>
      <c r="L742" s="209"/>
      <c r="M742" s="208"/>
      <c r="N742" s="208"/>
      <c r="O742" s="208"/>
      <c r="P742" s="211"/>
      <c r="Q742" s="48"/>
      <c r="R742" s="212"/>
      <c r="S742" s="212"/>
      <c r="T742" s="463"/>
    </row>
    <row r="743" spans="1:23" x14ac:dyDescent="0.15">
      <c r="A743" s="76">
        <v>9</v>
      </c>
      <c r="B743" s="542"/>
      <c r="C743" s="543"/>
      <c r="D743" s="543"/>
      <c r="E743" s="544"/>
      <c r="F743" s="558"/>
      <c r="G743" s="559"/>
      <c r="H743" s="45"/>
      <c r="I743" s="207"/>
      <c r="J743" s="45"/>
      <c r="K743" s="45"/>
      <c r="L743" s="72"/>
      <c r="M743" s="46"/>
      <c r="N743" s="46"/>
      <c r="O743" s="82"/>
      <c r="P743" s="48"/>
      <c r="Q743" s="48"/>
      <c r="R743" s="73"/>
      <c r="S743" s="73"/>
      <c r="T743" s="463"/>
    </row>
    <row r="744" spans="1:23" x14ac:dyDescent="0.15">
      <c r="A744" s="74"/>
      <c r="B744" s="552"/>
      <c r="C744" s="557"/>
      <c r="D744" s="557"/>
      <c r="E744" s="553"/>
      <c r="F744" s="552" t="s">
        <v>73</v>
      </c>
      <c r="G744" s="557"/>
      <c r="H744" s="557"/>
      <c r="I744" s="557"/>
      <c r="J744" s="557"/>
      <c r="K744" s="557"/>
      <c r="L744" s="557"/>
      <c r="M744" s="61"/>
      <c r="N744" s="61"/>
      <c r="O744" s="62">
        <f>SUM(O735:O743)</f>
        <v>0</v>
      </c>
      <c r="P744" s="63" t="s">
        <v>57</v>
      </c>
      <c r="Q744" s="337"/>
      <c r="R744" s="64"/>
      <c r="S744" s="64"/>
      <c r="T744" s="460"/>
    </row>
    <row r="745" spans="1:23" x14ac:dyDescent="0.15">
      <c r="A745" s="74"/>
      <c r="B745" s="552"/>
      <c r="C745" s="557"/>
      <c r="D745" s="557"/>
      <c r="E745" s="553"/>
      <c r="F745" s="552" t="s">
        <v>74</v>
      </c>
      <c r="G745" s="557"/>
      <c r="H745" s="557"/>
      <c r="I745" s="557"/>
      <c r="J745" s="557"/>
      <c r="K745" s="557"/>
      <c r="L745" s="557"/>
      <c r="M745" s="557"/>
      <c r="N745" s="553"/>
      <c r="O745" s="62">
        <f>O744+O733+O730+O722</f>
        <v>0</v>
      </c>
      <c r="P745" s="63" t="s">
        <v>57</v>
      </c>
      <c r="Q745" s="337"/>
      <c r="R745" s="64"/>
      <c r="S745" s="64"/>
      <c r="T745" s="460"/>
    </row>
    <row r="746" spans="1:23" ht="24" x14ac:dyDescent="0.15">
      <c r="A746" s="65"/>
      <c r="B746" s="560" t="s">
        <v>75</v>
      </c>
      <c r="C746" s="561"/>
      <c r="D746" s="561"/>
      <c r="E746" s="562"/>
      <c r="F746" s="565" t="s">
        <v>26</v>
      </c>
      <c r="G746" s="566"/>
      <c r="H746" s="66"/>
      <c r="I746" s="351"/>
      <c r="J746" s="66"/>
      <c r="K746" s="66" t="s">
        <v>6</v>
      </c>
      <c r="L746" s="83" t="s">
        <v>61</v>
      </c>
      <c r="M746" s="66" t="s">
        <v>76</v>
      </c>
      <c r="N746" s="68" t="s">
        <v>62</v>
      </c>
      <c r="O746" s="68" t="s">
        <v>34</v>
      </c>
      <c r="P746" s="84" t="s">
        <v>57</v>
      </c>
      <c r="Q746" s="84"/>
      <c r="R746" s="67"/>
      <c r="S746" s="67"/>
      <c r="T746" s="461"/>
    </row>
    <row r="747" spans="1:23" x14ac:dyDescent="0.15">
      <c r="A747" s="302">
        <v>1</v>
      </c>
      <c r="B747" s="542"/>
      <c r="C747" s="543"/>
      <c r="D747" s="543"/>
      <c r="E747" s="544"/>
      <c r="F747" s="545" t="s">
        <v>77</v>
      </c>
      <c r="G747" s="547"/>
      <c r="H747" s="45"/>
      <c r="I747" s="207"/>
      <c r="J747" s="46"/>
      <c r="K747" s="45" t="s">
        <v>78</v>
      </c>
      <c r="L747" s="72"/>
      <c r="M747" s="85">
        <f>O677</f>
        <v>3.78</v>
      </c>
      <c r="N747" s="46">
        <f>VLOOKUP($F:$F,材料单价表!$B$3:$G$42,5,0)</f>
        <v>0</v>
      </c>
      <c r="O747" s="46">
        <f>N747*M747</f>
        <v>0</v>
      </c>
      <c r="P747" s="48"/>
      <c r="Q747" s="48"/>
      <c r="R747" s="72"/>
      <c r="S747" s="72"/>
      <c r="T747" s="462"/>
    </row>
    <row r="748" spans="1:23" x14ac:dyDescent="0.15">
      <c r="A748" s="302">
        <v>2</v>
      </c>
      <c r="B748" s="542"/>
      <c r="C748" s="543"/>
      <c r="D748" s="543"/>
      <c r="E748" s="544"/>
      <c r="F748" s="545" t="s">
        <v>79</v>
      </c>
      <c r="G748" s="547"/>
      <c r="H748" s="45"/>
      <c r="I748" s="207"/>
      <c r="J748" s="46"/>
      <c r="K748" s="45" t="s">
        <v>78</v>
      </c>
      <c r="L748" s="72"/>
      <c r="M748" s="85">
        <f>M747</f>
        <v>3.78</v>
      </c>
      <c r="N748" s="46">
        <f>VLOOKUP($F:$F,材料单价表!$B$3:$G$42,5,0)</f>
        <v>0</v>
      </c>
      <c r="O748" s="46">
        <f>N748*M748</f>
        <v>0</v>
      </c>
      <c r="P748" s="48"/>
      <c r="Q748" s="48"/>
      <c r="R748" s="72"/>
      <c r="S748" s="72"/>
      <c r="T748" s="462"/>
    </row>
    <row r="749" spans="1:23" ht="24.75" customHeight="1" x14ac:dyDescent="0.15">
      <c r="A749" s="74"/>
      <c r="B749" s="552"/>
      <c r="C749" s="557"/>
      <c r="D749" s="557"/>
      <c r="E749" s="553"/>
      <c r="F749" s="552" t="s">
        <v>80</v>
      </c>
      <c r="G749" s="553"/>
      <c r="H749" s="299"/>
      <c r="I749" s="348"/>
      <c r="J749" s="554" t="s">
        <v>81</v>
      </c>
      <c r="K749" s="554"/>
      <c r="L749" s="554"/>
      <c r="M749" s="554"/>
      <c r="N749" s="87"/>
      <c r="O749" s="62">
        <f>O745+O747+O748</f>
        <v>0</v>
      </c>
      <c r="P749" s="63" t="s">
        <v>57</v>
      </c>
      <c r="Q749" s="337"/>
      <c r="R749" s="64"/>
      <c r="S749" s="64"/>
      <c r="T749" s="460"/>
    </row>
    <row r="750" spans="1:23" ht="24" customHeight="1" x14ac:dyDescent="0.15">
      <c r="A750" s="74"/>
      <c r="B750" s="552"/>
      <c r="C750" s="557"/>
      <c r="D750" s="557"/>
      <c r="E750" s="553"/>
      <c r="F750" s="555" t="s">
        <v>82</v>
      </c>
      <c r="G750" s="556"/>
      <c r="H750" s="301"/>
      <c r="I750" s="349"/>
      <c r="J750" s="552" t="s">
        <v>81</v>
      </c>
      <c r="K750" s="557"/>
      <c r="L750" s="557"/>
      <c r="M750" s="557"/>
      <c r="N750" s="62"/>
      <c r="O750" s="62">
        <f>O749/O677</f>
        <v>0</v>
      </c>
      <c r="P750" s="89" t="s">
        <v>57</v>
      </c>
      <c r="Q750" s="89"/>
      <c r="R750" s="90"/>
      <c r="S750" s="90"/>
      <c r="T750" s="466"/>
    </row>
    <row r="751" spans="1:23" ht="18.75" customHeight="1" x14ac:dyDescent="0.15">
      <c r="A751" s="549" t="s">
        <v>0</v>
      </c>
      <c r="B751" s="549"/>
      <c r="C751" s="549"/>
      <c r="D751" s="549"/>
      <c r="E751" s="549"/>
      <c r="F751" s="549"/>
      <c r="G751" s="549"/>
      <c r="H751" s="549"/>
      <c r="I751" s="549"/>
      <c r="J751" s="549"/>
      <c r="K751" s="549"/>
      <c r="L751" s="550"/>
      <c r="M751" s="549"/>
      <c r="N751" s="549"/>
      <c r="O751" s="549"/>
      <c r="P751" s="549"/>
      <c r="Q751" s="549"/>
      <c r="R751" s="551"/>
      <c r="S751" s="551"/>
      <c r="T751" s="415"/>
    </row>
    <row r="752" spans="1:23" ht="15" customHeight="1" x14ac:dyDescent="0.15">
      <c r="A752" s="2" t="s">
        <v>1</v>
      </c>
      <c r="B752" s="3" t="str">
        <f>$B$152</f>
        <v>WC</v>
      </c>
      <c r="C752" s="3">
        <v>11</v>
      </c>
      <c r="D752" s="3"/>
      <c r="E752" s="3"/>
      <c r="F752" s="4" t="s">
        <v>2</v>
      </c>
      <c r="G752" s="5">
        <v>55</v>
      </c>
      <c r="H752" s="106" t="s">
        <v>86</v>
      </c>
      <c r="I752" s="106"/>
      <c r="J752" s="4" t="s">
        <v>3</v>
      </c>
      <c r="K752" s="6">
        <f>L755</f>
        <v>1300</v>
      </c>
      <c r="L752" s="7" t="s">
        <v>83</v>
      </c>
      <c r="M752" s="6">
        <f>L754</f>
        <v>1800</v>
      </c>
      <c r="N752" s="8" t="s">
        <v>4</v>
      </c>
      <c r="O752" s="9">
        <f>M764</f>
        <v>1.9952000000000001</v>
      </c>
      <c r="P752" s="10"/>
      <c r="Q752" s="10"/>
      <c r="R752" s="10" t="s">
        <v>5</v>
      </c>
      <c r="S752" s="11"/>
      <c r="T752" s="457"/>
    </row>
    <row r="753" spans="1:37" ht="15" customHeight="1" x14ac:dyDescent="0.2">
      <c r="A753" s="12"/>
      <c r="B753" s="13"/>
      <c r="C753" s="13"/>
      <c r="D753" s="13"/>
      <c r="E753" s="13"/>
      <c r="F753" s="14"/>
      <c r="G753" s="14"/>
      <c r="H753" s="15"/>
      <c r="I753" s="15"/>
      <c r="J753" s="16"/>
      <c r="K753" s="16" t="s">
        <v>6</v>
      </c>
      <c r="L753" s="17" t="s">
        <v>7</v>
      </c>
      <c r="M753" s="16" t="s">
        <v>8</v>
      </c>
      <c r="N753" s="18"/>
      <c r="O753" s="548" t="s">
        <v>940</v>
      </c>
      <c r="P753" s="548"/>
      <c r="Q753" s="16" t="s">
        <v>1018</v>
      </c>
      <c r="R753" s="529" t="s">
        <v>1187</v>
      </c>
      <c r="S753" s="530" t="s">
        <v>1592</v>
      </c>
      <c r="T753" s="468"/>
    </row>
    <row r="754" spans="1:37" ht="15" customHeight="1" x14ac:dyDescent="0.2">
      <c r="A754" s="398" t="s">
        <v>918</v>
      </c>
      <c r="B754" s="406" t="s">
        <v>973</v>
      </c>
      <c r="C754" s="362"/>
      <c r="D754" s="362"/>
      <c r="E754" s="362"/>
      <c r="F754" s="23"/>
      <c r="G754" s="23"/>
      <c r="H754" s="107"/>
      <c r="I754" s="107"/>
      <c r="J754" s="24" t="s">
        <v>9</v>
      </c>
      <c r="K754" s="16" t="s">
        <v>10</v>
      </c>
      <c r="L754" s="25">
        <v>1800</v>
      </c>
      <c r="M754" s="113">
        <f>L754-M763*2</f>
        <v>1700</v>
      </c>
      <c r="N754" s="18"/>
      <c r="O754" s="356" t="s">
        <v>941</v>
      </c>
      <c r="P754" s="357"/>
      <c r="Q754" s="16" t="s">
        <v>1019</v>
      </c>
      <c r="R754" s="529"/>
      <c r="S754" s="530"/>
      <c r="T754" s="468"/>
    </row>
    <row r="755" spans="1:37" ht="15" customHeight="1" x14ac:dyDescent="0.2">
      <c r="A755" s="21"/>
      <c r="B755" s="22"/>
      <c r="C755" s="22"/>
      <c r="D755" s="22"/>
      <c r="E755" s="22"/>
      <c r="F755" s="23"/>
      <c r="G755" s="23"/>
      <c r="H755" s="18"/>
      <c r="I755" s="18"/>
      <c r="J755" s="24" t="s">
        <v>11</v>
      </c>
      <c r="K755" s="16" t="s">
        <v>10</v>
      </c>
      <c r="L755" s="25">
        <v>1300</v>
      </c>
      <c r="M755" s="113">
        <f>L755-M763*2</f>
        <v>1200</v>
      </c>
      <c r="N755" s="18"/>
      <c r="O755" s="356" t="s">
        <v>924</v>
      </c>
      <c r="P755" s="357"/>
      <c r="Q755" s="16" t="s">
        <v>1020</v>
      </c>
      <c r="R755" s="529" t="s">
        <v>1188</v>
      </c>
      <c r="S755" s="530" t="s">
        <v>1086</v>
      </c>
      <c r="T755" s="468"/>
    </row>
    <row r="756" spans="1:37" ht="15" customHeight="1" x14ac:dyDescent="0.2">
      <c r="A756" s="21"/>
      <c r="B756" s="22"/>
      <c r="C756" s="22"/>
      <c r="D756" s="22"/>
      <c r="E756" s="22"/>
      <c r="F756" s="23"/>
      <c r="G756" s="23"/>
      <c r="H756" s="18"/>
      <c r="I756" s="18"/>
      <c r="J756" s="24" t="s">
        <v>12</v>
      </c>
      <c r="K756" s="16" t="s">
        <v>10</v>
      </c>
      <c r="L756" s="26"/>
      <c r="M756" s="113">
        <f>M754-M757-M758</f>
        <v>600</v>
      </c>
      <c r="N756" s="18"/>
      <c r="O756" s="356" t="s">
        <v>925</v>
      </c>
      <c r="P756" s="357"/>
      <c r="Q756" s="16" t="s">
        <v>1021</v>
      </c>
      <c r="R756" s="529"/>
      <c r="S756" s="530"/>
      <c r="T756" s="468"/>
    </row>
    <row r="757" spans="1:37" ht="15" customHeight="1" x14ac:dyDescent="0.2">
      <c r="A757" s="21"/>
      <c r="B757" s="22"/>
      <c r="C757" s="22"/>
      <c r="D757" s="22"/>
      <c r="E757" s="22"/>
      <c r="F757" s="23"/>
      <c r="G757" s="23"/>
      <c r="H757" s="18"/>
      <c r="I757" s="18"/>
      <c r="J757" s="24" t="s">
        <v>13</v>
      </c>
      <c r="K757" s="16" t="s">
        <v>10</v>
      </c>
      <c r="L757" s="26"/>
      <c r="M757" s="25">
        <v>500</v>
      </c>
      <c r="N757" s="540" t="s">
        <v>869</v>
      </c>
      <c r="O757" s="356" t="s">
        <v>926</v>
      </c>
      <c r="P757" s="357"/>
      <c r="Q757" s="16" t="s">
        <v>1022</v>
      </c>
      <c r="R757" s="27"/>
      <c r="S757" s="28"/>
      <c r="T757" s="27"/>
    </row>
    <row r="758" spans="1:37" ht="15" customHeight="1" x14ac:dyDescent="0.2">
      <c r="A758" s="21"/>
      <c r="B758" s="22"/>
      <c r="C758" s="22"/>
      <c r="D758" s="22"/>
      <c r="E758" s="22"/>
      <c r="F758" s="23"/>
      <c r="G758" s="23"/>
      <c r="H758" s="18"/>
      <c r="I758" s="18"/>
      <c r="J758" s="24" t="s">
        <v>14</v>
      </c>
      <c r="K758" s="16" t="s">
        <v>10</v>
      </c>
      <c r="L758" s="26"/>
      <c r="M758" s="113">
        <f>M759</f>
        <v>600</v>
      </c>
      <c r="N758" s="540"/>
      <c r="O758" s="356" t="s">
        <v>927</v>
      </c>
      <c r="P758" s="357"/>
      <c r="Q758" s="16" t="s">
        <v>1023</v>
      </c>
      <c r="R758" s="27"/>
      <c r="S758" s="28"/>
      <c r="T758" s="27"/>
    </row>
    <row r="759" spans="1:37" ht="15" customHeight="1" x14ac:dyDescent="0.2">
      <c r="A759" s="21"/>
      <c r="B759" s="22"/>
      <c r="C759" s="22"/>
      <c r="D759" s="22"/>
      <c r="E759" s="22"/>
      <c r="F759" s="23"/>
      <c r="G759" s="23"/>
      <c r="H759" s="18"/>
      <c r="I759" s="18"/>
      <c r="J759" s="24" t="s">
        <v>15</v>
      </c>
      <c r="K759" s="16" t="s">
        <v>10</v>
      </c>
      <c r="L759" s="26"/>
      <c r="M759" s="113">
        <f>M755/2</f>
        <v>600</v>
      </c>
      <c r="N759" s="540"/>
      <c r="O759" s="356" t="s">
        <v>928</v>
      </c>
      <c r="P759" s="357"/>
      <c r="Q759" s="16" t="s">
        <v>1005</v>
      </c>
      <c r="R759" s="27"/>
      <c r="S759" s="28"/>
      <c r="T759" s="27"/>
    </row>
    <row r="760" spans="1:37" ht="15" customHeight="1" x14ac:dyDescent="0.2">
      <c r="A760" s="21"/>
      <c r="B760" s="22"/>
      <c r="C760" s="22"/>
      <c r="D760" s="22"/>
      <c r="E760" s="22"/>
      <c r="F760" s="23"/>
      <c r="G760" s="23"/>
      <c r="H760" s="18"/>
      <c r="I760" s="18"/>
      <c r="J760" s="24" t="s">
        <v>16</v>
      </c>
      <c r="K760" s="16" t="s">
        <v>10</v>
      </c>
      <c r="L760" s="26"/>
      <c r="M760" s="113"/>
      <c r="N760" s="540"/>
      <c r="O760" s="356" t="s">
        <v>929</v>
      </c>
      <c r="P760" s="357"/>
      <c r="Q760" s="16" t="s">
        <v>1024</v>
      </c>
      <c r="R760" s="27"/>
      <c r="S760" s="28"/>
      <c r="T760" s="27"/>
    </row>
    <row r="761" spans="1:37" ht="15" customHeight="1" x14ac:dyDescent="0.2">
      <c r="A761" s="21"/>
      <c r="B761" s="22"/>
      <c r="C761" s="22"/>
      <c r="D761" s="22"/>
      <c r="E761" s="22"/>
      <c r="F761" s="23"/>
      <c r="G761" s="23"/>
      <c r="H761" s="18"/>
      <c r="I761" s="18"/>
      <c r="J761" s="24" t="s">
        <v>17</v>
      </c>
      <c r="K761" s="16" t="s">
        <v>10</v>
      </c>
      <c r="L761" s="26"/>
      <c r="M761" s="113"/>
      <c r="N761" s="540"/>
      <c r="O761" s="356" t="s">
        <v>930</v>
      </c>
      <c r="P761" s="357"/>
      <c r="Q761" s="16" t="s">
        <v>931</v>
      </c>
      <c r="R761" s="27"/>
      <c r="S761" s="28"/>
      <c r="T761" s="27"/>
    </row>
    <row r="762" spans="1:37" ht="15" customHeight="1" x14ac:dyDescent="0.2">
      <c r="A762" s="21"/>
      <c r="B762" s="22"/>
      <c r="C762" s="22"/>
      <c r="D762" s="22"/>
      <c r="E762" s="22"/>
      <c r="F762" s="23"/>
      <c r="G762" s="23"/>
      <c r="H762" s="18"/>
      <c r="I762" s="18"/>
      <c r="J762" s="24" t="s">
        <v>18</v>
      </c>
      <c r="K762" s="16" t="s">
        <v>10</v>
      </c>
      <c r="L762" s="26"/>
      <c r="M762" s="113"/>
      <c r="N762" s="540"/>
      <c r="O762" s="356" t="s">
        <v>932</v>
      </c>
      <c r="P762" s="357"/>
      <c r="Q762" s="16" t="s">
        <v>933</v>
      </c>
      <c r="R762" s="27"/>
      <c r="S762" s="28"/>
      <c r="T762" s="27"/>
    </row>
    <row r="763" spans="1:37" ht="15" customHeight="1" x14ac:dyDescent="0.2">
      <c r="A763" s="21"/>
      <c r="B763" s="22"/>
      <c r="C763" s="22"/>
      <c r="D763" s="22"/>
      <c r="E763" s="22"/>
      <c r="F763" s="23"/>
      <c r="G763" s="23"/>
      <c r="H763" s="18"/>
      <c r="I763" s="18"/>
      <c r="J763" s="24" t="s">
        <v>19</v>
      </c>
      <c r="K763" s="16" t="s">
        <v>10</v>
      </c>
      <c r="L763" s="26"/>
      <c r="M763" s="25">
        <v>50</v>
      </c>
      <c r="N763" s="18"/>
      <c r="O763" s="356" t="s">
        <v>934</v>
      </c>
      <c r="P763" s="357"/>
      <c r="Q763" s="16" t="s">
        <v>935</v>
      </c>
      <c r="R763" s="27"/>
      <c r="S763" s="28"/>
      <c r="T763" s="27"/>
    </row>
    <row r="764" spans="1:37" ht="15" customHeight="1" x14ac:dyDescent="0.2">
      <c r="A764" s="21"/>
      <c r="B764" s="22"/>
      <c r="C764" s="22"/>
      <c r="D764" s="22"/>
      <c r="E764" s="22"/>
      <c r="F764" s="23"/>
      <c r="G764" s="23"/>
      <c r="H764" s="18"/>
      <c r="I764" s="18"/>
      <c r="J764" s="29" t="s">
        <v>870</v>
      </c>
      <c r="K764" s="16" t="s">
        <v>21</v>
      </c>
      <c r="L764" s="30"/>
      <c r="M764" s="31">
        <f>(L755*(M756+M757)+3.14*M758*M758/2)/1000000</f>
        <v>1.9952000000000001</v>
      </c>
      <c r="N764" s="18"/>
      <c r="O764" s="356" t="s">
        <v>936</v>
      </c>
      <c r="P764" s="357"/>
      <c r="Q764" s="16" t="s">
        <v>937</v>
      </c>
      <c r="R764" s="27"/>
      <c r="S764" s="28"/>
      <c r="T764" s="27"/>
    </row>
    <row r="765" spans="1:37" ht="15" customHeight="1" x14ac:dyDescent="0.2">
      <c r="A765" s="32"/>
      <c r="B765" s="33"/>
      <c r="C765" s="33"/>
      <c r="D765" s="33"/>
      <c r="E765" s="33"/>
      <c r="F765" s="34"/>
      <c r="G765" s="34"/>
      <c r="H765" s="35"/>
      <c r="I765" s="35"/>
      <c r="J765" s="29" t="s">
        <v>871</v>
      </c>
      <c r="K765" s="16" t="s">
        <v>23</v>
      </c>
      <c r="L765" s="30"/>
      <c r="M765" s="36">
        <f>(L755+M756*2+M757*2+3.14*M759)/1000</f>
        <v>5.3840000000000003</v>
      </c>
      <c r="N765" s="35"/>
      <c r="O765" s="356" t="s">
        <v>938</v>
      </c>
      <c r="P765" s="357"/>
      <c r="Q765" s="16" t="s">
        <v>939</v>
      </c>
      <c r="R765" s="37"/>
      <c r="S765" s="38"/>
      <c r="T765" s="27"/>
    </row>
    <row r="766" spans="1:37" ht="48.75" customHeight="1" x14ac:dyDescent="0.15">
      <c r="A766" s="39" t="s">
        <v>24</v>
      </c>
      <c r="B766" s="560" t="s">
        <v>25</v>
      </c>
      <c r="C766" s="561"/>
      <c r="D766" s="561"/>
      <c r="E766" s="562"/>
      <c r="F766" s="40" t="s">
        <v>26</v>
      </c>
      <c r="G766" s="40" t="s">
        <v>27</v>
      </c>
      <c r="H766" s="40" t="s">
        <v>28</v>
      </c>
      <c r="I766" s="40" t="s">
        <v>1166</v>
      </c>
      <c r="J766" s="40" t="s">
        <v>29</v>
      </c>
      <c r="K766" s="40" t="s">
        <v>30</v>
      </c>
      <c r="L766" s="41" t="s">
        <v>31</v>
      </c>
      <c r="M766" s="40" t="s">
        <v>32</v>
      </c>
      <c r="N766" s="40" t="s">
        <v>33</v>
      </c>
      <c r="O766" s="40" t="s">
        <v>34</v>
      </c>
      <c r="P766" s="42" t="s">
        <v>35</v>
      </c>
      <c r="Q766" s="359" t="s">
        <v>974</v>
      </c>
      <c r="R766" s="43" t="s">
        <v>36</v>
      </c>
      <c r="S766" s="43" t="s">
        <v>37</v>
      </c>
      <c r="T766" s="458"/>
      <c r="V766" s="261" t="s">
        <v>128</v>
      </c>
      <c r="W766" s="261"/>
      <c r="X766" s="262" t="s">
        <v>359</v>
      </c>
      <c r="Y766" s="263"/>
      <c r="Z766" s="262" t="s">
        <v>355</v>
      </c>
      <c r="AA766" s="263"/>
      <c r="AB766" s="262" t="s">
        <v>360</v>
      </c>
      <c r="AC766" s="263"/>
      <c r="AD766" s="262" t="s">
        <v>127</v>
      </c>
      <c r="AE766" s="263"/>
      <c r="AF766" s="262" t="s">
        <v>357</v>
      </c>
      <c r="AG766" s="263"/>
      <c r="AH766" s="262" t="s">
        <v>358</v>
      </c>
      <c r="AI766" s="263"/>
      <c r="AJ766" s="262" t="s">
        <v>840</v>
      </c>
      <c r="AK766" s="263"/>
    </row>
    <row r="767" spans="1:37" ht="13.5" customHeight="1" x14ac:dyDescent="0.15">
      <c r="A767" s="302">
        <v>1</v>
      </c>
      <c r="B767" s="531" t="s">
        <v>38</v>
      </c>
      <c r="C767" s="532"/>
      <c r="D767" s="532"/>
      <c r="E767" s="533"/>
      <c r="F767" s="47" t="str">
        <f>VLOOKUP($H:$H,型材表!$B$5:$I$448,2,0)</f>
        <v>边框</v>
      </c>
      <c r="G767" s="45" t="s">
        <v>39</v>
      </c>
      <c r="H767" s="45" t="str">
        <f>IF(G752=55,"SW55K001",IF(G752=551,"SW55BK001",IF(G752=60,"SW60K001",IF(G752=601,"SW60AK001",IF(G752=65,"SW65AK001",IF(G752=70,"SW70K001",IF(G752=75,"SW75K001",IF(G752=50,"SW50K002"))))))))</f>
        <v>SW55K001</v>
      </c>
      <c r="I767" s="207" t="s">
        <v>1274</v>
      </c>
      <c r="J767" s="46">
        <f>M756+M757-8</f>
        <v>1092</v>
      </c>
      <c r="K767" s="45">
        <v>2</v>
      </c>
      <c r="L767" s="47">
        <f>VLOOKUP($H:$H,型材表!$B$5:$I$448,4,0)</f>
        <v>0.96699999999999997</v>
      </c>
      <c r="M767" s="46">
        <f>J767*K767*L767/1000</f>
        <v>2.1119279999999998</v>
      </c>
      <c r="N767" s="72">
        <f>VLOOKUP($H:$H,型材表!$B$5:$I$448,7,0)</f>
        <v>0</v>
      </c>
      <c r="O767" s="46">
        <f>N767*M767</f>
        <v>0</v>
      </c>
      <c r="P767" s="100">
        <f>VLOOKUP($H:$H,型材表!$B$5:$I$448,5,0)</f>
        <v>0.125</v>
      </c>
      <c r="Q767" s="100" t="str">
        <f>VLOOKUP($H:$H,型材表!$B$5:$I$448,6,0)</f>
        <v>断桥隔热铝型材</v>
      </c>
      <c r="R767" s="49"/>
      <c r="S767" s="50"/>
      <c r="T767" s="459"/>
      <c r="X767" s="264"/>
      <c r="Y767" s="265"/>
      <c r="Z767" s="264"/>
      <c r="AA767" s="265"/>
      <c r="AB767" s="264"/>
      <c r="AC767" s="265"/>
      <c r="AD767" s="264"/>
      <c r="AE767" s="265"/>
      <c r="AF767" s="264"/>
      <c r="AG767" s="265"/>
      <c r="AH767" s="264"/>
      <c r="AI767" s="265"/>
      <c r="AJ767" s="264"/>
      <c r="AK767" s="265"/>
    </row>
    <row r="768" spans="1:37" x14ac:dyDescent="0.15">
      <c r="A768" s="302">
        <v>2</v>
      </c>
      <c r="B768" s="534"/>
      <c r="C768" s="535"/>
      <c r="D768" s="535"/>
      <c r="E768" s="536"/>
      <c r="F768" s="47" t="str">
        <f>VLOOKUP($H:$H,型材表!$B$5:$I$448,2,0)</f>
        <v>边框</v>
      </c>
      <c r="G768" s="45" t="s">
        <v>144</v>
      </c>
      <c r="H768" s="45" t="str">
        <f>H767</f>
        <v>SW55K001</v>
      </c>
      <c r="I768" s="207" t="s">
        <v>1275</v>
      </c>
      <c r="J768" s="46">
        <f>M755</f>
        <v>1200</v>
      </c>
      <c r="K768" s="45">
        <v>3</v>
      </c>
      <c r="L768" s="47">
        <f>VLOOKUP($H:$H,型材表!$B$5:$I$448,4,0)</f>
        <v>0.96699999999999997</v>
      </c>
      <c r="M768" s="46">
        <f t="shared" ref="M768" si="126">J768*K768*L768/1000</f>
        <v>3.4811999999999999</v>
      </c>
      <c r="N768" s="72">
        <f>VLOOKUP($H:$H,型材表!$B$5:$I$448,7,0)</f>
        <v>0</v>
      </c>
      <c r="O768" s="46">
        <f t="shared" ref="O768" si="127">N768*M768</f>
        <v>0</v>
      </c>
      <c r="P768" s="100">
        <f>VLOOKUP($H:$H,型材表!$B$5:$I$448,5,0)</f>
        <v>0.125</v>
      </c>
      <c r="Q768" s="100" t="str">
        <f>VLOOKUP($H:$H,型材表!$B$5:$I$448,6,0)</f>
        <v>断桥隔热铝型材</v>
      </c>
      <c r="R768" s="49"/>
      <c r="S768" s="50"/>
      <c r="T768" s="459"/>
      <c r="X768" s="264"/>
      <c r="Y768" s="265"/>
      <c r="Z768" s="264"/>
      <c r="AA768" s="265"/>
      <c r="AB768" s="264"/>
      <c r="AC768" s="265"/>
      <c r="AD768" s="264"/>
      <c r="AE768" s="265"/>
      <c r="AF768" s="264"/>
      <c r="AG768" s="265"/>
      <c r="AH768" s="264"/>
      <c r="AI768" s="265"/>
      <c r="AJ768" s="264"/>
      <c r="AK768" s="265"/>
    </row>
    <row r="769" spans="1:37" x14ac:dyDescent="0.15">
      <c r="A769" s="413">
        <v>3</v>
      </c>
      <c r="B769" s="534"/>
      <c r="C769" s="535"/>
      <c r="D769" s="535"/>
      <c r="E769" s="536"/>
      <c r="F769" s="47" t="str">
        <f>VLOOKUP($H:$H,型材表!$B$5:$I$448,2,0)</f>
        <v>边框</v>
      </c>
      <c r="G769" s="207" t="s">
        <v>874</v>
      </c>
      <c r="H769" s="207" t="str">
        <f>H768</f>
        <v>SW55K001</v>
      </c>
      <c r="I769" s="207" t="s">
        <v>1277</v>
      </c>
      <c r="J769" s="208">
        <f>3.14*M759</f>
        <v>1884</v>
      </c>
      <c r="K769" s="207">
        <v>1</v>
      </c>
      <c r="L769" s="47">
        <f>VLOOKUP($H:$H,型材表!$B$5:$I$448,4,0)</f>
        <v>0.96699999999999997</v>
      </c>
      <c r="M769" s="46">
        <f t="shared" ref="M769" si="128">J769*K769*L769/1000</f>
        <v>1.821828</v>
      </c>
      <c r="N769" s="72">
        <f>VLOOKUP($H:$H,型材表!$B$5:$I$448,7,0)</f>
        <v>0</v>
      </c>
      <c r="O769" s="46">
        <f t="shared" ref="O769" si="129">N769*M769</f>
        <v>0</v>
      </c>
      <c r="P769" s="100">
        <f>VLOOKUP($H:$H,型材表!$B$5:$I$448,5,0)</f>
        <v>0.125</v>
      </c>
      <c r="Q769" s="100" t="str">
        <f>VLOOKUP($H:$H,型材表!$B$5:$I$448,6,0)</f>
        <v>断桥隔热铝型材</v>
      </c>
      <c r="R769" s="210"/>
      <c r="S769" s="50"/>
      <c r="T769" s="459"/>
      <c r="X769" s="264"/>
      <c r="Y769" s="265"/>
      <c r="Z769" s="264"/>
      <c r="AA769" s="265"/>
      <c r="AB769" s="264"/>
      <c r="AC769" s="265"/>
      <c r="AD769" s="264"/>
      <c r="AE769" s="265"/>
      <c r="AF769" s="264"/>
      <c r="AG769" s="265"/>
      <c r="AH769" s="264"/>
      <c r="AI769" s="265"/>
      <c r="AJ769" s="264"/>
      <c r="AK769" s="265"/>
    </row>
    <row r="770" spans="1:37" s="229" customFormat="1" x14ac:dyDescent="0.15">
      <c r="A770" s="413">
        <v>4</v>
      </c>
      <c r="B770" s="537"/>
      <c r="C770" s="538"/>
      <c r="D770" s="538"/>
      <c r="E770" s="539"/>
      <c r="F770" s="221"/>
      <c r="G770" s="222"/>
      <c r="H770" s="222"/>
      <c r="I770" s="222"/>
      <c r="J770" s="223"/>
      <c r="K770" s="222"/>
      <c r="L770" s="221"/>
      <c r="M770" s="224"/>
      <c r="N770" s="225"/>
      <c r="O770" s="224"/>
      <c r="P770" s="226"/>
      <c r="Q770" s="100"/>
      <c r="R770" s="227"/>
      <c r="S770" s="228"/>
      <c r="T770" s="467"/>
      <c r="U770" s="375"/>
      <c r="V770" s="266"/>
      <c r="W770" s="266"/>
      <c r="X770" s="267"/>
      <c r="Y770" s="268"/>
      <c r="Z770" s="267"/>
      <c r="AA770" s="268"/>
      <c r="AB770" s="267"/>
      <c r="AC770" s="268"/>
      <c r="AD770" s="267"/>
      <c r="AE770" s="268"/>
      <c r="AF770" s="267"/>
      <c r="AG770" s="268"/>
      <c r="AH770" s="267"/>
      <c r="AI770" s="268"/>
      <c r="AJ770" s="267"/>
      <c r="AK770" s="268"/>
    </row>
    <row r="771" spans="1:37" ht="13.5" customHeight="1" x14ac:dyDescent="0.15">
      <c r="A771" s="413">
        <v>5</v>
      </c>
      <c r="B771" s="531" t="s">
        <v>41</v>
      </c>
      <c r="C771" s="532"/>
      <c r="D771" s="532"/>
      <c r="E771" s="533"/>
      <c r="F771" s="47" t="str">
        <f>VLOOKUP($H:$H,型材表!$B$5:$I$448,2,0)</f>
        <v>外开扇</v>
      </c>
      <c r="G771" s="45" t="s">
        <v>39</v>
      </c>
      <c r="H771" s="45" t="str">
        <f>IF(G752=55,"SW55S001",IF(G752=551,"SW55BS001",IF(G752=60,"SW60S001",IF(G752=601,"SW60AS001",IF(G752=65,"SW65AS001",IF(G752=70,"SW70S001",IF(G752=75,"SW75S001",IF(G752=50,"SW50S001"))))))))</f>
        <v>SW55S001</v>
      </c>
      <c r="I771" s="207" t="s">
        <v>1320</v>
      </c>
      <c r="J771" s="46">
        <f>IF(G752=55,M756-V771,IF(G752=551,M756-X771,IF(G752=60,M756-Z771,IF(G752=601,M756-AB771,IF(G752=65,M756-AD771,IF(G752=70,M756-AF771,IF(G752=75,M756-AH771,IF(G752=50,M756-AJ771))))))))-8</f>
        <v>509.20000000000005</v>
      </c>
      <c r="K771" s="45">
        <v>4</v>
      </c>
      <c r="L771" s="47">
        <f>VLOOKUP($H:$H,型材表!$B$5:$I$448,4,0)</f>
        <v>1.4450000000000001</v>
      </c>
      <c r="M771" s="46">
        <f t="shared" ref="M771:M776" si="130">J771*K771*L771/1000</f>
        <v>2.9431760000000002</v>
      </c>
      <c r="N771" s="72">
        <f>VLOOKUP($H:$H,型材表!$B$5:$I$448,7,0)</f>
        <v>0</v>
      </c>
      <c r="O771" s="46">
        <f t="shared" ref="O771:O776" si="131">N771*M771</f>
        <v>0</v>
      </c>
      <c r="P771" s="100">
        <f>VLOOKUP($H:$H,型材表!$B$5:$I$448,5,0)</f>
        <v>0.125</v>
      </c>
      <c r="Q771" s="100" t="str">
        <f>VLOOKUP($H:$H,型材表!$B$5:$I$448,6,0)</f>
        <v>断桥隔热铝型材</v>
      </c>
      <c r="R771" s="49"/>
      <c r="S771" s="50"/>
      <c r="T771" s="459"/>
      <c r="U771" s="374" t="s">
        <v>1247</v>
      </c>
      <c r="V771" s="259">
        <f>48.9+33.9</f>
        <v>82.8</v>
      </c>
      <c r="X771" s="286">
        <f>48.9+33.9</f>
        <v>82.8</v>
      </c>
      <c r="Y771" s="265"/>
      <c r="Z771" s="286">
        <f>48.9+33.9</f>
        <v>82.8</v>
      </c>
      <c r="AA771" s="265"/>
      <c r="AB771" s="286">
        <f>48.9+33.9</f>
        <v>82.8</v>
      </c>
      <c r="AC771" s="265"/>
      <c r="AD771" s="286">
        <f>48.9+33.9</f>
        <v>82.8</v>
      </c>
      <c r="AE771" s="265"/>
      <c r="AF771" s="286">
        <f>50.9+35.9</f>
        <v>86.8</v>
      </c>
      <c r="AG771" s="265"/>
      <c r="AH771" s="286">
        <f>50.9+35.9</f>
        <v>86.8</v>
      </c>
      <c r="AI771" s="265"/>
      <c r="AJ771" s="264">
        <f>45.7+30.4</f>
        <v>76.099999999999994</v>
      </c>
      <c r="AK771" s="265"/>
    </row>
    <row r="772" spans="1:37" x14ac:dyDescent="0.15">
      <c r="A772" s="413">
        <v>6</v>
      </c>
      <c r="B772" s="534"/>
      <c r="C772" s="535"/>
      <c r="D772" s="535"/>
      <c r="E772" s="536"/>
      <c r="F772" s="47" t="str">
        <f>VLOOKUP($H:$H,型材表!$B$5:$I$448,2,0)</f>
        <v>外开扇</v>
      </c>
      <c r="G772" s="45" t="s">
        <v>144</v>
      </c>
      <c r="H772" s="207" t="str">
        <f>H771</f>
        <v>SW55S001</v>
      </c>
      <c r="I772" s="207" t="s">
        <v>1576</v>
      </c>
      <c r="J772" s="208">
        <f>IF(G752=55,M759-V772,IF(G752=551,M759-X772,IF(G752=60,M759-Z772,IF(G752=601,M759-AB772,IF(G752=65,M759-AD772,IF(G752=70,M759-AF772,IF(G752=75,M759-AH772,IF(G752=50,M759-AJ772))))))))</f>
        <v>517.20000000000005</v>
      </c>
      <c r="K772" s="207">
        <v>4</v>
      </c>
      <c r="L772" s="47">
        <f>VLOOKUP($H:$H,型材表!$B$5:$I$448,4,0)</f>
        <v>1.4450000000000001</v>
      </c>
      <c r="M772" s="46">
        <f t="shared" si="130"/>
        <v>2.9894160000000003</v>
      </c>
      <c r="N772" s="72">
        <f>VLOOKUP($H:$H,型材表!$B$5:$I$448,7,0)</f>
        <v>0</v>
      </c>
      <c r="O772" s="46">
        <f t="shared" si="131"/>
        <v>0</v>
      </c>
      <c r="P772" s="100">
        <f>VLOOKUP($H:$H,型材表!$B$5:$I$448,5,0)</f>
        <v>0.125</v>
      </c>
      <c r="Q772" s="100" t="str">
        <f>VLOOKUP($H:$H,型材表!$B$5:$I$448,6,0)</f>
        <v>断桥隔热铝型材</v>
      </c>
      <c r="R772" s="210"/>
      <c r="S772" s="50"/>
      <c r="T772" s="459"/>
      <c r="U772" s="374" t="s">
        <v>1575</v>
      </c>
      <c r="V772" s="259">
        <f>48.9+33.9</f>
        <v>82.8</v>
      </c>
      <c r="X772" s="286">
        <f>48.9+33.9</f>
        <v>82.8</v>
      </c>
      <c r="Y772" s="265"/>
      <c r="Z772" s="286">
        <f>48.9+33.9</f>
        <v>82.8</v>
      </c>
      <c r="AA772" s="265"/>
      <c r="AB772" s="286">
        <f>48.9+33.9</f>
        <v>82.8</v>
      </c>
      <c r="AC772" s="265"/>
      <c r="AD772" s="286">
        <f>48.9+33.9</f>
        <v>82.8</v>
      </c>
      <c r="AE772" s="265"/>
      <c r="AF772" s="286">
        <f>50.9+35.9</f>
        <v>86.8</v>
      </c>
      <c r="AG772" s="265"/>
      <c r="AH772" s="286">
        <f>50.9+35.9</f>
        <v>86.8</v>
      </c>
      <c r="AI772" s="265"/>
      <c r="AJ772" s="264">
        <f>45.7+30.4</f>
        <v>76.099999999999994</v>
      </c>
      <c r="AK772" s="265"/>
    </row>
    <row r="773" spans="1:37" x14ac:dyDescent="0.15">
      <c r="A773" s="413">
        <v>7</v>
      </c>
      <c r="B773" s="534"/>
      <c r="C773" s="535"/>
      <c r="D773" s="535"/>
      <c r="E773" s="536"/>
      <c r="F773" s="47" t="str">
        <f>VLOOKUP($H:$H,型材表!$B$5:$I$448,2,0)</f>
        <v>中梃</v>
      </c>
      <c r="G773" s="45" t="s">
        <v>39</v>
      </c>
      <c r="H773" s="45" t="str">
        <f>IF(G752=55,"SW55T001",IF(G752=551,"SW55BT001",IF(G752=60,"SW60T001",IF(G752=601,"SW60AT001",IF(G752=65,"SW65AT001",IF(G752=70,"SW70T001",IF(G752=75,"SW75T001",IF(G752=50,"SW50Z001"))))))))</f>
        <v>SW55T001</v>
      </c>
      <c r="I773" s="207" t="s">
        <v>1321</v>
      </c>
      <c r="J773" s="46">
        <f>IF(G752=55,M756-V773,IF(G752=551,M756-X773,IF(G752=60,M756-Z773,IF(G752=601,M756-AB773,IF(G752=65,M756-AD773,IF(G752=70,M756-AF773,IF(G752=75,M756-AH773,IF(G752=50,M756-AJ773))))))))-8</f>
        <v>561</v>
      </c>
      <c r="K773" s="45">
        <v>1</v>
      </c>
      <c r="L773" s="47">
        <f>VLOOKUP($H:$H,型材表!$B$5:$I$448,4,0)</f>
        <v>1.113</v>
      </c>
      <c r="M773" s="46">
        <f t="shared" si="130"/>
        <v>0.62439299999999998</v>
      </c>
      <c r="N773" s="72">
        <f>VLOOKUP($H:$H,型材表!$B$5:$I$448,7,0)</f>
        <v>0</v>
      </c>
      <c r="O773" s="46">
        <f t="shared" si="131"/>
        <v>0</v>
      </c>
      <c r="P773" s="100">
        <f>VLOOKUP($H:$H,型材表!$B$5:$I$448,5,0)</f>
        <v>0.125</v>
      </c>
      <c r="Q773" s="100" t="str">
        <f>VLOOKUP($H:$H,型材表!$B$5:$I$448,6,0)</f>
        <v>断桥隔热铝型材</v>
      </c>
      <c r="R773" s="49"/>
      <c r="S773" s="50"/>
      <c r="T773" s="459"/>
      <c r="U773" s="374" t="s">
        <v>1322</v>
      </c>
      <c r="V773" s="259">
        <f>8+23</f>
        <v>31</v>
      </c>
      <c r="X773" s="286">
        <f>8+23</f>
        <v>31</v>
      </c>
      <c r="Y773" s="265"/>
      <c r="Z773" s="286">
        <f>8+23</f>
        <v>31</v>
      </c>
      <c r="AA773" s="265"/>
      <c r="AB773" s="286">
        <f>8+23</f>
        <v>31</v>
      </c>
      <c r="AC773" s="265"/>
      <c r="AD773" s="286">
        <f>8+23</f>
        <v>31</v>
      </c>
      <c r="AE773" s="265"/>
      <c r="AF773" s="286">
        <f>8+23</f>
        <v>31</v>
      </c>
      <c r="AG773" s="265"/>
      <c r="AH773" s="286">
        <f>8+23</f>
        <v>31</v>
      </c>
      <c r="AI773" s="265"/>
      <c r="AJ773" s="264">
        <f>23.3+8</f>
        <v>31.3</v>
      </c>
      <c r="AK773" s="265"/>
    </row>
    <row r="774" spans="1:37" x14ac:dyDescent="0.15">
      <c r="A774" s="413">
        <v>8</v>
      </c>
      <c r="B774" s="534"/>
      <c r="C774" s="535"/>
      <c r="D774" s="535"/>
      <c r="E774" s="536"/>
      <c r="F774" s="47" t="str">
        <f>VLOOKUP($H:$H,型材表!$B$5:$I$448,2,0)</f>
        <v>中梃</v>
      </c>
      <c r="G774" s="45" t="s">
        <v>144</v>
      </c>
      <c r="H774" s="207" t="str">
        <f>IF(G752=55,"SW55T001",IF(G752=551,"SW55BT001",IF(G752=60,"SW60T001",IF(G752=601,"SW60AT001",IF(G752=65,"SW65AT001",IF(G752=70,"SW70T001",IF(G752=75,"SW75T001",IF(G752=50,"SW50Z001"))))))))</f>
        <v>SW55T001</v>
      </c>
      <c r="I774" s="207" t="s">
        <v>1324</v>
      </c>
      <c r="J774" s="208">
        <f>IF(G752=55,M755-V774,IF(G752=551,M755-X774,IF(G752=60,M755-Z774,IF(G752=601,M755-AB774,IF(G752=65,M755-AD774,IF(G752=70,M755-AF774,IF(G752=75,M755-AH774,IF(G752=50,M755-AJ774))))))))</f>
        <v>1154</v>
      </c>
      <c r="K774" s="207">
        <v>1</v>
      </c>
      <c r="L774" s="47">
        <f>VLOOKUP($H:$H,型材表!$B$5:$I$448,4,0)</f>
        <v>1.113</v>
      </c>
      <c r="M774" s="46">
        <f t="shared" ref="M774" si="132">J774*K774*L774/1000</f>
        <v>1.284402</v>
      </c>
      <c r="N774" s="72">
        <f>VLOOKUP($H:$H,型材表!$B$5:$I$448,7,0)</f>
        <v>0</v>
      </c>
      <c r="O774" s="46">
        <f t="shared" ref="O774" si="133">N774*M774</f>
        <v>0</v>
      </c>
      <c r="P774" s="100">
        <f>VLOOKUP($H:$H,型材表!$B$5:$I$448,5,0)</f>
        <v>0.125</v>
      </c>
      <c r="Q774" s="100" t="str">
        <f>VLOOKUP($H:$H,型材表!$B$5:$I$448,6,0)</f>
        <v>断桥隔热铝型材</v>
      </c>
      <c r="R774" s="210"/>
      <c r="S774" s="50"/>
      <c r="T774" s="459"/>
      <c r="U774" s="374" t="s">
        <v>1323</v>
      </c>
      <c r="V774" s="259">
        <f>23*2</f>
        <v>46</v>
      </c>
      <c r="X774" s="286">
        <f>23*2</f>
        <v>46</v>
      </c>
      <c r="Y774" s="265"/>
      <c r="Z774" s="286">
        <f>23*2</f>
        <v>46</v>
      </c>
      <c r="AA774" s="265"/>
      <c r="AB774" s="286">
        <f>23*2</f>
        <v>46</v>
      </c>
      <c r="AC774" s="265"/>
      <c r="AD774" s="286">
        <f>23*2</f>
        <v>46</v>
      </c>
      <c r="AE774" s="265"/>
      <c r="AF774" s="286">
        <f>23*2</f>
        <v>46</v>
      </c>
      <c r="AG774" s="265"/>
      <c r="AH774" s="286">
        <f>23*2</f>
        <v>46</v>
      </c>
      <c r="AI774" s="265"/>
      <c r="AJ774" s="264">
        <f>23.3*2</f>
        <v>46.6</v>
      </c>
      <c r="AK774" s="265"/>
    </row>
    <row r="775" spans="1:37" s="315" customFormat="1" x14ac:dyDescent="0.15">
      <c r="A775" s="413">
        <v>9</v>
      </c>
      <c r="B775" s="534"/>
      <c r="C775" s="535"/>
      <c r="D775" s="535"/>
      <c r="E775" s="536"/>
      <c r="F775" s="310" t="str">
        <f>VLOOKUP($H:$H,型材表!$B$5:$I$448,2,0)</f>
        <v>转向框</v>
      </c>
      <c r="G775" s="116" t="s">
        <v>39</v>
      </c>
      <c r="H775" s="116" t="str">
        <f>IF(G752=55,"SW55K102",IF(G752=551,"SW55BK102",IF(G752=60,"SW60K102",IF(G752=601,"SW60AK102",IF(G752=65,"SW65AK102",IF(G752=70,"SW70K102",IF(G752=75,"SW75K102",IF(G752=50,"SW50K101"))))))))</f>
        <v>SW55K102</v>
      </c>
      <c r="I775" s="328" t="s">
        <v>1325</v>
      </c>
      <c r="J775" s="147">
        <f>IF(G752=55,M756-V775,IF(G752=551,M756-X775,IF(G752=60,M756-Z775,IF(G752=601,M756-AB775,IF(G752=65,M756-AD775,IF(G752=70,M756-AF775,IF(G752=75,M756-AH775,IF(G752=50,M756-AJ775))))))))-8</f>
        <v>553.70000000000005</v>
      </c>
      <c r="K775" s="116">
        <v>4</v>
      </c>
      <c r="L775" s="310">
        <f>VLOOKUP($H:$H,型材表!$B$5:$I$448,4,0)</f>
        <v>0.92300000000000004</v>
      </c>
      <c r="M775" s="147">
        <f t="shared" si="130"/>
        <v>2.0442604000000002</v>
      </c>
      <c r="N775" s="311">
        <f>VLOOKUP($H:$H,型材表!$B$5:$I$448,7,0)</f>
        <v>0</v>
      </c>
      <c r="O775" s="147">
        <f t="shared" si="131"/>
        <v>0</v>
      </c>
      <c r="P775" s="312">
        <f>VLOOKUP($H:$H,型材表!$B$5:$I$448,5,0)</f>
        <v>0.125</v>
      </c>
      <c r="Q775" s="100" t="str">
        <f>VLOOKUP($H:$H,型材表!$B$5:$I$448,6,0)</f>
        <v>断桥隔热铝型材</v>
      </c>
      <c r="R775" s="313"/>
      <c r="S775" s="314"/>
      <c r="T775" s="469"/>
      <c r="U775" s="376" t="s">
        <v>1250</v>
      </c>
      <c r="V775" s="316">
        <f>25.3+13</f>
        <v>38.299999999999997</v>
      </c>
      <c r="W775" s="316"/>
      <c r="X775" s="317">
        <f>25.3+13</f>
        <v>38.299999999999997</v>
      </c>
      <c r="Y775" s="318"/>
      <c r="Z775" s="317">
        <f>25.3+13</f>
        <v>38.299999999999997</v>
      </c>
      <c r="AA775" s="318"/>
      <c r="AB775" s="317">
        <f>25.3+13</f>
        <v>38.299999999999997</v>
      </c>
      <c r="AC775" s="318"/>
      <c r="AD775" s="317">
        <f>25.3+13</f>
        <v>38.299999999999997</v>
      </c>
      <c r="AE775" s="318"/>
      <c r="AF775" s="317">
        <f>25.3+10.3</f>
        <v>35.6</v>
      </c>
      <c r="AG775" s="318"/>
      <c r="AH775" s="317">
        <f>25.3+10.3</f>
        <v>35.6</v>
      </c>
      <c r="AI775" s="318"/>
      <c r="AJ775" s="317">
        <f>10+25.3</f>
        <v>35.299999999999997</v>
      </c>
      <c r="AK775" s="318"/>
    </row>
    <row r="776" spans="1:37" s="315" customFormat="1" x14ac:dyDescent="0.15">
      <c r="A776" s="413">
        <v>10</v>
      </c>
      <c r="B776" s="534"/>
      <c r="C776" s="535"/>
      <c r="D776" s="535"/>
      <c r="E776" s="536"/>
      <c r="F776" s="310" t="str">
        <f>VLOOKUP($H:$H,型材表!$B$5:$I$448,2,0)</f>
        <v>转向框</v>
      </c>
      <c r="G776" s="116" t="s">
        <v>144</v>
      </c>
      <c r="H776" s="328" t="str">
        <f>H775</f>
        <v>SW55K102</v>
      </c>
      <c r="I776" s="328" t="s">
        <v>1579</v>
      </c>
      <c r="J776" s="329">
        <f>IF(G752=55,M759-V776,IF(G752=551,M759-X776,IF(G752=60,M759-Z776,IF(G752=601,M759-AB776,IF(G752=65,M759-AD776,IF(G752=70,M759-AF776,IF(G752=75,M759-AH776,IF(G752=50,M759-AJ776))))))))</f>
        <v>561.70000000000005</v>
      </c>
      <c r="K776" s="328">
        <v>4</v>
      </c>
      <c r="L776" s="310">
        <f>VLOOKUP($H:$H,型材表!$B$5:$I$448,4,0)</f>
        <v>0.92300000000000004</v>
      </c>
      <c r="M776" s="147">
        <f t="shared" si="130"/>
        <v>2.0737964</v>
      </c>
      <c r="N776" s="311">
        <f>VLOOKUP($H:$H,型材表!$B$5:$I$448,7,0)</f>
        <v>0</v>
      </c>
      <c r="O776" s="147">
        <f t="shared" si="131"/>
        <v>0</v>
      </c>
      <c r="P776" s="312">
        <f>VLOOKUP($H:$H,型材表!$B$5:$I$448,5,0)</f>
        <v>0.125</v>
      </c>
      <c r="Q776" s="100" t="str">
        <f>VLOOKUP($H:$H,型材表!$B$5:$I$448,6,0)</f>
        <v>断桥隔热铝型材</v>
      </c>
      <c r="R776" s="330"/>
      <c r="S776" s="314"/>
      <c r="T776" s="469"/>
      <c r="U776" s="376" t="s">
        <v>1577</v>
      </c>
      <c r="V776" s="316">
        <f>25.3+13</f>
        <v>38.299999999999997</v>
      </c>
      <c r="W776" s="316"/>
      <c r="X776" s="317">
        <f>25.3+13</f>
        <v>38.299999999999997</v>
      </c>
      <c r="Y776" s="318"/>
      <c r="Z776" s="317">
        <f>25.3+13</f>
        <v>38.299999999999997</v>
      </c>
      <c r="AA776" s="318"/>
      <c r="AB776" s="317">
        <f>25.3+13</f>
        <v>38.299999999999997</v>
      </c>
      <c r="AC776" s="318"/>
      <c r="AD776" s="317">
        <f>25.3+13</f>
        <v>38.299999999999997</v>
      </c>
      <c r="AE776" s="318"/>
      <c r="AF776" s="317">
        <f>25.3+10.3</f>
        <v>35.6</v>
      </c>
      <c r="AG776" s="318"/>
      <c r="AH776" s="317">
        <f>25.3+10.3</f>
        <v>35.6</v>
      </c>
      <c r="AI776" s="318"/>
      <c r="AJ776" s="317">
        <f>10+25.3</f>
        <v>35.299999999999997</v>
      </c>
      <c r="AK776" s="318"/>
    </row>
    <row r="777" spans="1:37" x14ac:dyDescent="0.15">
      <c r="A777" s="413">
        <v>11</v>
      </c>
      <c r="B777" s="537"/>
      <c r="C777" s="538"/>
      <c r="D777" s="538"/>
      <c r="E777" s="539"/>
      <c r="F777" s="310"/>
      <c r="G777" s="45"/>
      <c r="H777" s="45"/>
      <c r="I777" s="207"/>
      <c r="J777" s="46"/>
      <c r="K777" s="45"/>
      <c r="L777" s="310"/>
      <c r="M777" s="147"/>
      <c r="N777" s="311"/>
      <c r="O777" s="147"/>
      <c r="P777" s="312"/>
      <c r="Q777" s="100"/>
      <c r="R777" s="49"/>
      <c r="S777" s="50"/>
      <c r="T777" s="459"/>
      <c r="X777" s="264"/>
      <c r="Y777" s="265"/>
      <c r="Z777" s="264"/>
      <c r="AA777" s="265"/>
      <c r="AB777" s="264"/>
      <c r="AC777" s="265"/>
      <c r="AD777" s="264"/>
      <c r="AE777" s="265"/>
      <c r="AF777" s="264"/>
      <c r="AG777" s="265"/>
      <c r="AH777" s="264"/>
      <c r="AI777" s="265"/>
      <c r="AJ777" s="264"/>
      <c r="AK777" s="265"/>
    </row>
    <row r="778" spans="1:37" ht="15.75" customHeight="1" x14ac:dyDescent="0.15">
      <c r="A778" s="413">
        <v>12</v>
      </c>
      <c r="B778" s="542" t="s">
        <v>873</v>
      </c>
      <c r="C778" s="543"/>
      <c r="D778" s="543"/>
      <c r="E778" s="544"/>
      <c r="F778" s="310" t="str">
        <f>VLOOKUP($H:$H,型材表!$B$5:$I$448,2,0)</f>
        <v>拼管</v>
      </c>
      <c r="G778" s="207"/>
      <c r="H778" s="207" t="str">
        <f>IF(G752=65,"SN65AP001",IF(G752=55,"SN55P001",IF(G752=551,"SN55BP001",IF(G752=60,"SN60P001",IF(G752=601,"SN60AP001",IF(G752=70,"SN70P001",IF(G752=75,"SN75P001")))))))</f>
        <v>SN55P001</v>
      </c>
      <c r="I778" s="207" t="s">
        <v>1275</v>
      </c>
      <c r="J778" s="208">
        <f>M755</f>
        <v>1200</v>
      </c>
      <c r="K778" s="207">
        <v>1</v>
      </c>
      <c r="L778" s="310">
        <f>VLOOKUP($H:$H,型材表!$B$5:$I$448,4,0)</f>
        <v>0.877</v>
      </c>
      <c r="M778" s="147">
        <f t="shared" ref="M778" si="134">J778*K778*L778/1000</f>
        <v>1.0524</v>
      </c>
      <c r="N778" s="311">
        <f>VLOOKUP($H:$H,型材表!$B$5:$I$448,7,0)</f>
        <v>0</v>
      </c>
      <c r="O778" s="147">
        <f t="shared" ref="O778" si="135">N778*M778</f>
        <v>0</v>
      </c>
      <c r="P778" s="312">
        <f>VLOOKUP($H:$H,型材表!$B$5:$I$448,5,0)</f>
        <v>0.125</v>
      </c>
      <c r="Q778" s="100" t="str">
        <f>VLOOKUP($H:$H,型材表!$B$5:$I$448,6,0)</f>
        <v>断桥隔热铝型材</v>
      </c>
      <c r="R778" s="210"/>
      <c r="S778" s="50"/>
      <c r="T778" s="459"/>
      <c r="X778" s="264"/>
      <c r="Y778" s="265"/>
      <c r="Z778" s="264"/>
      <c r="AA778" s="265"/>
      <c r="AB778" s="264"/>
      <c r="AC778" s="265"/>
      <c r="AD778" s="264"/>
      <c r="AE778" s="265"/>
      <c r="AF778" s="264"/>
      <c r="AG778" s="265"/>
      <c r="AH778" s="264"/>
      <c r="AI778" s="265"/>
      <c r="AJ778" s="264"/>
      <c r="AK778" s="265"/>
    </row>
    <row r="779" spans="1:37" ht="13.5" customHeight="1" x14ac:dyDescent="0.15">
      <c r="A779" s="413">
        <v>13</v>
      </c>
      <c r="B779" s="531" t="s">
        <v>44</v>
      </c>
      <c r="C779" s="532"/>
      <c r="D779" s="532"/>
      <c r="E779" s="533"/>
      <c r="F779" s="47" t="str">
        <f>VLOOKUP($H:$H,型材表!$B$5:$I$448,2,0)</f>
        <v>压线</v>
      </c>
      <c r="G779" s="45" t="s">
        <v>39</v>
      </c>
      <c r="H779" s="45" t="str">
        <f>IF(G752=55,"SN55Y001",IF(G752=551,"SW55BY001",IF(G752=60,"SN60Y001",IF(G752=601,"SW60AY001",IF(G752=65,"SN65AY001",IF(G752=70,"SN70Y001",IF(G752=75,"SN75Y001",IF(G752=50,"SW50Y001"))))))))</f>
        <v>SN55Y001</v>
      </c>
      <c r="I779" s="207" t="s">
        <v>1326</v>
      </c>
      <c r="J779" s="52">
        <f>IF(G752=55,M756-V779,IF(G752=551,M756-X779,IF(G752=60,M756-Z779,IF(G752=601,M756-AB779,IF(G752=65,M756-AD779,IF(G752=70,M756-AF779,IF(G752=75,M756-AH779,IF(G752=50,M756-AJ779))))))))-8</f>
        <v>407.2</v>
      </c>
      <c r="K779" s="45">
        <v>4</v>
      </c>
      <c r="L779" s="47">
        <f>VLOOKUP($H:$H,型材表!$B$5:$I$448,4,0)</f>
        <v>0.214</v>
      </c>
      <c r="M779" s="46">
        <f t="shared" ref="M779:M787" si="136">J779*K779*L779/1000</f>
        <v>0.34856320000000002</v>
      </c>
      <c r="N779" s="72">
        <f>VLOOKUP($H:$H,型材表!$B$5:$I$448,7,0)</f>
        <v>0</v>
      </c>
      <c r="O779" s="46">
        <f t="shared" ref="O779:O787" si="137">N779*M779</f>
        <v>0</v>
      </c>
      <c r="P779" s="100">
        <f>VLOOKUP($H:$H,型材表!$B$5:$I$448,5,0)</f>
        <v>0.125</v>
      </c>
      <c r="Q779" s="100" t="str">
        <f>VLOOKUP($H:$H,型材表!$B$5:$I$448,6,0)</f>
        <v>非断桥隔热铝型材</v>
      </c>
      <c r="R779" s="49"/>
      <c r="S779" s="50"/>
      <c r="T779" s="459"/>
      <c r="U779" s="374" t="s">
        <v>1251</v>
      </c>
      <c r="V779" s="269">
        <f>99.9+84.9</f>
        <v>184.8</v>
      </c>
      <c r="X779" s="279">
        <f>99.9+84.9</f>
        <v>184.8</v>
      </c>
      <c r="Y779" s="265"/>
      <c r="Z779" s="279">
        <f>99.9+84.9</f>
        <v>184.8</v>
      </c>
      <c r="AA779" s="265"/>
      <c r="AB779" s="279">
        <f>99.9+84.9</f>
        <v>184.8</v>
      </c>
      <c r="AC779" s="265"/>
      <c r="AD779" s="279">
        <f>99.9+84.9</f>
        <v>184.8</v>
      </c>
      <c r="AE779" s="265"/>
      <c r="AF779" s="279">
        <f>105.4+90.4</f>
        <v>195.8</v>
      </c>
      <c r="AG779" s="265"/>
      <c r="AH779" s="279">
        <f>105.4+90.4</f>
        <v>195.8</v>
      </c>
      <c r="AI779" s="265"/>
      <c r="AJ779" s="279">
        <f>90.4+75.1</f>
        <v>165.5</v>
      </c>
      <c r="AK779" s="265"/>
    </row>
    <row r="780" spans="1:37" ht="13.5" customHeight="1" x14ac:dyDescent="0.15">
      <c r="A780" s="413">
        <v>14</v>
      </c>
      <c r="B780" s="534"/>
      <c r="C780" s="535"/>
      <c r="D780" s="535"/>
      <c r="E780" s="536"/>
      <c r="F780" s="47" t="str">
        <f>VLOOKUP($H:$H,型材表!$B$5:$I$448,2,0)</f>
        <v>压线</v>
      </c>
      <c r="G780" s="45" t="s">
        <v>39</v>
      </c>
      <c r="H780" s="207" t="str">
        <f>H779</f>
        <v>SN55Y001</v>
      </c>
      <c r="I780" s="207" t="s">
        <v>1285</v>
      </c>
      <c r="J780" s="214">
        <f>IF(G752=55,M757-V780,IF(G752=551,M757-X780,IF(G752=60,M757-Z780,IF(G752=601,M757-AB780,IF(G752=65,M757-AD780,IF(G752=70,M757-AF780,IF(G752=75,M757-AH780,IF(G752=50,M757-AJ780))))))))</f>
        <v>469</v>
      </c>
      <c r="K780" s="207">
        <v>2</v>
      </c>
      <c r="L780" s="47">
        <f>VLOOKUP($H:$H,型材表!$B$5:$I$448,4,0)</f>
        <v>0.214</v>
      </c>
      <c r="M780" s="46">
        <f t="shared" ref="M780:M783" si="138">J780*K780*L780/1000</f>
        <v>0.20073199999999999</v>
      </c>
      <c r="N780" s="72">
        <f>VLOOKUP($H:$H,型材表!$B$5:$I$448,7,0)</f>
        <v>0</v>
      </c>
      <c r="O780" s="46">
        <f t="shared" ref="O780:O783" si="139">N780*M780</f>
        <v>0</v>
      </c>
      <c r="P780" s="100">
        <f>VLOOKUP($H:$H,型材表!$B$5:$I$448,5,0)</f>
        <v>0.125</v>
      </c>
      <c r="Q780" s="100" t="str">
        <f>VLOOKUP($H:$H,型材表!$B$5:$I$448,6,0)</f>
        <v>非断桥隔热铝型材</v>
      </c>
      <c r="R780" s="210"/>
      <c r="S780" s="50"/>
      <c r="T780" s="459"/>
      <c r="U780" s="374" t="s">
        <v>1252</v>
      </c>
      <c r="V780" s="269">
        <f>8+23</f>
        <v>31</v>
      </c>
      <c r="X780" s="279">
        <f>8+23</f>
        <v>31</v>
      </c>
      <c r="Y780" s="265"/>
      <c r="Z780" s="279">
        <f>8+23</f>
        <v>31</v>
      </c>
      <c r="AA780" s="265"/>
      <c r="AB780" s="279">
        <f>8+23</f>
        <v>31</v>
      </c>
      <c r="AC780" s="265"/>
      <c r="AD780" s="279">
        <f>8+23</f>
        <v>31</v>
      </c>
      <c r="AE780" s="265"/>
      <c r="AF780" s="279">
        <f>8+23</f>
        <v>31</v>
      </c>
      <c r="AG780" s="265"/>
      <c r="AH780" s="279">
        <f>8+23</f>
        <v>31</v>
      </c>
      <c r="AI780" s="265"/>
      <c r="AJ780" s="279">
        <f>8+23.3</f>
        <v>31.3</v>
      </c>
      <c r="AK780" s="265"/>
    </row>
    <row r="781" spans="1:37" x14ac:dyDescent="0.15">
      <c r="A781" s="413">
        <v>15</v>
      </c>
      <c r="B781" s="534"/>
      <c r="C781" s="535"/>
      <c r="D781" s="535"/>
      <c r="E781" s="536"/>
      <c r="F781" s="47" t="str">
        <f>VLOOKUP($H:$H,型材表!$B$5:$I$448,2,0)</f>
        <v>压线</v>
      </c>
      <c r="G781" s="45" t="s">
        <v>1279</v>
      </c>
      <c r="H781" s="207" t="str">
        <f t="shared" ref="H781:H783" si="140">H780</f>
        <v>SN55Y001</v>
      </c>
      <c r="I781" s="207" t="s">
        <v>1302</v>
      </c>
      <c r="J781" s="214">
        <f>IF(G752=55,M759-V781,IF(G752=551,M759-X781,IF(G752=60,M759-Z781,IF(G752=601,M759-AB781,IF(G752=65,M759-AD781,IF(G752=70,M759-AF781,IF(G752=75,M759-AH781,IF(G752=50,M759-AJ781))))))))</f>
        <v>415.2</v>
      </c>
      <c r="K781" s="207">
        <v>4</v>
      </c>
      <c r="L781" s="47">
        <f>VLOOKUP($H:$H,型材表!$B$5:$I$448,4,0)</f>
        <v>0.214</v>
      </c>
      <c r="M781" s="46">
        <f t="shared" si="138"/>
        <v>0.35541119999999998</v>
      </c>
      <c r="N781" s="72">
        <f>VLOOKUP($H:$H,型材表!$B$5:$I$448,7,0)</f>
        <v>0</v>
      </c>
      <c r="O781" s="46">
        <f t="shared" si="139"/>
        <v>0</v>
      </c>
      <c r="P781" s="100">
        <f>VLOOKUP($H:$H,型材表!$B$5:$I$448,5,0)</f>
        <v>0.125</v>
      </c>
      <c r="Q781" s="100" t="str">
        <f>VLOOKUP($H:$H,型材表!$B$5:$I$448,6,0)</f>
        <v>非断桥隔热铝型材</v>
      </c>
      <c r="R781" s="210"/>
      <c r="S781" s="50"/>
      <c r="T781" s="459"/>
      <c r="U781" s="374" t="s">
        <v>1254</v>
      </c>
      <c r="V781" s="269">
        <f>99.9+84.9</f>
        <v>184.8</v>
      </c>
      <c r="X781" s="279">
        <f>99.9+84.9</f>
        <v>184.8</v>
      </c>
      <c r="Y781" s="265"/>
      <c r="Z781" s="279">
        <f>99.9+84.9</f>
        <v>184.8</v>
      </c>
      <c r="AA781" s="265"/>
      <c r="AB781" s="279">
        <f>99.9+84.9</f>
        <v>184.8</v>
      </c>
      <c r="AC781" s="265"/>
      <c r="AD781" s="279">
        <f>99.9+84.9</f>
        <v>184.8</v>
      </c>
      <c r="AE781" s="265"/>
      <c r="AF781" s="279">
        <f>105.4+90.4</f>
        <v>195.8</v>
      </c>
      <c r="AG781" s="265"/>
      <c r="AH781" s="279">
        <f>105.4+90.4</f>
        <v>195.8</v>
      </c>
      <c r="AI781" s="265"/>
      <c r="AJ781" s="279">
        <f>90.4+75.1</f>
        <v>165.5</v>
      </c>
      <c r="AK781" s="265"/>
    </row>
    <row r="782" spans="1:37" x14ac:dyDescent="0.15">
      <c r="A782" s="413">
        <v>16</v>
      </c>
      <c r="B782" s="534"/>
      <c r="C782" s="535"/>
      <c r="D782" s="535"/>
      <c r="E782" s="536"/>
      <c r="F782" s="47" t="str">
        <f>VLOOKUP($H:$H,型材表!$B$5:$I$448,2,0)</f>
        <v>压线</v>
      </c>
      <c r="G782" s="45" t="s">
        <v>1279</v>
      </c>
      <c r="H782" s="207" t="str">
        <f t="shared" si="140"/>
        <v>SN55Y001</v>
      </c>
      <c r="I782" s="207" t="s">
        <v>1591</v>
      </c>
      <c r="J782" s="214">
        <f>IF(G752=55,M755-V782,IF(G752=551,M755-X782,IF(G752=60,M755-Z782,IF(G752=601,M755-AB782,IF(G752=65,M755-AD782,IF(G752=70,M755-AF782,IF(G752=75,M755-AH782,IF(G752=50,M755-AJ782))))))))</f>
        <v>1154</v>
      </c>
      <c r="K782" s="207">
        <v>3</v>
      </c>
      <c r="L782" s="47">
        <f>VLOOKUP($H:$H,型材表!$B$5:$I$448,4,0)</f>
        <v>0.214</v>
      </c>
      <c r="M782" s="46">
        <f t="shared" si="138"/>
        <v>0.74086799999999997</v>
      </c>
      <c r="N782" s="72">
        <f>VLOOKUP($H:$H,型材表!$B$5:$I$448,7,0)</f>
        <v>0</v>
      </c>
      <c r="O782" s="46">
        <f t="shared" si="139"/>
        <v>0</v>
      </c>
      <c r="P782" s="100">
        <f>VLOOKUP($H:$H,型材表!$B$5:$I$448,5,0)</f>
        <v>0.125</v>
      </c>
      <c r="Q782" s="100" t="str">
        <f>VLOOKUP($H:$H,型材表!$B$5:$I$448,6,0)</f>
        <v>非断桥隔热铝型材</v>
      </c>
      <c r="R782" s="210"/>
      <c r="S782" s="50"/>
      <c r="T782" s="459"/>
      <c r="U782" s="374" t="s">
        <v>1590</v>
      </c>
      <c r="V782" s="269">
        <f>23*2</f>
        <v>46</v>
      </c>
      <c r="X782" s="279">
        <f>23*2</f>
        <v>46</v>
      </c>
      <c r="Y782" s="265"/>
      <c r="Z782" s="279">
        <f>23*2</f>
        <v>46</v>
      </c>
      <c r="AA782" s="265"/>
      <c r="AB782" s="279">
        <f>23*2</f>
        <v>46</v>
      </c>
      <c r="AC782" s="265"/>
      <c r="AD782" s="279">
        <f>23*2</f>
        <v>46</v>
      </c>
      <c r="AE782" s="265"/>
      <c r="AF782" s="279">
        <f>23*2</f>
        <v>46</v>
      </c>
      <c r="AG782" s="265"/>
      <c r="AH782" s="279">
        <f>23*2</f>
        <v>46</v>
      </c>
      <c r="AI782" s="265"/>
      <c r="AJ782" s="279">
        <f>23.3*2</f>
        <v>46.6</v>
      </c>
      <c r="AK782" s="265"/>
    </row>
    <row r="783" spans="1:37" x14ac:dyDescent="0.15">
      <c r="A783" s="413">
        <v>17</v>
      </c>
      <c r="B783" s="534"/>
      <c r="C783" s="535"/>
      <c r="D783" s="535"/>
      <c r="E783" s="536"/>
      <c r="F783" s="47" t="str">
        <f>VLOOKUP($H:$H,型材表!$B$5:$I$448,2,0)</f>
        <v>压线</v>
      </c>
      <c r="G783" s="45" t="s">
        <v>1278</v>
      </c>
      <c r="H783" s="207" t="str">
        <f t="shared" si="140"/>
        <v>SN55Y001</v>
      </c>
      <c r="I783" s="207" t="s">
        <v>1327</v>
      </c>
      <c r="J783" s="214">
        <f>3.14*(M759-23)</f>
        <v>1811.78</v>
      </c>
      <c r="K783" s="207">
        <v>1</v>
      </c>
      <c r="L783" s="47">
        <f>VLOOKUP($H:$H,型材表!$B$5:$I$448,4,0)</f>
        <v>0.214</v>
      </c>
      <c r="M783" s="46">
        <f t="shared" si="138"/>
        <v>0.38772091999999997</v>
      </c>
      <c r="N783" s="72">
        <f>VLOOKUP($H:$H,型材表!$B$5:$I$448,7,0)</f>
        <v>0</v>
      </c>
      <c r="O783" s="46">
        <f t="shared" si="139"/>
        <v>0</v>
      </c>
      <c r="P783" s="100">
        <f>VLOOKUP($H:$H,型材表!$B$5:$I$448,5,0)</f>
        <v>0.125</v>
      </c>
      <c r="Q783" s="100" t="str">
        <f>VLOOKUP($H:$H,型材表!$B$5:$I$448,6,0)</f>
        <v>非断桥隔热铝型材</v>
      </c>
      <c r="R783" s="210"/>
      <c r="S783" s="50"/>
      <c r="T783" s="459"/>
      <c r="X783" s="264"/>
      <c r="Y783" s="265"/>
      <c r="Z783" s="264"/>
      <c r="AA783" s="265"/>
      <c r="AB783" s="264"/>
      <c r="AC783" s="265"/>
      <c r="AD783" s="264"/>
      <c r="AE783" s="265"/>
      <c r="AF783" s="264"/>
      <c r="AG783" s="265"/>
      <c r="AH783" s="264"/>
      <c r="AI783" s="265"/>
      <c r="AJ783" s="264"/>
      <c r="AK783" s="265"/>
    </row>
    <row r="784" spans="1:37" x14ac:dyDescent="0.15">
      <c r="A784" s="413">
        <v>18</v>
      </c>
      <c r="B784" s="534"/>
      <c r="C784" s="535"/>
      <c r="D784" s="535"/>
      <c r="E784" s="536"/>
      <c r="F784" s="47" t="str">
        <f>VLOOKUP($H:$H,型材表!$B$5:$I$448,2,0)</f>
        <v>角码</v>
      </c>
      <c r="G784" s="213" t="s">
        <v>446</v>
      </c>
      <c r="H784" s="207" t="str">
        <f>IF(G752=70,"SN55F003",IF(G752=75,"SN55F003",IF(G752=50,"SW50F002","SW55F001")))</f>
        <v>SW55F001</v>
      </c>
      <c r="I784" s="207" t="s">
        <v>1268</v>
      </c>
      <c r="J784" s="214">
        <f>IF(G752=55,V784,IF(G752=551,X784,IF(G752=60,Z784,IF(G752=601,AB784,IF(G752=65,AD784,IF(G752=70,AF784,IF(G752=75,AH784,IF(G752=50,AJ784))))))))</f>
        <v>32.200000000000003</v>
      </c>
      <c r="K784" s="207">
        <v>6</v>
      </c>
      <c r="L784" s="47">
        <f>VLOOKUP($H:$H,型材表!$B$5:$I$448,4,0)</f>
        <v>2.0950000000000002</v>
      </c>
      <c r="M784" s="46">
        <f t="shared" si="136"/>
        <v>0.40475400000000006</v>
      </c>
      <c r="N784" s="72">
        <f>VLOOKUP($H:$H,型材表!$B$5:$I$448,7,0)</f>
        <v>0</v>
      </c>
      <c r="O784" s="46">
        <f t="shared" si="137"/>
        <v>0</v>
      </c>
      <c r="P784" s="100">
        <f>VLOOKUP($H:$H,型材表!$B$5:$I$448,5,0)</f>
        <v>0.125</v>
      </c>
      <c r="Q784" s="100" t="str">
        <f>VLOOKUP($H:$H,型材表!$B$5:$I$448,6,0)</f>
        <v>阳极氧化铝型材</v>
      </c>
      <c r="R784" s="210"/>
      <c r="S784" s="50"/>
      <c r="T784" s="459"/>
      <c r="U784" s="374" t="s">
        <v>1330</v>
      </c>
      <c r="V784" s="259">
        <f>19.5-1+14.7-1</f>
        <v>32.200000000000003</v>
      </c>
      <c r="X784" s="264">
        <f>19.5-1+10.9-1</f>
        <v>28.4</v>
      </c>
      <c r="Y784" s="265"/>
      <c r="Z784" s="264">
        <f>19.5-1+14.7-1</f>
        <v>32.200000000000003</v>
      </c>
      <c r="AA784" s="265"/>
      <c r="AB784" s="264">
        <f>19.5-1+10.9-1</f>
        <v>28.4</v>
      </c>
      <c r="AC784" s="265"/>
      <c r="AD784" s="264">
        <f>19.5-1+14.7-1</f>
        <v>32.200000000000003</v>
      </c>
      <c r="AE784" s="265"/>
      <c r="AF784" s="264">
        <f>19.5-1+14.7-1</f>
        <v>32.200000000000003</v>
      </c>
      <c r="AG784" s="265"/>
      <c r="AH784" s="264">
        <f>19.5-1+14.7-1</f>
        <v>32.200000000000003</v>
      </c>
      <c r="AI784" s="265"/>
      <c r="AJ784" s="264">
        <f>15-1</f>
        <v>14</v>
      </c>
      <c r="AK784" s="265"/>
    </row>
    <row r="785" spans="1:37" s="229" customFormat="1" x14ac:dyDescent="0.15">
      <c r="A785" s="413">
        <v>19</v>
      </c>
      <c r="B785" s="534"/>
      <c r="C785" s="535"/>
      <c r="D785" s="535"/>
      <c r="E785" s="536"/>
      <c r="F785" s="47" t="str">
        <f>VLOOKUP($H:$H,型材表!$B$5:$I$448,2,0)</f>
        <v>角码</v>
      </c>
      <c r="G785" s="230" t="s">
        <v>447</v>
      </c>
      <c r="H785" s="222" t="str">
        <f>IF(G752=70,"SW70F001",IF(G752=75,"SW70F001",IF(G752=50,"SW50F003","SN55MF004")))</f>
        <v>SN55MF004</v>
      </c>
      <c r="I785" s="207" t="s">
        <v>995</v>
      </c>
      <c r="J785" s="214">
        <f>IF(G752=55,V785,IF(G752=551,X785,IF(G752=60,Z785,IF(G752=601,AB785,IF(G752=65,AD785,IF(G752=70,AF785,IF(G752=75,AH785,IF(G752=50,AJ785))))))))</f>
        <v>30.2</v>
      </c>
      <c r="K785" s="207">
        <v>8</v>
      </c>
      <c r="L785" s="47">
        <f>VLOOKUP($H:$H,型材表!$B$5:$I$448,4,0)</f>
        <v>2.996</v>
      </c>
      <c r="M785" s="46">
        <f t="shared" si="136"/>
        <v>0.72383359999999997</v>
      </c>
      <c r="N785" s="72">
        <f>VLOOKUP($H:$H,型材表!$B$5:$I$448,7,0)</f>
        <v>0</v>
      </c>
      <c r="O785" s="46">
        <f t="shared" si="137"/>
        <v>0</v>
      </c>
      <c r="P785" s="100">
        <f>VLOOKUP($H:$H,型材表!$B$5:$I$448,5,0)</f>
        <v>0.125</v>
      </c>
      <c r="Q785" s="100" t="str">
        <f>VLOOKUP($H:$H,型材表!$B$5:$I$448,6,0)</f>
        <v>阳极氧化铝型材</v>
      </c>
      <c r="R785" s="227"/>
      <c r="S785" s="228"/>
      <c r="T785" s="467"/>
      <c r="U785" s="375" t="s">
        <v>1331</v>
      </c>
      <c r="V785" s="266">
        <f>8-1+24.2-1</f>
        <v>30.2</v>
      </c>
      <c r="W785" s="266"/>
      <c r="X785" s="267">
        <f>4.2-1+24.2-1</f>
        <v>26.4</v>
      </c>
      <c r="Y785" s="268"/>
      <c r="Z785" s="267">
        <f>8-1+24.2-1</f>
        <v>30.2</v>
      </c>
      <c r="AA785" s="268"/>
      <c r="AB785" s="267">
        <f>4.2-1+24.2-1</f>
        <v>26.4</v>
      </c>
      <c r="AC785" s="268"/>
      <c r="AD785" s="267">
        <f>8-1+24.2-1</f>
        <v>30.2</v>
      </c>
      <c r="AE785" s="268"/>
      <c r="AF785" s="267">
        <f>7.3-1+24-1</f>
        <v>29.3</v>
      </c>
      <c r="AG785" s="268"/>
      <c r="AH785" s="267">
        <f>7.3-1+24-1</f>
        <v>29.3</v>
      </c>
      <c r="AI785" s="268"/>
      <c r="AJ785" s="267">
        <f>18.9-1</f>
        <v>17.899999999999999</v>
      </c>
      <c r="AK785" s="268"/>
    </row>
    <row r="786" spans="1:37" x14ac:dyDescent="0.15">
      <c r="A786" s="413">
        <v>20</v>
      </c>
      <c r="B786" s="534"/>
      <c r="C786" s="535"/>
      <c r="D786" s="535"/>
      <c r="E786" s="536"/>
      <c r="F786" s="47" t="str">
        <f>VLOOKUP($H:$H,型材表!$B$5:$I$448,2,0)</f>
        <v>中梃角码</v>
      </c>
      <c r="G786" s="51"/>
      <c r="H786" s="45" t="str">
        <f>IF(G752=50,"SW50F004","SN55F001")</f>
        <v>SN55F001</v>
      </c>
      <c r="I786" s="207" t="s">
        <v>1269</v>
      </c>
      <c r="J786" s="52">
        <f>IF(G752=55,V786,IF(G752=551,X786,IF(G752=60,Z786,IF(G752=601,AB786,IF(G752=65,AD786,IF(G752=70,AF786,IF(G752=75,AH786,IF(G752=50,AJ786))))))))</f>
        <v>18.5</v>
      </c>
      <c r="K786" s="45">
        <v>4</v>
      </c>
      <c r="L786" s="47">
        <f>VLOOKUP($H:$H,型材表!$B$5:$I$448,4,0)</f>
        <v>1.4730000000000001</v>
      </c>
      <c r="M786" s="46">
        <f t="shared" si="136"/>
        <v>0.10900200000000002</v>
      </c>
      <c r="N786" s="72">
        <f>VLOOKUP($H:$H,型材表!$B$5:$I$448,7,0)</f>
        <v>0</v>
      </c>
      <c r="O786" s="46">
        <f t="shared" si="137"/>
        <v>0</v>
      </c>
      <c r="P786" s="100">
        <f>VLOOKUP($H:$H,型材表!$B$5:$I$448,5,0)</f>
        <v>0.125</v>
      </c>
      <c r="Q786" s="100" t="str">
        <f>VLOOKUP($H:$H,型材表!$B$5:$I$448,6,0)</f>
        <v>阳极氧化铝型材</v>
      </c>
      <c r="R786" s="49"/>
      <c r="S786" s="50"/>
      <c r="T786" s="459"/>
      <c r="U786" s="374" t="s">
        <v>1332</v>
      </c>
      <c r="V786" s="259">
        <f>19.5-1</f>
        <v>18.5</v>
      </c>
      <c r="X786" s="264">
        <f>19.5-1</f>
        <v>18.5</v>
      </c>
      <c r="Y786" s="265"/>
      <c r="Z786" s="286">
        <f>19.5-1</f>
        <v>18.5</v>
      </c>
      <c r="AA786" s="265"/>
      <c r="AB786" s="264">
        <f>19.5-1</f>
        <v>18.5</v>
      </c>
      <c r="AC786" s="265"/>
      <c r="AD786" s="286">
        <f>19.5-1</f>
        <v>18.5</v>
      </c>
      <c r="AE786" s="265"/>
      <c r="AF786" s="286">
        <f>19.5-1</f>
        <v>18.5</v>
      </c>
      <c r="AG786" s="265"/>
      <c r="AH786" s="286">
        <f>19.5-1</f>
        <v>18.5</v>
      </c>
      <c r="AI786" s="265"/>
      <c r="AJ786" s="264">
        <f>13.2-1</f>
        <v>12.2</v>
      </c>
      <c r="AK786" s="265"/>
    </row>
    <row r="787" spans="1:37" x14ac:dyDescent="0.15">
      <c r="A787" s="413">
        <v>21</v>
      </c>
      <c r="B787" s="534"/>
      <c r="C787" s="535"/>
      <c r="D787" s="535"/>
      <c r="E787" s="536"/>
      <c r="F787" s="47" t="str">
        <f>VLOOKUP($H:$H,型材表!$B$5:$I$448,2,0)</f>
        <v>中梃角码</v>
      </c>
      <c r="G787" s="213"/>
      <c r="H787" s="207" t="str">
        <f>IF(G752=501,"SN55BF001",IF(G752=601,"SN55BF001",IF(G752=70,"SN70F001",IF(G752=75,"SN70F001","SN55F002"))))</f>
        <v>SN55F002</v>
      </c>
      <c r="I787" s="207" t="s">
        <v>1272</v>
      </c>
      <c r="J787" s="214">
        <f>IF(G752=55,V787,IF(G752=551,X787,IF(G752=60,Z787,IF(G752=601,AB787,IF(G752=65,AD787,IF(G752=70,AF787,IF(G752=75,AH787,IF(G752=50,AJ787))))))))</f>
        <v>13.5</v>
      </c>
      <c r="K787" s="207">
        <v>4</v>
      </c>
      <c r="L787" s="47">
        <f>VLOOKUP($H:$H,型材表!$B$5:$I$448,4,0)</f>
        <v>0.90400000000000003</v>
      </c>
      <c r="M787" s="46">
        <f t="shared" si="136"/>
        <v>4.8816000000000005E-2</v>
      </c>
      <c r="N787" s="72">
        <f>VLOOKUP($H:$H,型材表!$B$5:$I$448,7,0)</f>
        <v>0</v>
      </c>
      <c r="O787" s="46">
        <f t="shared" si="137"/>
        <v>0</v>
      </c>
      <c r="P787" s="100">
        <f>VLOOKUP($H:$H,型材表!$B$5:$I$448,5,0)</f>
        <v>0.125</v>
      </c>
      <c r="Q787" s="100" t="str">
        <f>VLOOKUP($H:$H,型材表!$B$5:$I$448,6,0)</f>
        <v>阳极氧化铝型材</v>
      </c>
      <c r="R787" s="210"/>
      <c r="S787" s="50"/>
      <c r="T787" s="459"/>
      <c r="U787" s="374" t="s">
        <v>1333</v>
      </c>
      <c r="V787" s="259">
        <f>14.5-1</f>
        <v>13.5</v>
      </c>
      <c r="X787" s="264">
        <f>10.7-1</f>
        <v>9.6999999999999993</v>
      </c>
      <c r="Y787" s="265"/>
      <c r="Z787" s="286">
        <f>14.5-1</f>
        <v>13.5</v>
      </c>
      <c r="AA787" s="265"/>
      <c r="AB787" s="264">
        <f>10.7-1</f>
        <v>9.6999999999999993</v>
      </c>
      <c r="AC787" s="265"/>
      <c r="AD787" s="286">
        <f>14.5-1</f>
        <v>13.5</v>
      </c>
      <c r="AE787" s="265"/>
      <c r="AF787" s="286">
        <f>14.5-1</f>
        <v>13.5</v>
      </c>
      <c r="AG787" s="265"/>
      <c r="AH787" s="286">
        <f>14.5-1</f>
        <v>13.5</v>
      </c>
      <c r="AI787" s="265"/>
      <c r="AJ787" s="264"/>
      <c r="AK787" s="265"/>
    </row>
    <row r="788" spans="1:37" x14ac:dyDescent="0.15">
      <c r="A788" s="413">
        <v>22</v>
      </c>
      <c r="B788" s="534"/>
      <c r="C788" s="535"/>
      <c r="D788" s="535"/>
      <c r="E788" s="536"/>
      <c r="F788" s="306"/>
      <c r="G788" s="213"/>
      <c r="H788" s="207"/>
      <c r="I788" s="207"/>
      <c r="J788" s="214"/>
      <c r="K788" s="207"/>
      <c r="L788" s="306"/>
      <c r="M788" s="208"/>
      <c r="N788" s="209"/>
      <c r="O788" s="208"/>
      <c r="P788" s="307"/>
      <c r="Q788" s="100"/>
      <c r="R788" s="210"/>
      <c r="S788" s="50"/>
      <c r="T788" s="459"/>
      <c r="X788" s="264"/>
      <c r="Y788" s="265"/>
      <c r="Z788" s="264"/>
      <c r="AA788" s="265"/>
      <c r="AB788" s="264"/>
      <c r="AC788" s="265"/>
      <c r="AD788" s="264"/>
      <c r="AE788" s="265"/>
      <c r="AF788" s="264"/>
      <c r="AG788" s="265"/>
      <c r="AH788" s="264"/>
      <c r="AI788" s="265"/>
      <c r="AJ788" s="264"/>
      <c r="AK788" s="265"/>
    </row>
    <row r="789" spans="1:37" x14ac:dyDescent="0.15">
      <c r="A789" s="413">
        <v>23</v>
      </c>
      <c r="B789" s="534"/>
      <c r="C789" s="535"/>
      <c r="D789" s="535"/>
      <c r="E789" s="536"/>
      <c r="F789" s="306"/>
      <c r="G789" s="213"/>
      <c r="H789" s="207"/>
      <c r="I789" s="207"/>
      <c r="J789" s="214"/>
      <c r="K789" s="207"/>
      <c r="L789" s="306"/>
      <c r="M789" s="208"/>
      <c r="N789" s="209"/>
      <c r="O789" s="208"/>
      <c r="P789" s="307"/>
      <c r="Q789" s="100"/>
      <c r="R789" s="210"/>
      <c r="S789" s="50"/>
      <c r="T789" s="459"/>
      <c r="X789" s="264"/>
      <c r="Y789" s="265"/>
      <c r="Z789" s="264"/>
      <c r="AA789" s="265"/>
      <c r="AB789" s="264"/>
      <c r="AC789" s="265"/>
      <c r="AD789" s="264"/>
      <c r="AE789" s="265"/>
      <c r="AF789" s="264"/>
      <c r="AG789" s="265"/>
      <c r="AH789" s="264"/>
      <c r="AI789" s="265"/>
      <c r="AJ789" s="264"/>
      <c r="AK789" s="265"/>
    </row>
    <row r="790" spans="1:37" x14ac:dyDescent="0.15">
      <c r="A790" s="413">
        <v>24</v>
      </c>
      <c r="B790" s="534"/>
      <c r="C790" s="535"/>
      <c r="D790" s="535"/>
      <c r="E790" s="536"/>
      <c r="F790" s="306"/>
      <c r="G790" s="213"/>
      <c r="H790" s="207"/>
      <c r="I790" s="207"/>
      <c r="J790" s="214"/>
      <c r="K790" s="207"/>
      <c r="L790" s="306"/>
      <c r="M790" s="208"/>
      <c r="N790" s="209"/>
      <c r="O790" s="208"/>
      <c r="P790" s="307"/>
      <c r="Q790" s="100"/>
      <c r="R790" s="210"/>
      <c r="S790" s="50"/>
      <c r="T790" s="459"/>
      <c r="X790" s="264"/>
      <c r="Y790" s="265"/>
      <c r="Z790" s="264"/>
      <c r="AA790" s="265"/>
      <c r="AB790" s="264"/>
      <c r="AC790" s="265"/>
      <c r="AD790" s="264"/>
      <c r="AE790" s="265"/>
      <c r="AF790" s="264"/>
      <c r="AG790" s="265"/>
      <c r="AH790" s="264"/>
      <c r="AI790" s="265"/>
      <c r="AJ790" s="264"/>
      <c r="AK790" s="265"/>
    </row>
    <row r="791" spans="1:37" x14ac:dyDescent="0.15">
      <c r="A791" s="413">
        <v>25</v>
      </c>
      <c r="B791" s="534"/>
      <c r="C791" s="535"/>
      <c r="D791" s="535"/>
      <c r="E791" s="536"/>
      <c r="F791" s="306"/>
      <c r="G791" s="213"/>
      <c r="H791" s="207"/>
      <c r="I791" s="207"/>
      <c r="J791" s="214"/>
      <c r="K791" s="207"/>
      <c r="L791" s="306"/>
      <c r="M791" s="208"/>
      <c r="N791" s="209"/>
      <c r="O791" s="208"/>
      <c r="P791" s="307"/>
      <c r="Q791" s="100"/>
      <c r="R791" s="210"/>
      <c r="S791" s="50"/>
      <c r="T791" s="459"/>
      <c r="X791" s="264"/>
      <c r="Y791" s="265"/>
      <c r="Z791" s="264"/>
      <c r="AA791" s="265"/>
      <c r="AB791" s="264"/>
      <c r="AC791" s="265"/>
      <c r="AD791" s="264"/>
      <c r="AE791" s="265"/>
      <c r="AF791" s="264"/>
      <c r="AG791" s="265"/>
      <c r="AH791" s="264"/>
      <c r="AI791" s="265"/>
      <c r="AJ791" s="264"/>
      <c r="AK791" s="265"/>
    </row>
    <row r="792" spans="1:37" x14ac:dyDescent="0.15">
      <c r="A792" s="413">
        <v>26</v>
      </c>
      <c r="B792" s="534"/>
      <c r="C792" s="535"/>
      <c r="D792" s="535"/>
      <c r="E792" s="536"/>
      <c r="F792" s="306"/>
      <c r="G792" s="213"/>
      <c r="H792" s="207"/>
      <c r="I792" s="207"/>
      <c r="J792" s="214"/>
      <c r="K792" s="207"/>
      <c r="L792" s="306"/>
      <c r="M792" s="208"/>
      <c r="N792" s="209"/>
      <c r="O792" s="208"/>
      <c r="P792" s="307"/>
      <c r="Q792" s="307"/>
      <c r="R792" s="210"/>
      <c r="S792" s="50"/>
      <c r="T792" s="459"/>
      <c r="X792" s="264"/>
      <c r="Y792" s="265"/>
      <c r="Z792" s="264"/>
      <c r="AA792" s="265"/>
      <c r="AB792" s="264"/>
      <c r="AC792" s="265"/>
      <c r="AD792" s="264"/>
      <c r="AE792" s="265"/>
      <c r="AF792" s="264"/>
      <c r="AG792" s="265"/>
      <c r="AH792" s="264"/>
      <c r="AI792" s="265"/>
      <c r="AJ792" s="264"/>
      <c r="AK792" s="265"/>
    </row>
    <row r="793" spans="1:37" x14ac:dyDescent="0.15">
      <c r="A793" s="413">
        <v>27</v>
      </c>
      <c r="B793" s="537"/>
      <c r="C793" s="538"/>
      <c r="D793" s="538"/>
      <c r="E793" s="539"/>
      <c r="F793" s="306"/>
      <c r="G793" s="213"/>
      <c r="H793" s="207"/>
      <c r="I793" s="207"/>
      <c r="J793" s="214"/>
      <c r="K793" s="207"/>
      <c r="L793" s="306"/>
      <c r="M793" s="208"/>
      <c r="N793" s="209"/>
      <c r="O793" s="208"/>
      <c r="P793" s="307"/>
      <c r="Q793" s="100"/>
      <c r="R793" s="210"/>
      <c r="S793" s="50"/>
      <c r="T793" s="459"/>
      <c r="X793" s="264"/>
      <c r="Y793" s="265"/>
      <c r="Z793" s="264"/>
      <c r="AA793" s="265"/>
      <c r="AB793" s="264"/>
      <c r="AC793" s="265"/>
      <c r="AD793" s="264"/>
      <c r="AE793" s="265"/>
      <c r="AF793" s="264"/>
      <c r="AG793" s="265"/>
      <c r="AH793" s="264"/>
      <c r="AI793" s="265"/>
      <c r="AJ793" s="264"/>
      <c r="AK793" s="265"/>
    </row>
    <row r="794" spans="1:37" ht="13.5" customHeight="1" x14ac:dyDescent="0.15">
      <c r="A794" s="542" t="s">
        <v>975</v>
      </c>
      <c r="B794" s="543"/>
      <c r="C794" s="543"/>
      <c r="D794" s="543"/>
      <c r="E794" s="543"/>
      <c r="F794" s="543"/>
      <c r="G794" s="543"/>
      <c r="H794" s="543"/>
      <c r="I794" s="543"/>
      <c r="J794" s="543"/>
      <c r="K794" s="543"/>
      <c r="L794" s="544"/>
      <c r="M794" s="224">
        <f>SUMIF($Q$767:$Q$793,A794,$M$767:$M$793)</f>
        <v>20.426799799999998</v>
      </c>
      <c r="N794" s="364"/>
      <c r="O794" s="46"/>
      <c r="P794" s="365"/>
      <c r="Q794" s="360"/>
      <c r="R794" s="60"/>
      <c r="S794" s="50"/>
      <c r="T794" s="459"/>
      <c r="X794" s="264"/>
      <c r="Y794" s="265"/>
      <c r="Z794" s="264"/>
      <c r="AA794" s="265"/>
      <c r="AB794" s="264"/>
      <c r="AC794" s="265"/>
      <c r="AD794" s="264"/>
      <c r="AE794" s="265"/>
      <c r="AF794" s="264"/>
      <c r="AG794" s="265"/>
      <c r="AH794" s="264"/>
      <c r="AI794" s="265"/>
      <c r="AJ794" s="264"/>
      <c r="AK794" s="265"/>
    </row>
    <row r="795" spans="1:37" ht="13.5" customHeight="1" x14ac:dyDescent="0.15">
      <c r="A795" s="542" t="s">
        <v>976</v>
      </c>
      <c r="B795" s="543"/>
      <c r="C795" s="543"/>
      <c r="D795" s="543"/>
      <c r="E795" s="543"/>
      <c r="F795" s="543"/>
      <c r="G795" s="543"/>
      <c r="H795" s="543"/>
      <c r="I795" s="543"/>
      <c r="J795" s="543"/>
      <c r="K795" s="543"/>
      <c r="L795" s="544"/>
      <c r="M795" s="224">
        <f>SUMIF($Q$767:$Q$793,A795,$M$767:$M$793)</f>
        <v>2.0332953200000001</v>
      </c>
      <c r="N795" s="364"/>
      <c r="O795" s="46"/>
      <c r="P795" s="365"/>
      <c r="Q795" s="360"/>
      <c r="R795" s="60"/>
      <c r="S795" s="50"/>
      <c r="T795" s="459"/>
      <c r="X795" s="264"/>
      <c r="Y795" s="265"/>
      <c r="Z795" s="264"/>
      <c r="AA795" s="265"/>
      <c r="AB795" s="264"/>
      <c r="AC795" s="265"/>
      <c r="AD795" s="264"/>
      <c r="AE795" s="265"/>
      <c r="AF795" s="264"/>
      <c r="AG795" s="265"/>
      <c r="AH795" s="264"/>
      <c r="AI795" s="265"/>
      <c r="AJ795" s="264"/>
      <c r="AK795" s="265"/>
    </row>
    <row r="796" spans="1:37" ht="13.5" customHeight="1" x14ac:dyDescent="0.15">
      <c r="A796" s="542" t="s">
        <v>977</v>
      </c>
      <c r="B796" s="543"/>
      <c r="C796" s="543"/>
      <c r="D796" s="543"/>
      <c r="E796" s="543"/>
      <c r="F796" s="543"/>
      <c r="G796" s="543"/>
      <c r="H796" s="543"/>
      <c r="I796" s="543"/>
      <c r="J796" s="543"/>
      <c r="K796" s="543"/>
      <c r="L796" s="544"/>
      <c r="M796" s="224">
        <f>SUMIF($Q$767:$Q$793,A796,$M$767:$M$793)</f>
        <v>1.2864055999999999</v>
      </c>
      <c r="N796" s="364"/>
      <c r="O796" s="46"/>
      <c r="P796" s="365"/>
      <c r="Q796" s="360"/>
      <c r="R796" s="60"/>
      <c r="S796" s="50"/>
      <c r="T796" s="459"/>
      <c r="X796" s="264"/>
      <c r="Y796" s="265"/>
      <c r="Z796" s="264"/>
      <c r="AA796" s="265"/>
      <c r="AB796" s="264"/>
      <c r="AC796" s="265"/>
      <c r="AD796" s="264"/>
      <c r="AE796" s="265"/>
      <c r="AF796" s="264"/>
      <c r="AG796" s="265"/>
      <c r="AH796" s="264"/>
      <c r="AI796" s="265"/>
      <c r="AJ796" s="264"/>
      <c r="AK796" s="265"/>
    </row>
    <row r="797" spans="1:37" ht="13.5" customHeight="1" x14ac:dyDescent="0.15">
      <c r="A797" s="552"/>
      <c r="B797" s="557"/>
      <c r="C797" s="557"/>
      <c r="D797" s="553"/>
      <c r="E797" s="552" t="s">
        <v>48</v>
      </c>
      <c r="F797" s="557"/>
      <c r="G797" s="557"/>
      <c r="H797" s="557"/>
      <c r="I797" s="557"/>
      <c r="J797" s="557"/>
      <c r="K797" s="553"/>
      <c r="L797" s="62"/>
      <c r="M797" s="62">
        <f>SUM(M794:M796)</f>
        <v>23.746500719999997</v>
      </c>
      <c r="N797" s="63"/>
      <c r="O797" s="62">
        <f>SUM(O767:O793)</f>
        <v>0</v>
      </c>
      <c r="P797" s="63"/>
      <c r="Q797" s="337"/>
      <c r="R797" s="64"/>
      <c r="S797" s="64"/>
      <c r="T797" s="460"/>
      <c r="X797" s="264"/>
      <c r="Y797" s="265"/>
      <c r="Z797" s="264"/>
      <c r="AA797" s="265"/>
      <c r="AB797" s="264"/>
      <c r="AC797" s="265"/>
      <c r="AD797" s="264"/>
      <c r="AE797" s="265"/>
      <c r="AF797" s="264"/>
      <c r="AG797" s="265"/>
      <c r="AH797" s="264"/>
      <c r="AI797" s="265"/>
      <c r="AJ797" s="264"/>
      <c r="AK797" s="265"/>
    </row>
    <row r="798" spans="1:37" ht="24" x14ac:dyDescent="0.15">
      <c r="A798" s="65"/>
      <c r="B798" s="560" t="s">
        <v>49</v>
      </c>
      <c r="C798" s="561"/>
      <c r="D798" s="561"/>
      <c r="E798" s="562"/>
      <c r="F798" s="565" t="s">
        <v>26</v>
      </c>
      <c r="G798" s="566"/>
      <c r="H798" s="66" t="s">
        <v>1167</v>
      </c>
      <c r="I798" s="351" t="s">
        <v>1168</v>
      </c>
      <c r="J798" s="66" t="s">
        <v>50</v>
      </c>
      <c r="K798" s="66" t="s">
        <v>51</v>
      </c>
      <c r="L798" s="67" t="s">
        <v>30</v>
      </c>
      <c r="M798" s="66" t="s">
        <v>52</v>
      </c>
      <c r="N798" s="68" t="s">
        <v>53</v>
      </c>
      <c r="O798" s="68" t="s">
        <v>34</v>
      </c>
      <c r="P798" s="69" t="s">
        <v>35</v>
      </c>
      <c r="Q798" s="42"/>
      <c r="R798" s="67"/>
      <c r="S798" s="67"/>
      <c r="T798" s="461"/>
      <c r="V798" s="270" t="s">
        <v>352</v>
      </c>
      <c r="W798" s="270" t="s">
        <v>353</v>
      </c>
      <c r="X798" s="271" t="s">
        <v>352</v>
      </c>
      <c r="Y798" s="272" t="s">
        <v>353</v>
      </c>
      <c r="Z798" s="271" t="s">
        <v>352</v>
      </c>
      <c r="AA798" s="272" t="s">
        <v>353</v>
      </c>
      <c r="AB798" s="271" t="s">
        <v>352</v>
      </c>
      <c r="AC798" s="272" t="s">
        <v>353</v>
      </c>
      <c r="AD798" s="271" t="s">
        <v>352</v>
      </c>
      <c r="AE798" s="272" t="s">
        <v>353</v>
      </c>
      <c r="AF798" s="271" t="s">
        <v>352</v>
      </c>
      <c r="AG798" s="272" t="s">
        <v>353</v>
      </c>
      <c r="AH798" s="271" t="s">
        <v>352</v>
      </c>
      <c r="AI798" s="272" t="s">
        <v>353</v>
      </c>
      <c r="AJ798" s="271" t="s">
        <v>352</v>
      </c>
      <c r="AK798" s="272" t="s">
        <v>353</v>
      </c>
    </row>
    <row r="799" spans="1:37" x14ac:dyDescent="0.15">
      <c r="A799" s="302">
        <v>1</v>
      </c>
      <c r="B799" s="542" t="s">
        <v>133</v>
      </c>
      <c r="C799" s="543"/>
      <c r="D799" s="543"/>
      <c r="E799" s="544"/>
      <c r="F799" s="545" t="s">
        <v>55</v>
      </c>
      <c r="G799" s="547"/>
      <c r="H799" s="45" t="s">
        <v>1311</v>
      </c>
      <c r="I799" s="207" t="s">
        <v>1328</v>
      </c>
      <c r="J799" s="46">
        <f>IF(G752=55,M759-V799,IF(G752=551,M759-X799,IF(G752=60,M759-Z799,IF(G752=601,M759-AB799,IF(G752=65,M759-AD799,IF(G752=70,M759-AF799,IF(G752=75,M759-AH799,IF(G752=50,M759-AJ799))))))))</f>
        <v>395.2</v>
      </c>
      <c r="K799" s="70">
        <f>IF(G752=55,M756-W799,IF(G752=551,M756-Y799,IF(G752=60,M756-AA799,IF(G752=601,M756-AC799,IF(G752=65,M756-AE799,IF(G752=70,M756-AG799,IF(G752=75,M756-AI799,IF(G752=50,M756-AK799))))))))-8</f>
        <v>387.2</v>
      </c>
      <c r="L799" s="70">
        <v>1</v>
      </c>
      <c r="M799" s="46">
        <f>J799*K799*L799/1000000</f>
        <v>0.15302144000000001</v>
      </c>
      <c r="N799" s="46"/>
      <c r="O799" s="46">
        <f>N799*M799</f>
        <v>0</v>
      </c>
      <c r="P799" s="71"/>
      <c r="Q799" s="71"/>
      <c r="R799" s="72"/>
      <c r="S799" s="72"/>
      <c r="T799" s="462" t="s">
        <v>1621</v>
      </c>
      <c r="U799" s="374" t="s">
        <v>1627</v>
      </c>
      <c r="V799" s="259">
        <f t="shared" ref="V799:AE799" si="141">109.9+94.9</f>
        <v>204.8</v>
      </c>
      <c r="W799" s="259">
        <f t="shared" si="141"/>
        <v>204.8</v>
      </c>
      <c r="X799" s="286">
        <f t="shared" si="141"/>
        <v>204.8</v>
      </c>
      <c r="Y799" s="304">
        <f t="shared" si="141"/>
        <v>204.8</v>
      </c>
      <c r="Z799" s="286">
        <f t="shared" si="141"/>
        <v>204.8</v>
      </c>
      <c r="AA799" s="304">
        <f t="shared" si="141"/>
        <v>204.8</v>
      </c>
      <c r="AB799" s="286">
        <f t="shared" si="141"/>
        <v>204.8</v>
      </c>
      <c r="AC799" s="304">
        <f t="shared" si="141"/>
        <v>204.8</v>
      </c>
      <c r="AD799" s="286">
        <f t="shared" si="141"/>
        <v>204.8</v>
      </c>
      <c r="AE799" s="304">
        <f t="shared" si="141"/>
        <v>204.8</v>
      </c>
      <c r="AF799" s="286">
        <f>117.4+102.4</f>
        <v>219.8</v>
      </c>
      <c r="AG799" s="304">
        <f>117.4+102.4</f>
        <v>219.8</v>
      </c>
      <c r="AH799" s="286">
        <f>117.4+102.4</f>
        <v>219.8</v>
      </c>
      <c r="AI799" s="304">
        <f>117.4+102.4</f>
        <v>219.8</v>
      </c>
      <c r="AJ799" s="259">
        <f>98.4+83.1</f>
        <v>181.5</v>
      </c>
      <c r="AK799" s="318">
        <f>98.4+83.1</f>
        <v>181.5</v>
      </c>
    </row>
    <row r="800" spans="1:37" x14ac:dyDescent="0.15">
      <c r="A800" s="238">
        <v>2</v>
      </c>
      <c r="B800" s="542" t="s">
        <v>134</v>
      </c>
      <c r="C800" s="543"/>
      <c r="D800" s="543"/>
      <c r="E800" s="544"/>
      <c r="F800" s="545" t="s">
        <v>135</v>
      </c>
      <c r="G800" s="547"/>
      <c r="H800" s="207" t="s">
        <v>1647</v>
      </c>
      <c r="I800" s="207" t="s">
        <v>1319</v>
      </c>
      <c r="J800" s="208">
        <f>IF(G752=55,M755-V800,IF(G752=551,M755-X800,IF(G752=60,M755-Z800,IF(G752=601,M755-AB800,IF(G752=65,M755-AD800,IF(G752=70,M755-AF800,IF(G752=75,M755-AH800,IF(G752=50,M755-AJ800))))))))</f>
        <v>1130</v>
      </c>
      <c r="K800" s="239">
        <f>IF(G752=55,M757-W800,IF(G752=551,M757-Y800,IF(G752=60,M757-AA800,IF(G752=601,M757-AC800,IF(G752=65,M757-AE800,IF(G752=70,M757-AG800,IF(G752=75,M757-AI800,IF(G752=50,M757-AK800))))))))</f>
        <v>447</v>
      </c>
      <c r="L800" s="239">
        <v>1</v>
      </c>
      <c r="M800" s="46">
        <f>J800*K800*L800/1000000</f>
        <v>0.50510999999999995</v>
      </c>
      <c r="N800" s="208"/>
      <c r="O800" s="46">
        <f t="shared" ref="O800:O801" si="142">N800*M800</f>
        <v>0</v>
      </c>
      <c r="P800" s="240"/>
      <c r="Q800" s="71"/>
      <c r="R800" s="209"/>
      <c r="S800" s="209"/>
      <c r="T800" s="462" t="s">
        <v>1646</v>
      </c>
      <c r="U800" s="374" t="s">
        <v>1628</v>
      </c>
      <c r="V800" s="259">
        <f>35*2</f>
        <v>70</v>
      </c>
      <c r="W800" s="259">
        <f t="shared" ref="W800:AE800" si="143">18+35</f>
        <v>53</v>
      </c>
      <c r="X800" s="286">
        <f>35*2</f>
        <v>70</v>
      </c>
      <c r="Y800" s="304">
        <f t="shared" si="143"/>
        <v>53</v>
      </c>
      <c r="Z800" s="286">
        <f>35*2</f>
        <v>70</v>
      </c>
      <c r="AA800" s="304">
        <f t="shared" si="143"/>
        <v>53</v>
      </c>
      <c r="AB800" s="286">
        <f>35*2</f>
        <v>70</v>
      </c>
      <c r="AC800" s="304">
        <f t="shared" si="143"/>
        <v>53</v>
      </c>
      <c r="AD800" s="286">
        <f>35*2</f>
        <v>70</v>
      </c>
      <c r="AE800" s="304">
        <f t="shared" si="143"/>
        <v>53</v>
      </c>
      <c r="AF800" s="286">
        <f>35*2</f>
        <v>70</v>
      </c>
      <c r="AG800" s="304">
        <f>20+35</f>
        <v>55</v>
      </c>
      <c r="AH800" s="286">
        <f>35*2</f>
        <v>70</v>
      </c>
      <c r="AI800" s="304">
        <f>20+35</f>
        <v>55</v>
      </c>
      <c r="AJ800" s="264">
        <f>31.3*2</f>
        <v>62.6</v>
      </c>
      <c r="AK800" s="318">
        <f>16+31.3</f>
        <v>47.3</v>
      </c>
    </row>
    <row r="801" spans="1:37" x14ac:dyDescent="0.15">
      <c r="A801" s="302">
        <v>3</v>
      </c>
      <c r="B801" s="542" t="s">
        <v>134</v>
      </c>
      <c r="C801" s="543"/>
      <c r="D801" s="543"/>
      <c r="E801" s="544"/>
      <c r="F801" s="545" t="s">
        <v>145</v>
      </c>
      <c r="G801" s="547"/>
      <c r="H801" s="545" t="s">
        <v>1329</v>
      </c>
      <c r="I801" s="547"/>
      <c r="J801" s="45"/>
      <c r="K801" s="45"/>
      <c r="L801" s="70">
        <v>1</v>
      </c>
      <c r="M801" s="46">
        <f>3.14*(M758-35-8)*(M758-35-8)/2/1000000</f>
        <v>0.48709092999999998</v>
      </c>
      <c r="N801" s="46"/>
      <c r="O801" s="46">
        <f t="shared" si="142"/>
        <v>0</v>
      </c>
      <c r="P801" s="71"/>
      <c r="Q801" s="71"/>
      <c r="R801" s="72"/>
      <c r="S801" s="72"/>
      <c r="T801" s="462"/>
      <c r="X801" s="264"/>
      <c r="Y801" s="265"/>
      <c r="Z801" s="264"/>
      <c r="AA801" s="265"/>
      <c r="AB801" s="264"/>
      <c r="AC801" s="265"/>
      <c r="AD801" s="264"/>
      <c r="AE801" s="265"/>
      <c r="AF801" s="264"/>
      <c r="AG801" s="265"/>
      <c r="AH801" s="264"/>
      <c r="AI801" s="265"/>
      <c r="AJ801" s="264"/>
      <c r="AK801" s="265"/>
    </row>
    <row r="802" spans="1:37" x14ac:dyDescent="0.15">
      <c r="A802" s="414"/>
      <c r="B802" s="446"/>
      <c r="C802" s="447"/>
      <c r="D802" s="447"/>
      <c r="E802" s="448"/>
      <c r="F802" s="434"/>
      <c r="G802" s="436"/>
      <c r="H802" s="434"/>
      <c r="I802" s="436"/>
      <c r="J802" s="207"/>
      <c r="K802" s="207"/>
      <c r="L802" s="239"/>
      <c r="M802" s="208"/>
      <c r="N802" s="208"/>
      <c r="O802" s="208"/>
      <c r="P802" s="240"/>
      <c r="Q802" s="240"/>
      <c r="R802" s="209"/>
      <c r="S802" s="209"/>
      <c r="T802" s="462"/>
      <c r="X802" s="264"/>
      <c r="Y802" s="265"/>
      <c r="Z802" s="264"/>
      <c r="AA802" s="265"/>
      <c r="AB802" s="265"/>
      <c r="AC802" s="265"/>
      <c r="AD802" s="265"/>
      <c r="AE802" s="265"/>
      <c r="AF802" s="265"/>
      <c r="AG802" s="265"/>
      <c r="AH802" s="265"/>
      <c r="AI802" s="265"/>
      <c r="AJ802" s="265"/>
      <c r="AK802" s="265"/>
    </row>
    <row r="803" spans="1:37" x14ac:dyDescent="0.15">
      <c r="A803" s="414"/>
      <c r="B803" s="446"/>
      <c r="C803" s="447"/>
      <c r="D803" s="447"/>
      <c r="E803" s="448"/>
      <c r="F803" s="434"/>
      <c r="G803" s="436"/>
      <c r="H803" s="434"/>
      <c r="I803" s="436"/>
      <c r="J803" s="207"/>
      <c r="K803" s="207"/>
      <c r="L803" s="239"/>
      <c r="M803" s="208"/>
      <c r="N803" s="208"/>
      <c r="O803" s="208"/>
      <c r="P803" s="240"/>
      <c r="Q803" s="240"/>
      <c r="R803" s="209"/>
      <c r="S803" s="209"/>
      <c r="T803" s="462"/>
      <c r="X803" s="264"/>
      <c r="Y803" s="265"/>
      <c r="Z803" s="264"/>
      <c r="AA803" s="265"/>
      <c r="AB803" s="265"/>
      <c r="AC803" s="265"/>
      <c r="AD803" s="265"/>
      <c r="AE803" s="265"/>
      <c r="AF803" s="265"/>
      <c r="AG803" s="265"/>
      <c r="AH803" s="265"/>
      <c r="AI803" s="265"/>
      <c r="AJ803" s="265"/>
      <c r="AK803" s="265"/>
    </row>
    <row r="804" spans="1:37" x14ac:dyDescent="0.15">
      <c r="A804" s="302"/>
      <c r="B804" s="542"/>
      <c r="C804" s="543"/>
      <c r="D804" s="543"/>
      <c r="E804" s="544"/>
      <c r="F804" s="545"/>
      <c r="G804" s="547"/>
      <c r="H804" s="45"/>
      <c r="I804" s="207"/>
      <c r="J804" s="46"/>
      <c r="K804" s="302"/>
      <c r="L804" s="70"/>
      <c r="M804" s="46"/>
      <c r="N804" s="46"/>
      <c r="O804" s="46"/>
      <c r="P804" s="48"/>
      <c r="Q804" s="48"/>
      <c r="R804" s="73"/>
      <c r="S804" s="73"/>
      <c r="T804" s="463"/>
      <c r="X804" s="264"/>
      <c r="Y804" s="265"/>
      <c r="Z804" s="264"/>
      <c r="AA804" s="265"/>
    </row>
    <row r="805" spans="1:37" x14ac:dyDescent="0.15">
      <c r="A805" s="74"/>
      <c r="B805" s="552"/>
      <c r="C805" s="557"/>
      <c r="D805" s="557"/>
      <c r="E805" s="553"/>
      <c r="F805" s="554" t="s">
        <v>56</v>
      </c>
      <c r="G805" s="554"/>
      <c r="H805" s="554"/>
      <c r="I805" s="579"/>
      <c r="J805" s="570"/>
      <c r="K805" s="570"/>
      <c r="L805" s="554"/>
      <c r="M805" s="62">
        <f>SUM(M799:M804)</f>
        <v>1.1452223699999999</v>
      </c>
      <c r="N805" s="300"/>
      <c r="O805" s="62">
        <f>SUM(O799:O804)</f>
        <v>0</v>
      </c>
      <c r="P805" s="63" t="s">
        <v>57</v>
      </c>
      <c r="Q805" s="337"/>
      <c r="R805" s="64"/>
      <c r="S805" s="64"/>
      <c r="T805" s="460"/>
    </row>
    <row r="806" spans="1:37" ht="24" x14ac:dyDescent="0.15">
      <c r="A806" s="65"/>
      <c r="B806" s="560" t="s">
        <v>58</v>
      </c>
      <c r="C806" s="561"/>
      <c r="D806" s="561"/>
      <c r="E806" s="562"/>
      <c r="F806" s="565" t="s">
        <v>26</v>
      </c>
      <c r="G806" s="566"/>
      <c r="H806" s="66" t="s">
        <v>59</v>
      </c>
      <c r="I806" s="351"/>
      <c r="J806" s="66" t="s">
        <v>60</v>
      </c>
      <c r="K806" s="66" t="s">
        <v>6</v>
      </c>
      <c r="L806" s="67" t="s">
        <v>61</v>
      </c>
      <c r="M806" s="66" t="s">
        <v>30</v>
      </c>
      <c r="N806" s="68" t="s">
        <v>62</v>
      </c>
      <c r="O806" s="68" t="s">
        <v>34</v>
      </c>
      <c r="P806" s="69" t="s">
        <v>57</v>
      </c>
      <c r="Q806" s="42"/>
      <c r="R806" s="67"/>
      <c r="S806" s="67"/>
      <c r="T806" s="461"/>
    </row>
    <row r="807" spans="1:37" ht="25.5" customHeight="1" x14ac:dyDescent="0.15">
      <c r="A807" s="302">
        <v>1</v>
      </c>
      <c r="B807" s="542"/>
      <c r="C807" s="543"/>
      <c r="D807" s="543"/>
      <c r="E807" s="544"/>
      <c r="F807" s="545" t="s">
        <v>872</v>
      </c>
      <c r="G807" s="547"/>
      <c r="H807" s="45"/>
      <c r="I807" s="207"/>
      <c r="J807" s="45"/>
      <c r="K807" s="46" t="str">
        <f>VLOOKUP($F:$F,材料单价表!$B$3:$G$42,4,0)</f>
        <v>套</v>
      </c>
      <c r="L807" s="72"/>
      <c r="M807" s="46">
        <v>2</v>
      </c>
      <c r="N807" s="46">
        <f>VLOOKUP($F:$F,材料单价表!$B$3:$G$42,5,0)</f>
        <v>0</v>
      </c>
      <c r="O807" s="46">
        <f t="shared" ref="O807" si="144">N807*M807</f>
        <v>0</v>
      </c>
      <c r="P807" s="48"/>
      <c r="Q807" s="48"/>
      <c r="R807" s="73"/>
      <c r="S807" s="73"/>
      <c r="T807" s="463"/>
    </row>
    <row r="808" spans="1:37" x14ac:dyDescent="0.15">
      <c r="A808" s="74"/>
      <c r="B808" s="552"/>
      <c r="C808" s="557"/>
      <c r="D808" s="557"/>
      <c r="E808" s="553"/>
      <c r="F808" s="554" t="s">
        <v>64</v>
      </c>
      <c r="G808" s="554"/>
      <c r="H808" s="554"/>
      <c r="I808" s="579"/>
      <c r="J808" s="570"/>
      <c r="K808" s="570"/>
      <c r="L808" s="554"/>
      <c r="M808" s="62">
        <f>M807</f>
        <v>2</v>
      </c>
      <c r="N808" s="300"/>
      <c r="O808" s="62">
        <f>SUM(O807:O807)</f>
        <v>0</v>
      </c>
      <c r="P808" s="63" t="s">
        <v>57</v>
      </c>
      <c r="Q808" s="337"/>
      <c r="R808" s="64"/>
      <c r="S808" s="64"/>
      <c r="T808" s="460"/>
    </row>
    <row r="809" spans="1:37" ht="24" x14ac:dyDescent="0.15">
      <c r="A809" s="65"/>
      <c r="B809" s="560" t="s">
        <v>65</v>
      </c>
      <c r="C809" s="561"/>
      <c r="D809" s="561"/>
      <c r="E809" s="562"/>
      <c r="F809" s="565" t="s">
        <v>26</v>
      </c>
      <c r="G809" s="566"/>
      <c r="H809" s="66" t="s">
        <v>59</v>
      </c>
      <c r="I809" s="351"/>
      <c r="J809" s="66" t="s">
        <v>60</v>
      </c>
      <c r="K809" s="66" t="s">
        <v>6</v>
      </c>
      <c r="L809" s="67" t="s">
        <v>61</v>
      </c>
      <c r="M809" s="66" t="s">
        <v>30</v>
      </c>
      <c r="N809" s="68" t="s">
        <v>62</v>
      </c>
      <c r="O809" s="68" t="s">
        <v>34</v>
      </c>
      <c r="P809" s="69" t="s">
        <v>57</v>
      </c>
      <c r="Q809" s="42"/>
      <c r="R809" s="67"/>
      <c r="S809" s="67"/>
      <c r="T809" s="461"/>
    </row>
    <row r="810" spans="1:37" ht="13.5" customHeight="1" x14ac:dyDescent="0.15">
      <c r="A810" s="76">
        <v>1</v>
      </c>
      <c r="B810" s="542"/>
      <c r="C810" s="543"/>
      <c r="D810" s="543"/>
      <c r="E810" s="544"/>
      <c r="F810" s="558" t="s">
        <v>66</v>
      </c>
      <c r="G810" s="559"/>
      <c r="H810" s="78"/>
      <c r="I810" s="352"/>
      <c r="J810" s="77"/>
      <c r="K810" s="46" t="str">
        <f>VLOOKUP($F:$F,材料单价表!$B$3:$G$42,4,0)</f>
        <v>m</v>
      </c>
      <c r="L810" s="46"/>
      <c r="M810" s="80">
        <f>M765</f>
        <v>5.3840000000000003</v>
      </c>
      <c r="N810" s="46">
        <f>VLOOKUP($F:$F,材料单价表!$B$3:$G$42,5,0)</f>
        <v>0</v>
      </c>
      <c r="O810" s="46">
        <f>N810*M810</f>
        <v>0</v>
      </c>
      <c r="P810" s="48"/>
      <c r="Q810" s="59"/>
      <c r="R810" s="81"/>
      <c r="S810" s="79"/>
      <c r="T810" s="464"/>
    </row>
    <row r="811" spans="1:37" ht="15.75" customHeight="1" x14ac:dyDescent="0.15">
      <c r="A811" s="76">
        <v>2</v>
      </c>
      <c r="B811" s="542"/>
      <c r="C811" s="543"/>
      <c r="D811" s="543"/>
      <c r="E811" s="544"/>
      <c r="F811" s="558" t="s">
        <v>68</v>
      </c>
      <c r="G811" s="559"/>
      <c r="H811" s="78" t="s">
        <v>67</v>
      </c>
      <c r="I811" s="352"/>
      <c r="J811" s="77"/>
      <c r="K811" s="46" t="str">
        <f>VLOOKUP($F:$F,材料单价表!$B$3:$G$42,4,0)</f>
        <v>m</v>
      </c>
      <c r="L811" s="46"/>
      <c r="M811" s="80">
        <f>(J779*K779+J781*K781+J780*K780+J782*K782+J783*K783)/1000*2</f>
        <v>19.002760000000002</v>
      </c>
      <c r="N811" s="46">
        <f>VLOOKUP($F:$F,材料单价表!$B$3:$G$42,5,0)</f>
        <v>0</v>
      </c>
      <c r="O811" s="46">
        <f t="shared" ref="O811:O816" si="145">N811*M811</f>
        <v>0</v>
      </c>
      <c r="P811" s="48"/>
      <c r="Q811" s="59"/>
      <c r="R811" s="81"/>
      <c r="S811" s="79"/>
      <c r="T811" s="464"/>
      <c r="V811" s="104"/>
      <c r="W811" s="104"/>
    </row>
    <row r="812" spans="1:37" ht="13.5" customHeight="1" x14ac:dyDescent="0.15">
      <c r="A812" s="76">
        <v>3</v>
      </c>
      <c r="B812" s="542"/>
      <c r="C812" s="543"/>
      <c r="D812" s="543"/>
      <c r="E812" s="544"/>
      <c r="F812" s="558" t="s">
        <v>68</v>
      </c>
      <c r="G812" s="559"/>
      <c r="H812" s="78" t="s">
        <v>69</v>
      </c>
      <c r="I812" s="352"/>
      <c r="J812" s="77"/>
      <c r="K812" s="46" t="str">
        <f>VLOOKUP($F:$F,材料单价表!$B$3:$G$42,4,0)</f>
        <v>m</v>
      </c>
      <c r="L812" s="46"/>
      <c r="M812" s="80">
        <f>M765</f>
        <v>5.3840000000000003</v>
      </c>
      <c r="N812" s="46">
        <f>VLOOKUP($F:$F,材料单价表!$B$3:$G$42,5,0)</f>
        <v>0</v>
      </c>
      <c r="O812" s="46">
        <f t="shared" si="145"/>
        <v>0</v>
      </c>
      <c r="P812" s="48"/>
      <c r="Q812" s="59"/>
      <c r="R812" s="81"/>
      <c r="S812" s="79"/>
      <c r="T812" s="464"/>
      <c r="V812" s="104"/>
      <c r="W812" s="104"/>
    </row>
    <row r="813" spans="1:37" ht="13.5" customHeight="1" x14ac:dyDescent="0.15">
      <c r="A813" s="76">
        <v>4</v>
      </c>
      <c r="B813" s="542"/>
      <c r="C813" s="543"/>
      <c r="D813" s="543"/>
      <c r="E813" s="544"/>
      <c r="F813" s="558" t="s">
        <v>68</v>
      </c>
      <c r="G813" s="559"/>
      <c r="H813" s="78" t="s">
        <v>70</v>
      </c>
      <c r="I813" s="352"/>
      <c r="J813" s="77"/>
      <c r="K813" s="46" t="str">
        <f>VLOOKUP($F:$F,材料单价表!$B$3:$G$42,4,0)</f>
        <v>m</v>
      </c>
      <c r="L813" s="46"/>
      <c r="M813" s="80">
        <f>M765</f>
        <v>5.3840000000000003</v>
      </c>
      <c r="N813" s="46">
        <f>VLOOKUP($F:$F,材料单价表!$B$3:$G$42,5,0)</f>
        <v>0</v>
      </c>
      <c r="O813" s="46">
        <f t="shared" si="145"/>
        <v>0</v>
      </c>
      <c r="P813" s="48"/>
      <c r="Q813" s="59"/>
      <c r="R813" s="81"/>
      <c r="S813" s="79"/>
      <c r="T813" s="464"/>
      <c r="V813" s="104"/>
      <c r="W813" s="104"/>
    </row>
    <row r="814" spans="1:37" ht="13.5" customHeight="1" x14ac:dyDescent="0.15">
      <c r="A814" s="76">
        <v>5</v>
      </c>
      <c r="B814" s="542"/>
      <c r="C814" s="543"/>
      <c r="D814" s="543"/>
      <c r="E814" s="544"/>
      <c r="F814" s="558" t="s">
        <v>71</v>
      </c>
      <c r="G814" s="559"/>
      <c r="H814" s="78"/>
      <c r="I814" s="352"/>
      <c r="J814" s="77"/>
      <c r="K814" s="46" t="str">
        <f>VLOOKUP($F:$F,材料单价表!$B$3:$G$42,4,0)</f>
        <v>个</v>
      </c>
      <c r="L814" s="79"/>
      <c r="M814" s="80">
        <f>SUM(K784:K786)</f>
        <v>18</v>
      </c>
      <c r="N814" s="46">
        <f>VLOOKUP($F:$F,材料单价表!$B$3:$G$42,5,0)</f>
        <v>0</v>
      </c>
      <c r="O814" s="46">
        <f t="shared" si="145"/>
        <v>0</v>
      </c>
      <c r="P814" s="48"/>
      <c r="Q814" s="59"/>
      <c r="R814" s="81"/>
      <c r="S814" s="79"/>
      <c r="T814" s="464"/>
    </row>
    <row r="815" spans="1:37" ht="13.5" customHeight="1" x14ac:dyDescent="0.15">
      <c r="A815" s="76">
        <v>6</v>
      </c>
      <c r="B815" s="542"/>
      <c r="C815" s="543"/>
      <c r="D815" s="543"/>
      <c r="E815" s="544"/>
      <c r="F815" s="558" t="s">
        <v>833</v>
      </c>
      <c r="G815" s="559"/>
      <c r="H815" s="78"/>
      <c r="I815" s="352"/>
      <c r="J815" s="77"/>
      <c r="K815" s="46" t="str">
        <f>VLOOKUP($F:$F,材料单价表!$B$3:$G$42,4,0)</f>
        <v>m</v>
      </c>
      <c r="L815" s="79"/>
      <c r="M815" s="80">
        <f>(J771*K771+J772*K772)/1000*2</f>
        <v>8.2112000000000016</v>
      </c>
      <c r="N815" s="46">
        <f>VLOOKUP($F:$F,材料单价表!$B$3:$G$42,5,0)</f>
        <v>0</v>
      </c>
      <c r="O815" s="46">
        <f t="shared" si="145"/>
        <v>0</v>
      </c>
      <c r="P815" s="48"/>
      <c r="Q815" s="59"/>
      <c r="R815" s="81"/>
      <c r="S815" s="46"/>
      <c r="T815" s="465"/>
    </row>
    <row r="816" spans="1:37" x14ac:dyDescent="0.15">
      <c r="A816" s="76">
        <v>7</v>
      </c>
      <c r="B816" s="542"/>
      <c r="C816" s="543"/>
      <c r="D816" s="543"/>
      <c r="E816" s="544"/>
      <c r="F816" s="558" t="s">
        <v>72</v>
      </c>
      <c r="G816" s="559"/>
      <c r="H816" s="45"/>
      <c r="I816" s="207"/>
      <c r="J816" s="45"/>
      <c r="K816" s="46" t="str">
        <f>VLOOKUP($F:$F,材料单价表!$B$3:$G$42,4,0)</f>
        <v>m2</v>
      </c>
      <c r="L816" s="72"/>
      <c r="M816" s="46">
        <f>M822</f>
        <v>1.9952000000000001</v>
      </c>
      <c r="N816" s="46">
        <f>VLOOKUP($F:$F,材料单价表!$B$3:$G$42,5,0)</f>
        <v>0</v>
      </c>
      <c r="O816" s="46">
        <f t="shared" si="145"/>
        <v>0</v>
      </c>
      <c r="P816" s="48"/>
      <c r="Q816" s="48"/>
      <c r="R816" s="73"/>
      <c r="S816" s="73"/>
      <c r="T816" s="463"/>
    </row>
    <row r="817" spans="1:20" x14ac:dyDescent="0.15">
      <c r="A817" s="76">
        <v>8</v>
      </c>
      <c r="B817" s="542"/>
      <c r="C817" s="543"/>
      <c r="D817" s="543"/>
      <c r="E817" s="544"/>
      <c r="F817" s="297"/>
      <c r="G817" s="298"/>
      <c r="H817" s="207"/>
      <c r="I817" s="207"/>
      <c r="J817" s="207"/>
      <c r="K817" s="208"/>
      <c r="L817" s="209"/>
      <c r="M817" s="208"/>
      <c r="N817" s="208"/>
      <c r="O817" s="208"/>
      <c r="P817" s="211"/>
      <c r="Q817" s="48"/>
      <c r="R817" s="212"/>
      <c r="S817" s="212"/>
      <c r="T817" s="463"/>
    </row>
    <row r="818" spans="1:20" x14ac:dyDescent="0.15">
      <c r="A818" s="76">
        <v>9</v>
      </c>
      <c r="B818" s="542"/>
      <c r="C818" s="543"/>
      <c r="D818" s="543"/>
      <c r="E818" s="544"/>
      <c r="F818" s="558"/>
      <c r="G818" s="559"/>
      <c r="H818" s="45"/>
      <c r="I818" s="207"/>
      <c r="J818" s="45"/>
      <c r="K818" s="45"/>
      <c r="L818" s="72"/>
      <c r="M818" s="46"/>
      <c r="N818" s="46"/>
      <c r="O818" s="82"/>
      <c r="P818" s="48"/>
      <c r="Q818" s="48"/>
      <c r="R818" s="73"/>
      <c r="S818" s="73"/>
      <c r="T818" s="463"/>
    </row>
    <row r="819" spans="1:20" x14ac:dyDescent="0.15">
      <c r="A819" s="74"/>
      <c r="B819" s="552"/>
      <c r="C819" s="557"/>
      <c r="D819" s="557"/>
      <c r="E819" s="553"/>
      <c r="F819" s="552" t="s">
        <v>73</v>
      </c>
      <c r="G819" s="557"/>
      <c r="H819" s="557"/>
      <c r="I819" s="557"/>
      <c r="J819" s="557"/>
      <c r="K819" s="557"/>
      <c r="L819" s="557"/>
      <c r="M819" s="61"/>
      <c r="N819" s="61"/>
      <c r="O819" s="62">
        <f>SUM(O810:O818)</f>
        <v>0</v>
      </c>
      <c r="P819" s="63" t="s">
        <v>57</v>
      </c>
      <c r="Q819" s="337"/>
      <c r="R819" s="64"/>
      <c r="S819" s="64"/>
      <c r="T819" s="460"/>
    </row>
    <row r="820" spans="1:20" x14ac:dyDescent="0.15">
      <c r="A820" s="74"/>
      <c r="B820" s="552"/>
      <c r="C820" s="557"/>
      <c r="D820" s="557"/>
      <c r="E820" s="553"/>
      <c r="F820" s="552" t="s">
        <v>74</v>
      </c>
      <c r="G820" s="557"/>
      <c r="H820" s="557"/>
      <c r="I820" s="557"/>
      <c r="J820" s="557"/>
      <c r="K820" s="557"/>
      <c r="L820" s="557"/>
      <c r="M820" s="557"/>
      <c r="N820" s="553"/>
      <c r="O820" s="62">
        <f>O819+O808+O805+O797</f>
        <v>0</v>
      </c>
      <c r="P820" s="63" t="s">
        <v>57</v>
      </c>
      <c r="Q820" s="337"/>
      <c r="R820" s="64"/>
      <c r="S820" s="64"/>
      <c r="T820" s="460"/>
    </row>
    <row r="821" spans="1:20" ht="24" x14ac:dyDescent="0.15">
      <c r="A821" s="65"/>
      <c r="B821" s="560" t="s">
        <v>75</v>
      </c>
      <c r="C821" s="561"/>
      <c r="D821" s="561"/>
      <c r="E821" s="562"/>
      <c r="F821" s="565" t="s">
        <v>26</v>
      </c>
      <c r="G821" s="566"/>
      <c r="H821" s="66"/>
      <c r="I821" s="351"/>
      <c r="J821" s="66"/>
      <c r="K821" s="66" t="s">
        <v>6</v>
      </c>
      <c r="L821" s="83" t="s">
        <v>61</v>
      </c>
      <c r="M821" s="66" t="s">
        <v>76</v>
      </c>
      <c r="N821" s="68" t="s">
        <v>62</v>
      </c>
      <c r="O821" s="68" t="s">
        <v>34</v>
      </c>
      <c r="P821" s="84" t="s">
        <v>57</v>
      </c>
      <c r="Q821" s="84"/>
      <c r="R821" s="67"/>
      <c r="S821" s="67"/>
      <c r="T821" s="461"/>
    </row>
    <row r="822" spans="1:20" x14ac:dyDescent="0.15">
      <c r="A822" s="302">
        <v>1</v>
      </c>
      <c r="B822" s="542"/>
      <c r="C822" s="543"/>
      <c r="D822" s="543"/>
      <c r="E822" s="544"/>
      <c r="F822" s="545" t="s">
        <v>77</v>
      </c>
      <c r="G822" s="547"/>
      <c r="H822" s="45"/>
      <c r="I822" s="207"/>
      <c r="J822" s="46"/>
      <c r="K822" s="45" t="s">
        <v>78</v>
      </c>
      <c r="L822" s="72"/>
      <c r="M822" s="85">
        <f>O752</f>
        <v>1.9952000000000001</v>
      </c>
      <c r="N822" s="46">
        <f>VLOOKUP($F:$F,材料单价表!$B$3:$G$42,5,0)</f>
        <v>0</v>
      </c>
      <c r="O822" s="46">
        <f>N822*M822</f>
        <v>0</v>
      </c>
      <c r="P822" s="48"/>
      <c r="Q822" s="48"/>
      <c r="R822" s="72"/>
      <c r="S822" s="72"/>
      <c r="T822" s="462"/>
    </row>
    <row r="823" spans="1:20" x14ac:dyDescent="0.15">
      <c r="A823" s="302">
        <v>2</v>
      </c>
      <c r="B823" s="542"/>
      <c r="C823" s="543"/>
      <c r="D823" s="543"/>
      <c r="E823" s="544"/>
      <c r="F823" s="545" t="s">
        <v>79</v>
      </c>
      <c r="G823" s="547"/>
      <c r="H823" s="45"/>
      <c r="I823" s="207"/>
      <c r="J823" s="46"/>
      <c r="K823" s="45" t="s">
        <v>78</v>
      </c>
      <c r="L823" s="72"/>
      <c r="M823" s="85">
        <f>M822</f>
        <v>1.9952000000000001</v>
      </c>
      <c r="N823" s="46">
        <f>VLOOKUP($F:$F,材料单价表!$B$3:$G$42,5,0)</f>
        <v>0</v>
      </c>
      <c r="O823" s="46">
        <f>N823*M823</f>
        <v>0</v>
      </c>
      <c r="P823" s="48"/>
      <c r="Q823" s="48"/>
      <c r="R823" s="72"/>
      <c r="S823" s="72"/>
      <c r="T823" s="462"/>
    </row>
    <row r="824" spans="1:20" ht="24.75" customHeight="1" x14ac:dyDescent="0.15">
      <c r="A824" s="74"/>
      <c r="B824" s="552"/>
      <c r="C824" s="557"/>
      <c r="D824" s="557"/>
      <c r="E824" s="553"/>
      <c r="F824" s="552" t="s">
        <v>80</v>
      </c>
      <c r="G824" s="553"/>
      <c r="H824" s="299"/>
      <c r="I824" s="348"/>
      <c r="J824" s="554" t="s">
        <v>81</v>
      </c>
      <c r="K824" s="554"/>
      <c r="L824" s="554"/>
      <c r="M824" s="554"/>
      <c r="N824" s="87"/>
      <c r="O824" s="62">
        <f>O820+O822+O823</f>
        <v>0</v>
      </c>
      <c r="P824" s="63" t="s">
        <v>57</v>
      </c>
      <c r="Q824" s="337"/>
      <c r="R824" s="64"/>
      <c r="S824" s="64"/>
      <c r="T824" s="460"/>
    </row>
    <row r="825" spans="1:20" ht="24" customHeight="1" x14ac:dyDescent="0.15">
      <c r="A825" s="74"/>
      <c r="B825" s="552"/>
      <c r="C825" s="557"/>
      <c r="D825" s="557"/>
      <c r="E825" s="553"/>
      <c r="F825" s="555" t="s">
        <v>82</v>
      </c>
      <c r="G825" s="556"/>
      <c r="H825" s="301"/>
      <c r="I825" s="349"/>
      <c r="J825" s="552" t="s">
        <v>81</v>
      </c>
      <c r="K825" s="557"/>
      <c r="L825" s="557"/>
      <c r="M825" s="557"/>
      <c r="N825" s="62"/>
      <c r="O825" s="62">
        <f>O824/O752</f>
        <v>0</v>
      </c>
      <c r="P825" s="89" t="s">
        <v>57</v>
      </c>
      <c r="Q825" s="89"/>
      <c r="R825" s="90"/>
      <c r="S825" s="90"/>
      <c r="T825" s="466"/>
    </row>
    <row r="826" spans="1:20" ht="18.75" customHeight="1" x14ac:dyDescent="0.15">
      <c r="A826" s="549" t="s">
        <v>0</v>
      </c>
      <c r="B826" s="549"/>
      <c r="C826" s="549"/>
      <c r="D826" s="549"/>
      <c r="E826" s="549"/>
      <c r="F826" s="549"/>
      <c r="G826" s="549"/>
      <c r="H826" s="549"/>
      <c r="I826" s="549"/>
      <c r="J826" s="549"/>
      <c r="K826" s="549"/>
      <c r="L826" s="550"/>
      <c r="M826" s="549"/>
      <c r="N826" s="549"/>
      <c r="O826" s="549"/>
      <c r="P826" s="549"/>
      <c r="Q826" s="549"/>
      <c r="R826" s="551"/>
      <c r="S826" s="551"/>
      <c r="T826" s="415"/>
    </row>
    <row r="827" spans="1:20" ht="15" customHeight="1" x14ac:dyDescent="0.15">
      <c r="A827" s="2" t="s">
        <v>1</v>
      </c>
      <c r="B827" s="3" t="s">
        <v>1458</v>
      </c>
      <c r="C827" s="3">
        <v>1</v>
      </c>
      <c r="D827" s="3"/>
      <c r="E827" s="3"/>
      <c r="F827" s="4" t="s">
        <v>2</v>
      </c>
      <c r="G827" s="5">
        <v>55</v>
      </c>
      <c r="H827" s="106" t="s">
        <v>86</v>
      </c>
      <c r="I827" s="106"/>
      <c r="J827" s="4" t="s">
        <v>3</v>
      </c>
      <c r="K827" s="6">
        <f>L830</f>
        <v>2500</v>
      </c>
      <c r="L827" s="7" t="s">
        <v>83</v>
      </c>
      <c r="M827" s="6">
        <f>L829</f>
        <v>1800</v>
      </c>
      <c r="N827" s="8" t="s">
        <v>4</v>
      </c>
      <c r="O827" s="9">
        <f>M839</f>
        <v>4.5</v>
      </c>
      <c r="P827" s="10"/>
      <c r="Q827" s="10"/>
      <c r="R827" s="10" t="s">
        <v>5</v>
      </c>
      <c r="S827" s="11"/>
      <c r="T827" s="457"/>
    </row>
    <row r="828" spans="1:20" ht="15" customHeight="1" x14ac:dyDescent="0.2">
      <c r="A828" s="12"/>
      <c r="B828" s="13"/>
      <c r="C828" s="13"/>
      <c r="D828" s="13"/>
      <c r="E828" s="13"/>
      <c r="F828" s="14"/>
      <c r="G828" s="14"/>
      <c r="H828" s="15"/>
      <c r="I828" s="15"/>
      <c r="J828" s="16"/>
      <c r="K828" s="16" t="s">
        <v>6</v>
      </c>
      <c r="L828" s="17" t="s">
        <v>7</v>
      </c>
      <c r="M828" s="16" t="s">
        <v>8</v>
      </c>
      <c r="N828" s="18"/>
      <c r="O828" s="548" t="s">
        <v>940</v>
      </c>
      <c r="P828" s="548"/>
      <c r="Q828" s="16" t="s">
        <v>1018</v>
      </c>
      <c r="R828" s="529" t="s">
        <v>1187</v>
      </c>
      <c r="S828" s="530" t="s">
        <v>1592</v>
      </c>
      <c r="T828" s="468"/>
    </row>
    <row r="829" spans="1:20" ht="15" customHeight="1" x14ac:dyDescent="0.2">
      <c r="A829" s="398" t="s">
        <v>918</v>
      </c>
      <c r="B829" s="406" t="s">
        <v>987</v>
      </c>
      <c r="C829" s="362"/>
      <c r="D829" s="362"/>
      <c r="E829" s="362"/>
      <c r="F829" s="23"/>
      <c r="G829" s="23"/>
      <c r="H829" s="107"/>
      <c r="I829" s="107"/>
      <c r="J829" s="24" t="s">
        <v>9</v>
      </c>
      <c r="K829" s="16" t="s">
        <v>10</v>
      </c>
      <c r="L829" s="25">
        <v>1800</v>
      </c>
      <c r="M829" s="113">
        <f>L829-M838*2</f>
        <v>1700</v>
      </c>
      <c r="N829" s="18"/>
      <c r="O829" s="356" t="s">
        <v>941</v>
      </c>
      <c r="P829" s="357"/>
      <c r="Q829" s="16" t="s">
        <v>1019</v>
      </c>
      <c r="R829" s="529"/>
      <c r="S829" s="530"/>
      <c r="T829" s="468"/>
    </row>
    <row r="830" spans="1:20" ht="15" customHeight="1" x14ac:dyDescent="0.2">
      <c r="A830" s="21"/>
      <c r="B830" s="22"/>
      <c r="C830" s="22"/>
      <c r="D830" s="22"/>
      <c r="E830" s="22"/>
      <c r="F830" s="23"/>
      <c r="G830" s="23"/>
      <c r="H830" s="18"/>
      <c r="I830" s="18"/>
      <c r="J830" s="24" t="s">
        <v>11</v>
      </c>
      <c r="K830" s="16" t="s">
        <v>10</v>
      </c>
      <c r="L830" s="113">
        <v>2500</v>
      </c>
      <c r="M830" s="113">
        <f>L830-M838*2</f>
        <v>2400</v>
      </c>
      <c r="N830" s="18"/>
      <c r="O830" s="356" t="s">
        <v>924</v>
      </c>
      <c r="P830" s="357"/>
      <c r="Q830" s="16" t="s">
        <v>1020</v>
      </c>
      <c r="R830" s="529" t="s">
        <v>1188</v>
      </c>
      <c r="S830" s="530" t="s">
        <v>1086</v>
      </c>
      <c r="T830" s="468"/>
    </row>
    <row r="831" spans="1:20" ht="15" customHeight="1" x14ac:dyDescent="0.2">
      <c r="A831" s="21"/>
      <c r="B831" s="22"/>
      <c r="C831" s="22"/>
      <c r="D831" s="22"/>
      <c r="E831" s="22"/>
      <c r="F831" s="23"/>
      <c r="G831" s="23"/>
      <c r="H831" s="18"/>
      <c r="I831" s="18"/>
      <c r="J831" s="24" t="s">
        <v>12</v>
      </c>
      <c r="K831" s="16" t="s">
        <v>10</v>
      </c>
      <c r="L831" s="26"/>
      <c r="M831" s="113">
        <f>M829-M832</f>
        <v>1200</v>
      </c>
      <c r="N831" s="18"/>
      <c r="O831" s="356" t="s">
        <v>925</v>
      </c>
      <c r="P831" s="357"/>
      <c r="Q831" s="16" t="s">
        <v>1021</v>
      </c>
      <c r="R831" s="529"/>
      <c r="S831" s="530"/>
      <c r="T831" s="468"/>
    </row>
    <row r="832" spans="1:20" ht="15" customHeight="1" x14ac:dyDescent="0.2">
      <c r="A832" s="21"/>
      <c r="B832" s="22"/>
      <c r="C832" s="22"/>
      <c r="D832" s="22"/>
      <c r="E832" s="22"/>
      <c r="F832" s="23"/>
      <c r="G832" s="23"/>
      <c r="H832" s="18"/>
      <c r="I832" s="18"/>
      <c r="J832" s="24" t="s">
        <v>13</v>
      </c>
      <c r="K832" s="16" t="s">
        <v>10</v>
      </c>
      <c r="L832" s="26"/>
      <c r="M832" s="113">
        <v>500</v>
      </c>
      <c r="N832" s="18"/>
      <c r="O832" s="356" t="s">
        <v>926</v>
      </c>
      <c r="P832" s="357"/>
      <c r="Q832" s="16" t="s">
        <v>1022</v>
      </c>
      <c r="R832" s="27"/>
      <c r="S832" s="28"/>
      <c r="T832" s="27"/>
    </row>
    <row r="833" spans="1:37" ht="15" customHeight="1" x14ac:dyDescent="0.2">
      <c r="A833" s="21"/>
      <c r="B833" s="22"/>
      <c r="C833" s="22"/>
      <c r="D833" s="22"/>
      <c r="E833" s="22"/>
      <c r="F833" s="23"/>
      <c r="G833" s="23"/>
      <c r="H833" s="18"/>
      <c r="I833" s="18"/>
      <c r="J833" s="24" t="s">
        <v>14</v>
      </c>
      <c r="K833" s="16" t="s">
        <v>10</v>
      </c>
      <c r="L833" s="26"/>
      <c r="M833" s="113"/>
      <c r="N833" s="18"/>
      <c r="O833" s="356" t="s">
        <v>927</v>
      </c>
      <c r="P833" s="357"/>
      <c r="Q833" s="16" t="s">
        <v>1023</v>
      </c>
      <c r="R833" s="27"/>
      <c r="S833" s="28"/>
      <c r="T833" s="27"/>
    </row>
    <row r="834" spans="1:37" ht="15" customHeight="1" x14ac:dyDescent="0.2">
      <c r="A834" s="21"/>
      <c r="B834" s="22"/>
      <c r="C834" s="22"/>
      <c r="D834" s="22"/>
      <c r="E834" s="22"/>
      <c r="F834" s="23"/>
      <c r="G834" s="23"/>
      <c r="H834" s="18"/>
      <c r="I834" s="18"/>
      <c r="J834" s="24" t="s">
        <v>15</v>
      </c>
      <c r="K834" s="16" t="s">
        <v>10</v>
      </c>
      <c r="L834" s="26"/>
      <c r="M834" s="25">
        <v>700</v>
      </c>
      <c r="N834" s="112" t="s">
        <v>866</v>
      </c>
      <c r="O834" s="356" t="s">
        <v>928</v>
      </c>
      <c r="P834" s="357"/>
      <c r="Q834" s="16" t="s">
        <v>1005</v>
      </c>
      <c r="R834" s="27"/>
      <c r="S834" s="28"/>
      <c r="T834" s="27"/>
    </row>
    <row r="835" spans="1:37" ht="15" customHeight="1" x14ac:dyDescent="0.2">
      <c r="A835" s="21"/>
      <c r="B835" s="22"/>
      <c r="C835" s="22"/>
      <c r="D835" s="22"/>
      <c r="E835" s="22"/>
      <c r="F835" s="23"/>
      <c r="G835" s="23"/>
      <c r="H835" s="18"/>
      <c r="I835" s="18"/>
      <c r="J835" s="24" t="s">
        <v>16</v>
      </c>
      <c r="K835" s="16" t="s">
        <v>10</v>
      </c>
      <c r="L835" s="26"/>
      <c r="M835" s="113">
        <f>M830-M834-M836</f>
        <v>1200</v>
      </c>
      <c r="N835" s="18"/>
      <c r="O835" s="356" t="s">
        <v>929</v>
      </c>
      <c r="P835" s="357"/>
      <c r="Q835" s="16" t="s">
        <v>1024</v>
      </c>
      <c r="R835" s="27"/>
      <c r="S835" s="28"/>
      <c r="T835" s="27"/>
    </row>
    <row r="836" spans="1:37" ht="15" customHeight="1" x14ac:dyDescent="0.2">
      <c r="A836" s="21"/>
      <c r="B836" s="22"/>
      <c r="C836" s="22"/>
      <c r="D836" s="22"/>
      <c r="E836" s="22"/>
      <c r="F836" s="23"/>
      <c r="G836" s="23"/>
      <c r="H836" s="18"/>
      <c r="I836" s="18"/>
      <c r="J836" s="24" t="s">
        <v>17</v>
      </c>
      <c r="K836" s="16" t="s">
        <v>10</v>
      </c>
      <c r="L836" s="26"/>
      <c r="M836" s="113">
        <v>500</v>
      </c>
      <c r="N836" s="18"/>
      <c r="O836" s="356" t="s">
        <v>930</v>
      </c>
      <c r="P836" s="357"/>
      <c r="Q836" s="16" t="s">
        <v>931</v>
      </c>
      <c r="R836" s="27"/>
      <c r="S836" s="28"/>
      <c r="T836" s="27"/>
    </row>
    <row r="837" spans="1:37" ht="15" customHeight="1" x14ac:dyDescent="0.2">
      <c r="A837" s="21"/>
      <c r="B837" s="22"/>
      <c r="C837" s="22"/>
      <c r="D837" s="22"/>
      <c r="E837" s="22"/>
      <c r="F837" s="23"/>
      <c r="G837" s="23"/>
      <c r="H837" s="18"/>
      <c r="I837" s="18"/>
      <c r="J837" s="24" t="s">
        <v>18</v>
      </c>
      <c r="K837" s="16" t="s">
        <v>10</v>
      </c>
      <c r="L837" s="26"/>
      <c r="M837" s="113"/>
      <c r="N837" s="18"/>
      <c r="O837" s="356" t="s">
        <v>932</v>
      </c>
      <c r="P837" s="357"/>
      <c r="Q837" s="16" t="s">
        <v>933</v>
      </c>
      <c r="R837" s="27"/>
      <c r="S837" s="28"/>
      <c r="T837" s="27"/>
    </row>
    <row r="838" spans="1:37" ht="15" customHeight="1" x14ac:dyDescent="0.2">
      <c r="A838" s="21"/>
      <c r="B838" s="22"/>
      <c r="C838" s="22"/>
      <c r="D838" s="22"/>
      <c r="E838" s="22"/>
      <c r="F838" s="23"/>
      <c r="G838" s="23"/>
      <c r="H838" s="18"/>
      <c r="I838" s="18"/>
      <c r="J838" s="24" t="s">
        <v>19</v>
      </c>
      <c r="K838" s="16" t="s">
        <v>10</v>
      </c>
      <c r="L838" s="26"/>
      <c r="M838" s="25">
        <v>50</v>
      </c>
      <c r="N838" s="18"/>
      <c r="O838" s="356" t="s">
        <v>934</v>
      </c>
      <c r="P838" s="357"/>
      <c r="Q838" s="16" t="s">
        <v>935</v>
      </c>
      <c r="R838" s="27"/>
      <c r="S838" s="28"/>
      <c r="T838" s="27"/>
    </row>
    <row r="839" spans="1:37" ht="15" customHeight="1" x14ac:dyDescent="0.2">
      <c r="A839" s="21"/>
      <c r="B839" s="22"/>
      <c r="C839" s="22"/>
      <c r="D839" s="22"/>
      <c r="E839" s="22"/>
      <c r="F839" s="23"/>
      <c r="G839" s="23"/>
      <c r="H839" s="18"/>
      <c r="I839" s="18"/>
      <c r="J839" s="29" t="s">
        <v>20</v>
      </c>
      <c r="K839" s="16" t="s">
        <v>21</v>
      </c>
      <c r="L839" s="30"/>
      <c r="M839" s="31">
        <f>L829*L830/1000000</f>
        <v>4.5</v>
      </c>
      <c r="N839" s="18"/>
      <c r="O839" s="356" t="s">
        <v>936</v>
      </c>
      <c r="P839" s="357"/>
      <c r="Q839" s="16" t="s">
        <v>937</v>
      </c>
      <c r="R839" s="27"/>
      <c r="S839" s="28"/>
      <c r="T839" s="27"/>
    </row>
    <row r="840" spans="1:37" ht="15" customHeight="1" x14ac:dyDescent="0.2">
      <c r="A840" s="32"/>
      <c r="B840" s="33"/>
      <c r="C840" s="33"/>
      <c r="D840" s="33"/>
      <c r="E840" s="33"/>
      <c r="F840" s="34"/>
      <c r="G840" s="34"/>
      <c r="H840" s="35"/>
      <c r="I840" s="35"/>
      <c r="J840" s="29" t="s">
        <v>22</v>
      </c>
      <c r="K840" s="16" t="s">
        <v>23</v>
      </c>
      <c r="L840" s="30"/>
      <c r="M840" s="36">
        <f>(L830+L829)*2/1000</f>
        <v>8.6</v>
      </c>
      <c r="N840" s="35"/>
      <c r="O840" s="356" t="s">
        <v>938</v>
      </c>
      <c r="P840" s="357"/>
      <c r="Q840" s="16" t="s">
        <v>939</v>
      </c>
      <c r="R840" s="37"/>
      <c r="S840" s="38"/>
      <c r="T840" s="27"/>
    </row>
    <row r="841" spans="1:37" ht="48.75" customHeight="1" x14ac:dyDescent="0.15">
      <c r="A841" s="39" t="s">
        <v>24</v>
      </c>
      <c r="B841" s="560" t="s">
        <v>25</v>
      </c>
      <c r="C841" s="561"/>
      <c r="D841" s="561"/>
      <c r="E841" s="562"/>
      <c r="F841" s="40" t="s">
        <v>26</v>
      </c>
      <c r="G841" s="40" t="s">
        <v>27</v>
      </c>
      <c r="H841" s="40" t="s">
        <v>28</v>
      </c>
      <c r="I841" s="40" t="s">
        <v>1166</v>
      </c>
      <c r="J841" s="40" t="s">
        <v>29</v>
      </c>
      <c r="K841" s="40" t="s">
        <v>30</v>
      </c>
      <c r="L841" s="41" t="s">
        <v>31</v>
      </c>
      <c r="M841" s="40" t="s">
        <v>32</v>
      </c>
      <c r="N841" s="40" t="s">
        <v>33</v>
      </c>
      <c r="O841" s="40" t="s">
        <v>34</v>
      </c>
      <c r="P841" s="42" t="s">
        <v>35</v>
      </c>
      <c r="Q841" s="359" t="s">
        <v>974</v>
      </c>
      <c r="R841" s="43" t="s">
        <v>36</v>
      </c>
      <c r="S841" s="43" t="s">
        <v>37</v>
      </c>
      <c r="T841" s="458"/>
      <c r="V841" s="261" t="s">
        <v>128</v>
      </c>
      <c r="W841" s="261"/>
      <c r="X841" s="262" t="s">
        <v>359</v>
      </c>
      <c r="Y841" s="263"/>
      <c r="Z841" s="262" t="s">
        <v>355</v>
      </c>
      <c r="AA841" s="263"/>
      <c r="AB841" s="262" t="s">
        <v>360</v>
      </c>
      <c r="AC841" s="263"/>
      <c r="AD841" s="262" t="s">
        <v>127</v>
      </c>
      <c r="AE841" s="263"/>
      <c r="AF841" s="262" t="s">
        <v>357</v>
      </c>
      <c r="AG841" s="263"/>
      <c r="AH841" s="262" t="s">
        <v>358</v>
      </c>
      <c r="AI841" s="263"/>
      <c r="AJ841" s="262" t="s">
        <v>840</v>
      </c>
      <c r="AK841" s="263"/>
    </row>
    <row r="842" spans="1:37" ht="13.5" customHeight="1" x14ac:dyDescent="0.15">
      <c r="A842" s="302">
        <v>1</v>
      </c>
      <c r="B842" s="531" t="s">
        <v>38</v>
      </c>
      <c r="C842" s="532"/>
      <c r="D842" s="532"/>
      <c r="E842" s="533"/>
      <c r="F842" s="47" t="str">
        <f>VLOOKUP($H:$H,型材表!$B$5:$I$448,2,0)</f>
        <v>边框</v>
      </c>
      <c r="G842" s="45" t="s">
        <v>39</v>
      </c>
      <c r="H842" s="45" t="str">
        <f>IF(G827=55,"SW55K001",IF(G827=551,"SW55BK001",IF(G827=60,"SW60K001",IF(G827=601,"SW60AK001",IF(G827=65,"SW65AK001",IF(G827=70,"SW70K001",IF(G827=75,"SW75K001",IF(G827=50,"SW50K002"))))))))</f>
        <v>SW55K001</v>
      </c>
      <c r="I842" s="207" t="s">
        <v>1270</v>
      </c>
      <c r="J842" s="46">
        <f>M829</f>
        <v>1700</v>
      </c>
      <c r="K842" s="45">
        <v>4</v>
      </c>
      <c r="L842" s="47">
        <f>VLOOKUP($H:$H,型材表!$B$5:$I$448,4,0)</f>
        <v>0.96699999999999997</v>
      </c>
      <c r="M842" s="46">
        <f>J842*K842*L842/1000</f>
        <v>6.5755999999999997</v>
      </c>
      <c r="N842" s="72">
        <f>VLOOKUP($H:$H,型材表!$B$5:$I$448,7,0)</f>
        <v>0</v>
      </c>
      <c r="O842" s="46">
        <f>N842*M842</f>
        <v>0</v>
      </c>
      <c r="P842" s="100">
        <f>VLOOKUP($H:$H,型材表!$B$5:$I$448,5,0)</f>
        <v>0.125</v>
      </c>
      <c r="Q842" s="100" t="str">
        <f>VLOOKUP($H:$H,型材表!$B$5:$I$448,6,0)</f>
        <v>断桥隔热铝型材</v>
      </c>
      <c r="R842" s="49"/>
      <c r="S842" s="50"/>
      <c r="T842" s="459"/>
      <c r="X842" s="264"/>
      <c r="Y842" s="265"/>
      <c r="Z842" s="264"/>
      <c r="AA842" s="265"/>
      <c r="AB842" s="264"/>
      <c r="AC842" s="265"/>
      <c r="AD842" s="264"/>
      <c r="AE842" s="265"/>
      <c r="AF842" s="264"/>
      <c r="AG842" s="265"/>
      <c r="AH842" s="264"/>
      <c r="AI842" s="265"/>
      <c r="AJ842" s="264"/>
      <c r="AK842" s="265"/>
    </row>
    <row r="843" spans="1:37" x14ac:dyDescent="0.15">
      <c r="A843" s="302">
        <v>2</v>
      </c>
      <c r="B843" s="534"/>
      <c r="C843" s="535"/>
      <c r="D843" s="535"/>
      <c r="E843" s="536"/>
      <c r="F843" s="47" t="str">
        <f>VLOOKUP($H:$H,型材表!$B$5:$I$448,2,0)</f>
        <v>边框</v>
      </c>
      <c r="G843" s="45" t="s">
        <v>144</v>
      </c>
      <c r="H843" s="45" t="str">
        <f>H842</f>
        <v>SW55K001</v>
      </c>
      <c r="I843" s="207" t="s">
        <v>1582</v>
      </c>
      <c r="J843" s="46">
        <f>IF(G827=55,M830-V843,IF(G827=551,M830-X843,IF(G827=60,M830-Z843,IF(G827=601,M830-AB843,IF(G827=65,M830-AD843,IF(G827=70,M830-AF843,IF(G827=75,M830-AH843,IF(G827=50,M830-AJ843))))))))</f>
        <v>2290</v>
      </c>
      <c r="K843" s="45">
        <v>2</v>
      </c>
      <c r="L843" s="47">
        <f>VLOOKUP($H:$H,型材表!$B$5:$I$448,4,0)</f>
        <v>0.96699999999999997</v>
      </c>
      <c r="M843" s="46">
        <f t="shared" ref="M843" si="146">J843*K843*L843/1000</f>
        <v>4.4288599999999994</v>
      </c>
      <c r="N843" s="72">
        <f>VLOOKUP($H:$H,型材表!$B$5:$I$448,7,0)</f>
        <v>0</v>
      </c>
      <c r="O843" s="46">
        <f t="shared" ref="O843" si="147">N843*M843</f>
        <v>0</v>
      </c>
      <c r="P843" s="100">
        <f>VLOOKUP($H:$H,型材表!$B$5:$I$448,5,0)</f>
        <v>0.125</v>
      </c>
      <c r="Q843" s="100" t="str">
        <f>VLOOKUP($H:$H,型材表!$B$5:$I$448,6,0)</f>
        <v>断桥隔热铝型材</v>
      </c>
      <c r="R843" s="49"/>
      <c r="S843" s="50"/>
      <c r="T843" s="459"/>
      <c r="U843" s="374" t="s">
        <v>1581</v>
      </c>
      <c r="V843" s="266">
        <f>55*2</f>
        <v>110</v>
      </c>
      <c r="W843" s="265"/>
      <c r="X843" s="264">
        <f>55*2</f>
        <v>110</v>
      </c>
      <c r="Y843" s="265"/>
      <c r="Z843" s="264">
        <f>60.2*2</f>
        <v>120.4</v>
      </c>
      <c r="AA843" s="265"/>
      <c r="AB843" s="264">
        <f>60.4*2</f>
        <v>120.8</v>
      </c>
      <c r="AC843" s="265"/>
      <c r="AD843" s="264">
        <f>64.2*2</f>
        <v>128.4</v>
      </c>
      <c r="AE843" s="265"/>
      <c r="AF843" s="264">
        <f>70.2*2</f>
        <v>140.4</v>
      </c>
      <c r="AG843" s="265"/>
      <c r="AH843" s="264">
        <f>74.2*2</f>
        <v>148.4</v>
      </c>
      <c r="AI843" s="265"/>
      <c r="AJ843" s="264">
        <f>50*2</f>
        <v>100</v>
      </c>
      <c r="AK843" s="265"/>
    </row>
    <row r="844" spans="1:37" x14ac:dyDescent="0.15">
      <c r="A844" s="382">
        <v>3</v>
      </c>
      <c r="B844" s="534"/>
      <c r="C844" s="535"/>
      <c r="D844" s="535"/>
      <c r="E844" s="536"/>
      <c r="F844" s="47"/>
      <c r="G844" s="207"/>
      <c r="H844" s="207"/>
      <c r="I844" s="207"/>
      <c r="J844" s="208"/>
      <c r="K844" s="207"/>
      <c r="L844" s="47"/>
      <c r="M844" s="46"/>
      <c r="N844" s="72"/>
      <c r="O844" s="46"/>
      <c r="P844" s="100"/>
      <c r="Q844" s="100"/>
      <c r="R844" s="210"/>
      <c r="S844" s="50"/>
      <c r="T844" s="459"/>
      <c r="X844" s="264"/>
      <c r="Y844" s="265"/>
      <c r="Z844" s="264"/>
      <c r="AA844" s="265"/>
      <c r="AB844" s="264"/>
      <c r="AC844" s="265"/>
      <c r="AD844" s="264"/>
      <c r="AE844" s="265"/>
      <c r="AF844" s="264"/>
      <c r="AG844" s="265"/>
      <c r="AH844" s="264"/>
      <c r="AI844" s="265"/>
      <c r="AJ844" s="264"/>
      <c r="AK844" s="265"/>
    </row>
    <row r="845" spans="1:37" s="229" customFormat="1" x14ac:dyDescent="0.15">
      <c r="A845" s="382">
        <v>4</v>
      </c>
      <c r="B845" s="537"/>
      <c r="C845" s="538"/>
      <c r="D845" s="538"/>
      <c r="E845" s="539"/>
      <c r="F845" s="221"/>
      <c r="G845" s="222"/>
      <c r="H845" s="222"/>
      <c r="I845" s="222"/>
      <c r="J845" s="223"/>
      <c r="K845" s="222"/>
      <c r="L845" s="221"/>
      <c r="M845" s="224"/>
      <c r="N845" s="225"/>
      <c r="O845" s="224"/>
      <c r="P845" s="226"/>
      <c r="Q845" s="100"/>
      <c r="R845" s="227"/>
      <c r="S845" s="228"/>
      <c r="T845" s="467"/>
      <c r="U845" s="375"/>
      <c r="V845" s="266"/>
      <c r="W845" s="266"/>
      <c r="X845" s="267"/>
      <c r="Y845" s="268"/>
      <c r="Z845" s="267"/>
      <c r="AA845" s="268"/>
      <c r="AB845" s="267"/>
      <c r="AC845" s="268"/>
      <c r="AD845" s="267"/>
      <c r="AE845" s="268"/>
      <c r="AF845" s="267"/>
      <c r="AG845" s="268"/>
      <c r="AH845" s="267"/>
      <c r="AI845" s="268"/>
      <c r="AJ845" s="267"/>
      <c r="AK845" s="268"/>
    </row>
    <row r="846" spans="1:37" ht="13.5" customHeight="1" x14ac:dyDescent="0.15">
      <c r="A846" s="382">
        <v>5</v>
      </c>
      <c r="B846" s="531" t="s">
        <v>41</v>
      </c>
      <c r="C846" s="532"/>
      <c r="D846" s="532"/>
      <c r="E846" s="533"/>
      <c r="F846" s="47" t="str">
        <f>VLOOKUP($H:$H,型材表!$B$5:$I$448,2,0)</f>
        <v>外开扇</v>
      </c>
      <c r="G846" s="45" t="s">
        <v>39</v>
      </c>
      <c r="H846" s="45" t="str">
        <f>IF(G827=55,"SW55S001",IF(G827=551,"SW55BS001",IF(G827=60,"SW60S001",IF(G827=601,"SW60AS001",IF(G827=65,"SW65AS001",IF(G827=70,"SW70S001",IF(G827=75,"SW75S001",IF(G827=50,"SW50S001"))))))))</f>
        <v>SW55S001</v>
      </c>
      <c r="I846" s="207" t="s">
        <v>1292</v>
      </c>
      <c r="J846" s="46">
        <f>IF(G827=55,M831-V846,IF(G827=551,M831-X846,IF(G827=60,M831-Z846,IF(G827=601,M831-AB846,IF(G827=65,M831-AD846,IF(G827=70,M831-AF846,IF(G827=75,M831-AH846,IF(G827=50,M831-AJ846))))))))</f>
        <v>1117.2</v>
      </c>
      <c r="K846" s="45">
        <v>2</v>
      </c>
      <c r="L846" s="47">
        <f>VLOOKUP($H:$H,型材表!$B$5:$I$448,4,0)</f>
        <v>1.4450000000000001</v>
      </c>
      <c r="M846" s="46">
        <f t="shared" ref="M846:M851" si="148">J846*K846*L846/1000</f>
        <v>3.2287080000000001</v>
      </c>
      <c r="N846" s="72">
        <f>VLOOKUP($H:$H,型材表!$B$5:$I$448,7,0)</f>
        <v>0</v>
      </c>
      <c r="O846" s="46">
        <f t="shared" ref="O846:O851" si="149">N846*M846</f>
        <v>0</v>
      </c>
      <c r="P846" s="100">
        <f>VLOOKUP($H:$H,型材表!$B$5:$I$448,5,0)</f>
        <v>0.125</v>
      </c>
      <c r="Q846" s="100" t="str">
        <f>VLOOKUP($H:$H,型材表!$B$5:$I$448,6,0)</f>
        <v>断桥隔热铝型材</v>
      </c>
      <c r="R846" s="49"/>
      <c r="S846" s="50"/>
      <c r="T846" s="459"/>
      <c r="U846" s="374" t="s">
        <v>1247</v>
      </c>
      <c r="V846" s="259">
        <f>48.9+33.9</f>
        <v>82.8</v>
      </c>
      <c r="X846" s="286">
        <f>48.9+33.9</f>
        <v>82.8</v>
      </c>
      <c r="Y846" s="265"/>
      <c r="Z846" s="286">
        <f>48.9+33.9</f>
        <v>82.8</v>
      </c>
      <c r="AA846" s="265"/>
      <c r="AB846" s="286">
        <f>48.9+33.9</f>
        <v>82.8</v>
      </c>
      <c r="AC846" s="265"/>
      <c r="AD846" s="286">
        <f>48.9+33.9</f>
        <v>82.8</v>
      </c>
      <c r="AE846" s="265"/>
      <c r="AF846" s="286">
        <f>50.9+35.9</f>
        <v>86.8</v>
      </c>
      <c r="AG846" s="265"/>
      <c r="AH846" s="286">
        <f>50.9+35.9</f>
        <v>86.8</v>
      </c>
      <c r="AI846" s="265"/>
      <c r="AJ846" s="264">
        <f>45.7+30.4</f>
        <v>76.099999999999994</v>
      </c>
      <c r="AK846" s="265"/>
    </row>
    <row r="847" spans="1:37" x14ac:dyDescent="0.15">
      <c r="A847" s="382">
        <v>6</v>
      </c>
      <c r="B847" s="534"/>
      <c r="C847" s="535"/>
      <c r="D847" s="535"/>
      <c r="E847" s="536"/>
      <c r="F847" s="47" t="str">
        <f>VLOOKUP($H:$H,型材表!$B$5:$I$448,2,0)</f>
        <v>外开扇</v>
      </c>
      <c r="G847" s="45" t="s">
        <v>144</v>
      </c>
      <c r="H847" s="207" t="str">
        <f>H846</f>
        <v>SW55S001</v>
      </c>
      <c r="I847" s="207" t="s">
        <v>1576</v>
      </c>
      <c r="J847" s="208">
        <f>IF(G827=55,M834-V847,IF(G827=551,M834-X847,IF(G827=60,M834-Z847,IF(G827=601,M834-AB847,IF(G827=65,M834-AD847,IF(G827=70,M834-AF847,IF(G827=75,M834-AH847,IF(G827=50,M834-AJ847))))))))</f>
        <v>617.20000000000005</v>
      </c>
      <c r="K847" s="207">
        <v>2</v>
      </c>
      <c r="L847" s="47">
        <f>VLOOKUP($H:$H,型材表!$B$5:$I$448,4,0)</f>
        <v>1.4450000000000001</v>
      </c>
      <c r="M847" s="46">
        <f t="shared" si="148"/>
        <v>1.7837080000000003</v>
      </c>
      <c r="N847" s="72">
        <f>VLOOKUP($H:$H,型材表!$B$5:$I$448,7,0)</f>
        <v>0</v>
      </c>
      <c r="O847" s="46">
        <f t="shared" si="149"/>
        <v>0</v>
      </c>
      <c r="P847" s="100">
        <f>VLOOKUP($H:$H,型材表!$B$5:$I$448,5,0)</f>
        <v>0.125</v>
      </c>
      <c r="Q847" s="100" t="str">
        <f>VLOOKUP($H:$H,型材表!$B$5:$I$448,6,0)</f>
        <v>断桥隔热铝型材</v>
      </c>
      <c r="R847" s="210"/>
      <c r="S847" s="50"/>
      <c r="T847" s="459"/>
      <c r="U847" s="374" t="s">
        <v>1575</v>
      </c>
      <c r="V847" s="259">
        <f>48.9+33.9</f>
        <v>82.8</v>
      </c>
      <c r="X847" s="286">
        <f>48.9+33.9</f>
        <v>82.8</v>
      </c>
      <c r="Y847" s="265"/>
      <c r="Z847" s="286">
        <f>48.9+33.9</f>
        <v>82.8</v>
      </c>
      <c r="AA847" s="265"/>
      <c r="AB847" s="286">
        <f>48.9+33.9</f>
        <v>82.8</v>
      </c>
      <c r="AC847" s="265"/>
      <c r="AD847" s="286">
        <f>48.9+33.9</f>
        <v>82.8</v>
      </c>
      <c r="AE847" s="265"/>
      <c r="AF847" s="286">
        <f>50.9+35.9</f>
        <v>86.8</v>
      </c>
      <c r="AG847" s="265"/>
      <c r="AH847" s="286">
        <f>50.9+35.9</f>
        <v>86.8</v>
      </c>
      <c r="AI847" s="265"/>
      <c r="AJ847" s="264">
        <f>45.7+30.4</f>
        <v>76.099999999999994</v>
      </c>
      <c r="AK847" s="265"/>
    </row>
    <row r="848" spans="1:37" x14ac:dyDescent="0.15">
      <c r="A848" s="382">
        <v>7</v>
      </c>
      <c r="B848" s="534"/>
      <c r="C848" s="535"/>
      <c r="D848" s="535"/>
      <c r="E848" s="536"/>
      <c r="F848" s="47" t="str">
        <f>VLOOKUP($H:$H,型材表!$B$5:$I$448,2,0)</f>
        <v>中梃</v>
      </c>
      <c r="G848" s="45" t="s">
        <v>39</v>
      </c>
      <c r="H848" s="45" t="str">
        <f>IF(G827=55,"SW55T001",IF(G827=551,"SW55BT001",IF(G827=60,"SW60T001",IF(G827=601,"SW60AT001",IF(G827=65,"SW65AT001",IF(G827=70,"SW70T001",IF(G827=75,"SW75T001",IF(G827=50,"SW50Z001"))))))))</f>
        <v>SW55T001</v>
      </c>
      <c r="I848" s="207" t="s">
        <v>1281</v>
      </c>
      <c r="J848" s="46">
        <f>IF(G827=55,M829-V848,IF(G827=551,M829-X848,IF(G827=60,M829-Z848,IF(G827=601,M829-AB848,IF(G827=65,M829-AD848,IF(G827=70,M829-AF848,IF(G827=75,M829-AH848,IF(G827=50,M829-AJ848))))))))</f>
        <v>1654</v>
      </c>
      <c r="K848" s="45">
        <v>1</v>
      </c>
      <c r="L848" s="47">
        <f>VLOOKUP($H:$H,型材表!$B$5:$I$448,4,0)</f>
        <v>1.113</v>
      </c>
      <c r="M848" s="46">
        <f t="shared" si="148"/>
        <v>1.840902</v>
      </c>
      <c r="N848" s="72">
        <f>VLOOKUP($H:$H,型材表!$B$5:$I$448,7,0)</f>
        <v>0</v>
      </c>
      <c r="O848" s="46">
        <f t="shared" si="149"/>
        <v>0</v>
      </c>
      <c r="P848" s="100">
        <f>VLOOKUP($H:$H,型材表!$B$5:$I$448,5,0)</f>
        <v>0.125</v>
      </c>
      <c r="Q848" s="100" t="str">
        <f>VLOOKUP($H:$H,型材表!$B$5:$I$448,6,0)</f>
        <v>断桥隔热铝型材</v>
      </c>
      <c r="R848" s="49"/>
      <c r="S848" s="50"/>
      <c r="T848" s="459"/>
      <c r="U848" s="374" t="s">
        <v>1234</v>
      </c>
      <c r="V848" s="259">
        <f>23*2</f>
        <v>46</v>
      </c>
      <c r="X848" s="286">
        <f>23*2</f>
        <v>46</v>
      </c>
      <c r="Y848" s="265"/>
      <c r="Z848" s="286">
        <f>23*2</f>
        <v>46</v>
      </c>
      <c r="AA848" s="265"/>
      <c r="AB848" s="286">
        <f>23*2</f>
        <v>46</v>
      </c>
      <c r="AC848" s="265"/>
      <c r="AD848" s="286">
        <f>23*2</f>
        <v>46</v>
      </c>
      <c r="AE848" s="265"/>
      <c r="AF848" s="286">
        <f>23*2</f>
        <v>46</v>
      </c>
      <c r="AG848" s="265"/>
      <c r="AH848" s="286">
        <f>23*2</f>
        <v>46</v>
      </c>
      <c r="AI848" s="265"/>
      <c r="AJ848" s="264">
        <f>23.3*2</f>
        <v>46.6</v>
      </c>
      <c r="AK848" s="265"/>
    </row>
    <row r="849" spans="1:37" x14ac:dyDescent="0.15">
      <c r="A849" s="382">
        <v>8</v>
      </c>
      <c r="B849" s="534"/>
      <c r="C849" s="535"/>
      <c r="D849" s="535"/>
      <c r="E849" s="536"/>
      <c r="F849" s="47" t="str">
        <f>VLOOKUP($H:$H,型材表!$B$5:$I$448,2,0)</f>
        <v>中梃</v>
      </c>
      <c r="G849" s="45" t="s">
        <v>40</v>
      </c>
      <c r="H849" s="207" t="str">
        <f>IF(G827=55,"SW55T001",IF(G827=551,"SW55BT001",IF(G827=60,"SW60T001",IF(G827=601,"SW60AT001",IF(G827=65,"SW65AT001",IF(G827=70,"SW70T001",IF(G827=75,"SW75T001",IF(G827=50,"SW50Z001"))))))))</f>
        <v>SW55T001</v>
      </c>
      <c r="I849" s="207" t="s">
        <v>1282</v>
      </c>
      <c r="J849" s="208">
        <f>IF(G827=55,M834-V849,IF(G827=551,M834-X849,IF(G827=60,M834-Z849,IF(G827=601,M834-AB849,IF(G827=65,M834-AD849,IF(G827=70,M834-AF849,IF(G827=75,M834-AH849,IF(G827=50,M834-AJ849))))))))</f>
        <v>669</v>
      </c>
      <c r="K849" s="207">
        <v>1</v>
      </c>
      <c r="L849" s="47">
        <f>VLOOKUP($H:$H,型材表!$B$5:$I$448,4,0)</f>
        <v>1.113</v>
      </c>
      <c r="M849" s="46">
        <f t="shared" ref="M849" si="150">J849*K849*L849/1000</f>
        <v>0.74459699999999995</v>
      </c>
      <c r="N849" s="72">
        <f>VLOOKUP($H:$H,型材表!$B$5:$I$448,7,0)</f>
        <v>0</v>
      </c>
      <c r="O849" s="46">
        <f t="shared" ref="O849" si="151">N849*M849</f>
        <v>0</v>
      </c>
      <c r="P849" s="100">
        <f>VLOOKUP($H:$H,型材表!$B$5:$I$448,5,0)</f>
        <v>0.125</v>
      </c>
      <c r="Q849" s="100" t="str">
        <f>VLOOKUP($H:$H,型材表!$B$5:$I$448,6,0)</f>
        <v>断桥隔热铝型材</v>
      </c>
      <c r="R849" s="210"/>
      <c r="S849" s="50"/>
      <c r="T849" s="459"/>
      <c r="U849" s="374" t="s">
        <v>1249</v>
      </c>
      <c r="V849" s="259">
        <f>23+8</f>
        <v>31</v>
      </c>
      <c r="X849" s="286">
        <f>23+8</f>
        <v>31</v>
      </c>
      <c r="Y849" s="265"/>
      <c r="Z849" s="286">
        <f>23+8</f>
        <v>31</v>
      </c>
      <c r="AA849" s="265"/>
      <c r="AB849" s="286">
        <f>23+8</f>
        <v>31</v>
      </c>
      <c r="AC849" s="265"/>
      <c r="AD849" s="286">
        <f>23+8</f>
        <v>31</v>
      </c>
      <c r="AE849" s="265"/>
      <c r="AF849" s="286">
        <f>23+8</f>
        <v>31</v>
      </c>
      <c r="AG849" s="265"/>
      <c r="AH849" s="286">
        <f>23+8</f>
        <v>31</v>
      </c>
      <c r="AI849" s="265"/>
      <c r="AJ849" s="264">
        <f>8+23.3</f>
        <v>31.3</v>
      </c>
      <c r="AK849" s="265"/>
    </row>
    <row r="850" spans="1:37" s="315" customFormat="1" x14ac:dyDescent="0.15">
      <c r="A850" s="382">
        <v>9</v>
      </c>
      <c r="B850" s="534"/>
      <c r="C850" s="535"/>
      <c r="D850" s="535"/>
      <c r="E850" s="536"/>
      <c r="F850" s="310" t="str">
        <f>VLOOKUP($H:$H,型材表!$B$5:$I$448,2,0)</f>
        <v>转向框</v>
      </c>
      <c r="G850" s="116" t="s">
        <v>39</v>
      </c>
      <c r="H850" s="116" t="str">
        <f>IF(G827=55,"SW55K102",IF(G827=551,"SW55BK102",IF(G827=60,"SW60K102",IF(G827=601,"SW60AK102",IF(G827=65,"SW65AK102",IF(G827=70,"SW70K102",IF(G827=75,"SW75K102",IF(G827=50,"SW50K101"))))))))</f>
        <v>SW55K102</v>
      </c>
      <c r="I850" s="207" t="s">
        <v>1283</v>
      </c>
      <c r="J850" s="147">
        <f>IF(G827=55,M831-V850,IF(G827=551,M831-X850,IF(G827=60,M831-Z850,IF(G827=601,M831-AB850,IF(G827=65,M831-AD850,IF(G827=70,M831-AF850,IF(G827=75,M831-AH850,IF(G827=50,M831-AJ850))))))))</f>
        <v>1161.7</v>
      </c>
      <c r="K850" s="116">
        <v>2</v>
      </c>
      <c r="L850" s="310">
        <f>VLOOKUP($H:$H,型材表!$B$5:$I$448,4,0)</f>
        <v>0.92300000000000004</v>
      </c>
      <c r="M850" s="147">
        <f t="shared" si="148"/>
        <v>2.1444982000000001</v>
      </c>
      <c r="N850" s="311">
        <f>VLOOKUP($H:$H,型材表!$B$5:$I$448,7,0)</f>
        <v>0</v>
      </c>
      <c r="O850" s="147">
        <f t="shared" si="149"/>
        <v>0</v>
      </c>
      <c r="P850" s="312">
        <f>VLOOKUP($H:$H,型材表!$B$5:$I$448,5,0)</f>
        <v>0.125</v>
      </c>
      <c r="Q850" s="100" t="str">
        <f>VLOOKUP($H:$H,型材表!$B$5:$I$448,6,0)</f>
        <v>断桥隔热铝型材</v>
      </c>
      <c r="R850" s="313"/>
      <c r="S850" s="314"/>
      <c r="T850" s="469"/>
      <c r="U850" s="376" t="s">
        <v>1293</v>
      </c>
      <c r="V850" s="316">
        <f>25.3+13</f>
        <v>38.299999999999997</v>
      </c>
      <c r="W850" s="316"/>
      <c r="X850" s="317">
        <f>25.3+13</f>
        <v>38.299999999999997</v>
      </c>
      <c r="Y850" s="318"/>
      <c r="Z850" s="317">
        <f>25.3+13</f>
        <v>38.299999999999997</v>
      </c>
      <c r="AA850" s="318"/>
      <c r="AB850" s="317">
        <f>25.3+13</f>
        <v>38.299999999999997</v>
      </c>
      <c r="AC850" s="318"/>
      <c r="AD850" s="317">
        <f>25.3+13</f>
        <v>38.299999999999997</v>
      </c>
      <c r="AE850" s="318"/>
      <c r="AF850" s="317">
        <f>25.3+10.3</f>
        <v>35.6</v>
      </c>
      <c r="AG850" s="318"/>
      <c r="AH850" s="317">
        <f>25.3+10.3</f>
        <v>35.6</v>
      </c>
      <c r="AI850" s="318"/>
      <c r="AJ850" s="317">
        <f>10+25.3</f>
        <v>35.299999999999997</v>
      </c>
      <c r="AK850" s="318"/>
    </row>
    <row r="851" spans="1:37" s="315" customFormat="1" x14ac:dyDescent="0.15">
      <c r="A851" s="382">
        <v>10</v>
      </c>
      <c r="B851" s="534"/>
      <c r="C851" s="535"/>
      <c r="D851" s="535"/>
      <c r="E851" s="536"/>
      <c r="F851" s="310" t="str">
        <f>VLOOKUP($H:$H,型材表!$B$5:$I$448,2,0)</f>
        <v>转向框</v>
      </c>
      <c r="G851" s="116" t="s">
        <v>144</v>
      </c>
      <c r="H851" s="328" t="str">
        <f>H850</f>
        <v>SW55K102</v>
      </c>
      <c r="I851" s="207" t="s">
        <v>1579</v>
      </c>
      <c r="J851" s="329">
        <f>IF(G827=55,M834-V851,IF(G827=551,M834-X851,IF(G827=60,M834-Z851,IF(G827=601,M834-AB851,IF(G827=65,M834-AD851,IF(G827=70,M834-AF851,IF(G827=75,M834-AH851,IF(G827=50,M834-AJ851))))))))</f>
        <v>661.7</v>
      </c>
      <c r="K851" s="328">
        <v>2</v>
      </c>
      <c r="L851" s="310">
        <f>VLOOKUP($H:$H,型材表!$B$5:$I$448,4,0)</f>
        <v>0.92300000000000004</v>
      </c>
      <c r="M851" s="147">
        <f t="shared" si="148"/>
        <v>1.2214982000000003</v>
      </c>
      <c r="N851" s="311">
        <f>VLOOKUP($H:$H,型材表!$B$5:$I$448,7,0)</f>
        <v>0</v>
      </c>
      <c r="O851" s="147">
        <f t="shared" si="149"/>
        <v>0</v>
      </c>
      <c r="P851" s="312">
        <f>VLOOKUP($H:$H,型材表!$B$5:$I$448,5,0)</f>
        <v>0.125</v>
      </c>
      <c r="Q851" s="100" t="str">
        <f>VLOOKUP($H:$H,型材表!$B$5:$I$448,6,0)</f>
        <v>断桥隔热铝型材</v>
      </c>
      <c r="R851" s="330"/>
      <c r="S851" s="314"/>
      <c r="T851" s="469"/>
      <c r="U851" s="376" t="s">
        <v>1577</v>
      </c>
      <c r="V851" s="316">
        <f>25.3+13</f>
        <v>38.299999999999997</v>
      </c>
      <c r="W851" s="316"/>
      <c r="X851" s="317">
        <f>25.3+13</f>
        <v>38.299999999999997</v>
      </c>
      <c r="Y851" s="318"/>
      <c r="Z851" s="317">
        <f>25.3+13</f>
        <v>38.299999999999997</v>
      </c>
      <c r="AA851" s="318"/>
      <c r="AB851" s="317">
        <f>25.3+13</f>
        <v>38.299999999999997</v>
      </c>
      <c r="AC851" s="318"/>
      <c r="AD851" s="317">
        <f>25.3+13</f>
        <v>38.299999999999997</v>
      </c>
      <c r="AE851" s="318"/>
      <c r="AF851" s="317">
        <f>25.3+10.3</f>
        <v>35.6</v>
      </c>
      <c r="AG851" s="318"/>
      <c r="AH851" s="317">
        <f>25.3+10.3</f>
        <v>35.6</v>
      </c>
      <c r="AI851" s="318"/>
      <c r="AJ851" s="317">
        <f>10+25.3</f>
        <v>35.299999999999997</v>
      </c>
      <c r="AK851" s="318"/>
    </row>
    <row r="852" spans="1:37" x14ac:dyDescent="0.15">
      <c r="A852" s="382">
        <v>11</v>
      </c>
      <c r="B852" s="537"/>
      <c r="C852" s="538"/>
      <c r="D852" s="538"/>
      <c r="E852" s="539"/>
      <c r="F852" s="47"/>
      <c r="G852" s="45"/>
      <c r="H852" s="45"/>
      <c r="I852" s="207"/>
      <c r="J852" s="46"/>
      <c r="K852" s="45"/>
      <c r="L852" s="47"/>
      <c r="M852" s="46"/>
      <c r="N852" s="72"/>
      <c r="O852" s="46"/>
      <c r="P852" s="100"/>
      <c r="Q852" s="100"/>
      <c r="R852" s="49"/>
      <c r="S852" s="50"/>
      <c r="T852" s="459"/>
      <c r="X852" s="264"/>
      <c r="Y852" s="265"/>
      <c r="Z852" s="264"/>
      <c r="AA852" s="265"/>
      <c r="AB852" s="264"/>
      <c r="AC852" s="265"/>
      <c r="AD852" s="264"/>
      <c r="AE852" s="265"/>
      <c r="AF852" s="264"/>
      <c r="AG852" s="265"/>
      <c r="AH852" s="264"/>
      <c r="AI852" s="265"/>
      <c r="AJ852" s="264"/>
      <c r="AK852" s="265"/>
    </row>
    <row r="853" spans="1:37" x14ac:dyDescent="0.15">
      <c r="A853" s="382">
        <v>12</v>
      </c>
      <c r="B853" s="542" t="s">
        <v>1273</v>
      </c>
      <c r="C853" s="543"/>
      <c r="D853" s="543"/>
      <c r="E853" s="544"/>
      <c r="F853" s="310" t="str">
        <f>VLOOKUP($H:$H,型材表!$B$5:$I$448,2,0)</f>
        <v>转角料</v>
      </c>
      <c r="G853" s="207"/>
      <c r="H853" s="207" t="str">
        <f>IF(G827=55,"SN55J001",IF(G827=551,"SN55BJ001",IF(G827=60,"SN60J001",IF(G827=601,"SN60AJ001",IF(G827=65,"SN65AJ001",IF(G827=70,"SN70J001",IF(G827=75,"SN75J001",IF(G827=50,"SW50F005"))))))))</f>
        <v>SN55J001</v>
      </c>
      <c r="I853" s="207" t="s">
        <v>1270</v>
      </c>
      <c r="J853" s="208">
        <f>M829</f>
        <v>1700</v>
      </c>
      <c r="K853" s="207">
        <v>1</v>
      </c>
      <c r="L853" s="310">
        <f>VLOOKUP($H:$H,型材表!$B$5:$I$448,4,0)</f>
        <v>1.2430000000000001</v>
      </c>
      <c r="M853" s="147">
        <f t="shared" ref="M853" si="152">J853*K853*L853/1000</f>
        <v>2.1131000000000002</v>
      </c>
      <c r="N853" s="311">
        <f>VLOOKUP($H:$H,型材表!$B$5:$I$448,7,0)</f>
        <v>0</v>
      </c>
      <c r="O853" s="147">
        <f t="shared" ref="O853" si="153">N853*M853</f>
        <v>0</v>
      </c>
      <c r="P853" s="312">
        <f>VLOOKUP($H:$H,型材表!$B$5:$I$448,5,0)</f>
        <v>0.125</v>
      </c>
      <c r="Q853" s="100" t="str">
        <f>VLOOKUP($H:$H,型材表!$B$5:$I$448,6,0)</f>
        <v>断桥隔热铝型材</v>
      </c>
      <c r="R853" s="210"/>
      <c r="S853" s="50"/>
      <c r="T853" s="459"/>
      <c r="X853" s="264"/>
      <c r="Y853" s="265"/>
      <c r="Z853" s="264"/>
      <c r="AA853" s="265"/>
      <c r="AB853" s="264"/>
      <c r="AC853" s="265"/>
      <c r="AD853" s="264"/>
      <c r="AE853" s="265"/>
      <c r="AF853" s="264"/>
      <c r="AG853" s="265"/>
      <c r="AH853" s="264"/>
      <c r="AI853" s="265"/>
      <c r="AJ853" s="264"/>
      <c r="AK853" s="265"/>
    </row>
    <row r="854" spans="1:37" ht="13.5" customHeight="1" x14ac:dyDescent="0.15">
      <c r="A854" s="382">
        <v>13</v>
      </c>
      <c r="B854" s="531" t="s">
        <v>44</v>
      </c>
      <c r="C854" s="532"/>
      <c r="D854" s="532"/>
      <c r="E854" s="533"/>
      <c r="F854" s="47" t="str">
        <f>VLOOKUP($H:$H,型材表!$B$5:$I$448,2,0)</f>
        <v>压线</v>
      </c>
      <c r="G854" s="45" t="s">
        <v>39</v>
      </c>
      <c r="H854" s="45" t="str">
        <f>IF(G827=55,"SN55Y001",IF(G827=551,"SW55BY001",IF(G827=60,"SN60Y001",IF(G827=601,"SW60AY001",IF(G827=65,"SN65AY001",IF(G827=70,"SN70Y001",IF(G827=75,"SN75Y001",IF(G827=50,"SW50Y001"))))))))</f>
        <v>SN55Y001</v>
      </c>
      <c r="I854" s="207" t="s">
        <v>1284</v>
      </c>
      <c r="J854" s="52">
        <f>IF(G827=55,M831-V854,IF(G827=551,M831-X854,IF(G827=60,M831-Z854,IF(G827=601,M831-AB854,IF(G827=65,M831-AD854,IF(G827=70,M831-AF854,IF(G827=75,M831-AH854,IF(G827=50,M831-AJ854))))))))</f>
        <v>1015.2</v>
      </c>
      <c r="K854" s="45">
        <f>K847</f>
        <v>2</v>
      </c>
      <c r="L854" s="47">
        <f>VLOOKUP($H:$H,型材表!$B$5:$I$448,4,0)</f>
        <v>0.214</v>
      </c>
      <c r="M854" s="46">
        <f t="shared" ref="M854:M864" si="154">J854*K854*L854/1000</f>
        <v>0.43450559999999999</v>
      </c>
      <c r="N854" s="72">
        <f>VLOOKUP($H:$H,型材表!$B$5:$I$448,7,0)</f>
        <v>0</v>
      </c>
      <c r="O854" s="46">
        <f t="shared" ref="O854:O864" si="155">N854*M854</f>
        <v>0</v>
      </c>
      <c r="P854" s="100">
        <f>VLOOKUP($H:$H,型材表!$B$5:$I$448,5,0)</f>
        <v>0.125</v>
      </c>
      <c r="Q854" s="100" t="str">
        <f>VLOOKUP($H:$H,型材表!$B$5:$I$448,6,0)</f>
        <v>非断桥隔热铝型材</v>
      </c>
      <c r="R854" s="49"/>
      <c r="S854" s="50"/>
      <c r="T854" s="459"/>
      <c r="U854" s="374" t="s">
        <v>1251</v>
      </c>
      <c r="V854" s="269">
        <f>99.9+84.9</f>
        <v>184.8</v>
      </c>
      <c r="X854" s="279">
        <f>99.9+84.9</f>
        <v>184.8</v>
      </c>
      <c r="Y854" s="265"/>
      <c r="Z854" s="279">
        <f>99.9+84.9</f>
        <v>184.8</v>
      </c>
      <c r="AA854" s="265"/>
      <c r="AB854" s="279">
        <f>99.9+84.9</f>
        <v>184.8</v>
      </c>
      <c r="AC854" s="265"/>
      <c r="AD854" s="279">
        <f>99.9+84.9</f>
        <v>184.8</v>
      </c>
      <c r="AE854" s="265"/>
      <c r="AF854" s="279">
        <f>105.4+90.4</f>
        <v>195.8</v>
      </c>
      <c r="AG854" s="265"/>
      <c r="AH854" s="279">
        <f>105.4+90.4</f>
        <v>195.8</v>
      </c>
      <c r="AI854" s="265"/>
      <c r="AJ854" s="279">
        <f>90.4+75.1</f>
        <v>165.5</v>
      </c>
      <c r="AK854" s="265"/>
    </row>
    <row r="855" spans="1:37" ht="13.5" customHeight="1" x14ac:dyDescent="0.15">
      <c r="A855" s="382">
        <v>14</v>
      </c>
      <c r="B855" s="534"/>
      <c r="C855" s="535"/>
      <c r="D855" s="535"/>
      <c r="E855" s="536"/>
      <c r="F855" s="47" t="str">
        <f>VLOOKUP($H:$H,型材表!$B$5:$I$448,2,0)</f>
        <v>压线</v>
      </c>
      <c r="G855" s="45" t="s">
        <v>39</v>
      </c>
      <c r="H855" s="207" t="str">
        <f>H854</f>
        <v>SN55Y001</v>
      </c>
      <c r="I855" s="207" t="s">
        <v>1285</v>
      </c>
      <c r="J855" s="214">
        <f>IF(G827=55,M832-V855,IF(G827=551,M832-X855,IF(G827=60,M832-Z855,IF(G827=601,M832-AB855,IF(G827=65,M832-AD855,IF(G827=70,M832-AF855,IF(G827=75,M832-AH855,IF(G827=50,M832-AJ855))))))))</f>
        <v>469</v>
      </c>
      <c r="K855" s="207">
        <v>2</v>
      </c>
      <c r="L855" s="47">
        <f>VLOOKUP($H:$H,型材表!$B$5:$I$448,4,0)</f>
        <v>0.214</v>
      </c>
      <c r="M855" s="46">
        <f t="shared" ref="M855:M856" si="156">J855*K855*L855/1000</f>
        <v>0.20073199999999999</v>
      </c>
      <c r="N855" s="72">
        <f>VLOOKUP($H:$H,型材表!$B$5:$I$448,7,0)</f>
        <v>0</v>
      </c>
      <c r="O855" s="46">
        <f t="shared" ref="O855:O856" si="157">N855*M855</f>
        <v>0</v>
      </c>
      <c r="P855" s="100">
        <f>VLOOKUP($H:$H,型材表!$B$5:$I$448,5,0)</f>
        <v>0.125</v>
      </c>
      <c r="Q855" s="100" t="str">
        <f>VLOOKUP($H:$H,型材表!$B$5:$I$448,6,0)</f>
        <v>非断桥隔热铝型材</v>
      </c>
      <c r="R855" s="210"/>
      <c r="S855" s="50"/>
      <c r="T855" s="459"/>
      <c r="U855" s="374" t="s">
        <v>1252</v>
      </c>
      <c r="V855" s="269">
        <f>8+23</f>
        <v>31</v>
      </c>
      <c r="X855" s="279">
        <f>8+23</f>
        <v>31</v>
      </c>
      <c r="Y855" s="265"/>
      <c r="Z855" s="279">
        <f>8+23</f>
        <v>31</v>
      </c>
      <c r="AA855" s="265"/>
      <c r="AB855" s="279">
        <f>8+23</f>
        <v>31</v>
      </c>
      <c r="AC855" s="265"/>
      <c r="AD855" s="279">
        <f>8+23</f>
        <v>31</v>
      </c>
      <c r="AE855" s="265"/>
      <c r="AF855" s="279">
        <f>8+23</f>
        <v>31</v>
      </c>
      <c r="AG855" s="265"/>
      <c r="AH855" s="279">
        <f>8+23</f>
        <v>31</v>
      </c>
      <c r="AI855" s="265"/>
      <c r="AJ855" s="279">
        <f>8+23.3</f>
        <v>31.3</v>
      </c>
      <c r="AK855" s="265"/>
    </row>
    <row r="856" spans="1:37" ht="13.5" customHeight="1" x14ac:dyDescent="0.15">
      <c r="A856" s="382">
        <v>15</v>
      </c>
      <c r="B856" s="534"/>
      <c r="C856" s="535"/>
      <c r="D856" s="535"/>
      <c r="E856" s="536"/>
      <c r="F856" s="47" t="str">
        <f>VLOOKUP($H:$H,型材表!$B$5:$I$448,2,0)</f>
        <v>压线</v>
      </c>
      <c r="G856" s="45" t="s">
        <v>39</v>
      </c>
      <c r="H856" s="207" t="str">
        <f>H855</f>
        <v>SN55Y001</v>
      </c>
      <c r="I856" s="207" t="s">
        <v>1294</v>
      </c>
      <c r="J856" s="214">
        <f>IF(G827=55,M829-V856,IF(G827=551,M829-X856,IF(G827=60,M829-Z856,IF(G827=601,M829-AB856,IF(G827=65,M829-AD856,IF(G827=70,M829-AF856,IF(G827=75,M829-AH856,IF(G827=50,M829-AJ856))))))))</f>
        <v>1654</v>
      </c>
      <c r="K856" s="207">
        <v>4</v>
      </c>
      <c r="L856" s="47">
        <f>VLOOKUP($H:$H,型材表!$B$5:$I$448,4,0)</f>
        <v>0.214</v>
      </c>
      <c r="M856" s="46">
        <f t="shared" si="156"/>
        <v>1.415824</v>
      </c>
      <c r="N856" s="72">
        <f>VLOOKUP($H:$H,型材表!$B$5:$I$448,7,0)</f>
        <v>0</v>
      </c>
      <c r="O856" s="46">
        <f t="shared" si="157"/>
        <v>0</v>
      </c>
      <c r="P856" s="100">
        <f>VLOOKUP($H:$H,型材表!$B$5:$I$448,5,0)</f>
        <v>0.125</v>
      </c>
      <c r="Q856" s="100" t="str">
        <f>VLOOKUP($H:$H,型材表!$B$5:$I$448,6,0)</f>
        <v>非断桥隔热铝型材</v>
      </c>
      <c r="R856" s="210"/>
      <c r="S856" s="50"/>
      <c r="T856" s="459"/>
      <c r="U856" s="374" t="s">
        <v>1253</v>
      </c>
      <c r="V856" s="269">
        <f>23*2</f>
        <v>46</v>
      </c>
      <c r="X856" s="279">
        <f>23*2</f>
        <v>46</v>
      </c>
      <c r="Y856" s="265"/>
      <c r="Z856" s="279">
        <f>23*2</f>
        <v>46</v>
      </c>
      <c r="AA856" s="265"/>
      <c r="AB856" s="279">
        <f>23*2</f>
        <v>46</v>
      </c>
      <c r="AC856" s="265"/>
      <c r="AD856" s="279">
        <f>23*2</f>
        <v>46</v>
      </c>
      <c r="AE856" s="265"/>
      <c r="AF856" s="279">
        <f>23*2</f>
        <v>46</v>
      </c>
      <c r="AG856" s="265"/>
      <c r="AH856" s="279">
        <f>23*2</f>
        <v>46</v>
      </c>
      <c r="AI856" s="265"/>
      <c r="AJ856" s="279">
        <f>23.3*2</f>
        <v>46.6</v>
      </c>
      <c r="AK856" s="265"/>
    </row>
    <row r="857" spans="1:37" x14ac:dyDescent="0.15">
      <c r="A857" s="382">
        <v>16</v>
      </c>
      <c r="B857" s="534"/>
      <c r="C857" s="535"/>
      <c r="D857" s="535"/>
      <c r="E857" s="536"/>
      <c r="F857" s="47" t="str">
        <f>VLOOKUP($H:$H,型材表!$B$5:$I$448,2,0)</f>
        <v>压线</v>
      </c>
      <c r="G857" s="45" t="s">
        <v>144</v>
      </c>
      <c r="H857" s="207" t="str">
        <f t="shared" ref="H857:H860" si="158">H856</f>
        <v>SN55Y001</v>
      </c>
      <c r="I857" s="207" t="s">
        <v>1287</v>
      </c>
      <c r="J857" s="214">
        <f>IF(G827=55,M834-V857,IF(G827=551,M834-X857,IF(G827=60,M834-Z857,IF(G827=601,M834-AB857,IF(G827=65,M834-AD857,IF(G827=70,M834-AF857,IF(G827=75,M834-AH857,IF(G827=50,M834-AJ857))))))))</f>
        <v>515.20000000000005</v>
      </c>
      <c r="K857" s="207">
        <v>2</v>
      </c>
      <c r="L857" s="47">
        <f>VLOOKUP($H:$H,型材表!$B$5:$I$448,4,0)</f>
        <v>0.214</v>
      </c>
      <c r="M857" s="46">
        <f t="shared" si="154"/>
        <v>0.22050560000000002</v>
      </c>
      <c r="N857" s="72">
        <f>VLOOKUP($H:$H,型材表!$B$5:$I$448,7,0)</f>
        <v>0</v>
      </c>
      <c r="O857" s="46">
        <f t="shared" si="155"/>
        <v>0</v>
      </c>
      <c r="P857" s="100">
        <f>VLOOKUP($H:$H,型材表!$B$5:$I$448,5,0)</f>
        <v>0.125</v>
      </c>
      <c r="Q857" s="100" t="str">
        <f>VLOOKUP($H:$H,型材表!$B$5:$I$448,6,0)</f>
        <v>非断桥隔热铝型材</v>
      </c>
      <c r="R857" s="210"/>
      <c r="S857" s="50"/>
      <c r="T857" s="459"/>
      <c r="U857" s="374" t="s">
        <v>1254</v>
      </c>
      <c r="V857" s="269">
        <f>99.9+84.9</f>
        <v>184.8</v>
      </c>
      <c r="X857" s="279">
        <f>99.9+84.9</f>
        <v>184.8</v>
      </c>
      <c r="Y857" s="265"/>
      <c r="Z857" s="279">
        <f>99.9+84.9</f>
        <v>184.8</v>
      </c>
      <c r="AA857" s="265"/>
      <c r="AB857" s="279">
        <f>99.9+84.9</f>
        <v>184.8</v>
      </c>
      <c r="AC857" s="265"/>
      <c r="AD857" s="279">
        <f>99.9+84.9</f>
        <v>184.8</v>
      </c>
      <c r="AE857" s="265"/>
      <c r="AF857" s="279">
        <f>105.4+90.4</f>
        <v>195.8</v>
      </c>
      <c r="AG857" s="265"/>
      <c r="AH857" s="279">
        <f>105.4+90.4</f>
        <v>195.8</v>
      </c>
      <c r="AI857" s="265"/>
      <c r="AJ857" s="279">
        <f>90.4+75.1</f>
        <v>165.5</v>
      </c>
      <c r="AK857" s="265"/>
    </row>
    <row r="858" spans="1:37" x14ac:dyDescent="0.15">
      <c r="A858" s="382">
        <v>17</v>
      </c>
      <c r="B858" s="534"/>
      <c r="C858" s="535"/>
      <c r="D858" s="535"/>
      <c r="E858" s="536"/>
      <c r="F858" s="47" t="str">
        <f>VLOOKUP($H:$H,型材表!$B$5:$I$448,2,0)</f>
        <v>压线</v>
      </c>
      <c r="G858" s="45" t="s">
        <v>40</v>
      </c>
      <c r="H858" s="207" t="str">
        <f t="shared" si="158"/>
        <v>SN55Y001</v>
      </c>
      <c r="I858" s="207" t="s">
        <v>1245</v>
      </c>
      <c r="J858" s="214">
        <f>IF(G827=55,M834-V858,IF(G827=551,M834-X858,IF(G827=60,M834-Z858,IF(G827=601,M834-AB858,IF(G827=65,M834-AD858,IF(G827=70,M834-AF858,IF(G827=75,M834-AH858,IF(G827=50,M834-AJ858))))))))</f>
        <v>669</v>
      </c>
      <c r="K858" s="207">
        <v>2</v>
      </c>
      <c r="L858" s="47">
        <f>VLOOKUP($H:$H,型材表!$B$5:$I$448,4,0)</f>
        <v>0.214</v>
      </c>
      <c r="M858" s="46">
        <f t="shared" ref="M858:M860" si="159">J858*K858*L858/1000</f>
        <v>0.28633199999999998</v>
      </c>
      <c r="N858" s="72">
        <f>VLOOKUP($H:$H,型材表!$B$5:$I$448,7,0)</f>
        <v>0</v>
      </c>
      <c r="O858" s="46">
        <f t="shared" ref="O858:O860" si="160">N858*M858</f>
        <v>0</v>
      </c>
      <c r="P858" s="100">
        <f>VLOOKUP($H:$H,型材表!$B$5:$I$448,5,0)</f>
        <v>0.125</v>
      </c>
      <c r="Q858" s="100" t="str">
        <f>VLOOKUP($H:$H,型材表!$B$5:$I$448,6,0)</f>
        <v>非断桥隔热铝型材</v>
      </c>
      <c r="R858" s="210"/>
      <c r="S858" s="50"/>
      <c r="T858" s="459"/>
      <c r="U858" s="374" t="s">
        <v>1255</v>
      </c>
      <c r="V858" s="269">
        <f>8+23</f>
        <v>31</v>
      </c>
      <c r="X858" s="279">
        <f>8+23</f>
        <v>31</v>
      </c>
      <c r="Y858" s="265"/>
      <c r="Z858" s="279">
        <f>8+23</f>
        <v>31</v>
      </c>
      <c r="AA858" s="265"/>
      <c r="AB858" s="279">
        <f>8+23</f>
        <v>31</v>
      </c>
      <c r="AC858" s="265"/>
      <c r="AD858" s="279">
        <f>8+23</f>
        <v>31</v>
      </c>
      <c r="AE858" s="265"/>
      <c r="AF858" s="279">
        <f>8+23</f>
        <v>31</v>
      </c>
      <c r="AG858" s="265"/>
      <c r="AH858" s="279">
        <f>8+23</f>
        <v>31</v>
      </c>
      <c r="AI858" s="265"/>
      <c r="AJ858" s="279">
        <f>23.3+8</f>
        <v>31.3</v>
      </c>
      <c r="AK858" s="265"/>
    </row>
    <row r="859" spans="1:37" x14ac:dyDescent="0.15">
      <c r="A859" s="382">
        <v>18</v>
      </c>
      <c r="B859" s="534"/>
      <c r="C859" s="535"/>
      <c r="D859" s="535"/>
      <c r="E859" s="536"/>
      <c r="F859" s="47" t="str">
        <f>VLOOKUP($H:$H,型材表!$B$5:$I$448,2,0)</f>
        <v>压线</v>
      </c>
      <c r="G859" s="45" t="s">
        <v>40</v>
      </c>
      <c r="H859" s="207" t="str">
        <f t="shared" si="158"/>
        <v>SN55Y001</v>
      </c>
      <c r="I859" s="207" t="s">
        <v>1587</v>
      </c>
      <c r="J859" s="214">
        <f>IF(G827=55,M835-V859,IF(G827=551,M835-X859,IF(G827=60,M835-Z859,IF(G827=601,M835-AB859,IF(G827=65,M835-AD859,IF(G827=70,M835-AF859,IF(G827=75,M835-AH859,IF(G827=50,M835-AJ859))))))))</f>
        <v>1114</v>
      </c>
      <c r="K859" s="207">
        <v>2</v>
      </c>
      <c r="L859" s="47">
        <f>VLOOKUP($H:$H,型材表!$B$5:$I$448,4,0)</f>
        <v>0.214</v>
      </c>
      <c r="M859" s="46">
        <f t="shared" si="159"/>
        <v>0.47679199999999999</v>
      </c>
      <c r="N859" s="72">
        <f>VLOOKUP($H:$H,型材表!$B$5:$I$448,7,0)</f>
        <v>0</v>
      </c>
      <c r="O859" s="46">
        <f t="shared" si="160"/>
        <v>0</v>
      </c>
      <c r="P859" s="100">
        <f>VLOOKUP($H:$H,型材表!$B$5:$I$448,5,0)</f>
        <v>0.125</v>
      </c>
      <c r="Q859" s="100" t="str">
        <f>VLOOKUP($H:$H,型材表!$B$5:$I$448,6,0)</f>
        <v>非断桥隔热铝型材</v>
      </c>
      <c r="R859" s="210"/>
      <c r="S859" s="50"/>
      <c r="T859" s="459"/>
      <c r="U859" s="374" t="s">
        <v>1586</v>
      </c>
      <c r="V859" s="259">
        <f>8+78</f>
        <v>86</v>
      </c>
      <c r="X859" s="286">
        <f>8+78</f>
        <v>86</v>
      </c>
      <c r="Y859" s="265"/>
      <c r="Z859" s="264">
        <f>8+83.2</f>
        <v>91.2</v>
      </c>
      <c r="AA859" s="265"/>
      <c r="AB859" s="264">
        <f>8+83.4</f>
        <v>91.4</v>
      </c>
      <c r="AC859" s="265"/>
      <c r="AD859" s="264">
        <f>8+87.2</f>
        <v>95.2</v>
      </c>
      <c r="AE859" s="265"/>
      <c r="AF859" s="264">
        <f>93.2+8</f>
        <v>101.2</v>
      </c>
      <c r="AG859" s="265"/>
      <c r="AH859" s="264">
        <f>97.2+8</f>
        <v>105.2</v>
      </c>
      <c r="AI859" s="265"/>
      <c r="AJ859" s="264">
        <f>10.25+73.3</f>
        <v>83.55</v>
      </c>
      <c r="AK859" s="265"/>
    </row>
    <row r="860" spans="1:37" x14ac:dyDescent="0.15">
      <c r="A860" s="382">
        <v>19</v>
      </c>
      <c r="B860" s="534"/>
      <c r="C860" s="535"/>
      <c r="D860" s="535"/>
      <c r="E860" s="536"/>
      <c r="F860" s="47" t="str">
        <f>VLOOKUP($H:$H,型材表!$B$5:$I$448,2,0)</f>
        <v>压线</v>
      </c>
      <c r="G860" s="45" t="s">
        <v>40</v>
      </c>
      <c r="H860" s="207" t="str">
        <f t="shared" si="158"/>
        <v>SN55Y001</v>
      </c>
      <c r="I860" s="207" t="s">
        <v>1589</v>
      </c>
      <c r="J860" s="214">
        <f>IF(G827=55,M836-V860,IF(G827=551,M836-X860,IF(G827=60,M836-Z860,IF(G827=601,M836-AB860,IF(G827=65,M836-AD860,IF(G827=70,M836-AF860,IF(G827=75,M836-AH860,IF(G827=50,M836-AJ860))))))))</f>
        <v>399</v>
      </c>
      <c r="K860" s="207">
        <v>2</v>
      </c>
      <c r="L860" s="47">
        <f>VLOOKUP($H:$H,型材表!$B$5:$I$448,4,0)</f>
        <v>0.214</v>
      </c>
      <c r="M860" s="46">
        <f t="shared" si="159"/>
        <v>0.17077199999999998</v>
      </c>
      <c r="N860" s="72">
        <f>VLOOKUP($H:$H,型材表!$B$5:$I$448,7,0)</f>
        <v>0</v>
      </c>
      <c r="O860" s="46">
        <f t="shared" si="160"/>
        <v>0</v>
      </c>
      <c r="P860" s="100">
        <f>VLOOKUP($H:$H,型材表!$B$5:$I$448,5,0)</f>
        <v>0.125</v>
      </c>
      <c r="Q860" s="100" t="str">
        <f>VLOOKUP($H:$H,型材表!$B$5:$I$448,6,0)</f>
        <v>非断桥隔热铝型材</v>
      </c>
      <c r="R860" s="210"/>
      <c r="S860" s="50"/>
      <c r="T860" s="459"/>
      <c r="U860" s="374" t="s">
        <v>1588</v>
      </c>
      <c r="V860" s="259">
        <f>78+23</f>
        <v>101</v>
      </c>
      <c r="X860" s="286">
        <f>78+23</f>
        <v>101</v>
      </c>
      <c r="Y860" s="265"/>
      <c r="Z860" s="264">
        <f>83.2+23</f>
        <v>106.2</v>
      </c>
      <c r="AA860" s="265"/>
      <c r="AB860" s="264">
        <f>83.4+23</f>
        <v>106.4</v>
      </c>
      <c r="AC860" s="265"/>
      <c r="AD860" s="264">
        <f>87.2+23</f>
        <v>110.2</v>
      </c>
      <c r="AE860" s="265"/>
      <c r="AF860" s="264">
        <f>93.2+23</f>
        <v>116.2</v>
      </c>
      <c r="AG860" s="265"/>
      <c r="AH860" s="264">
        <f>97.2+23</f>
        <v>120.2</v>
      </c>
      <c r="AI860" s="265"/>
      <c r="AJ860" s="264">
        <f>73.3+23.3</f>
        <v>96.6</v>
      </c>
      <c r="AK860" s="265"/>
    </row>
    <row r="861" spans="1:37" x14ac:dyDescent="0.15">
      <c r="A861" s="382">
        <v>20</v>
      </c>
      <c r="B861" s="534"/>
      <c r="C861" s="535"/>
      <c r="D861" s="535"/>
      <c r="E861" s="536"/>
      <c r="F861" s="47" t="str">
        <f>VLOOKUP($H:$H,型材表!$B$5:$I$448,2,0)</f>
        <v>角码</v>
      </c>
      <c r="G861" s="213" t="s">
        <v>446</v>
      </c>
      <c r="H861" s="207" t="str">
        <f>IF(G827=70,"SN55F003",IF(G827=75,"SN55F003",IF(G827=50,"SW50F002","SW55F001")))</f>
        <v>SW55F001</v>
      </c>
      <c r="I861" s="207" t="s">
        <v>1268</v>
      </c>
      <c r="J861" s="214">
        <f>IF(G827=55,V861,IF(G827=551,X861,IF(G827=60,Z861,IF(G827=601,AB861,IF(G827=65,AD861,IF(G827=70,AF861,IF(G827=75,AH861,IF(G827=50,AJ861))))))))</f>
        <v>32.200000000000003</v>
      </c>
      <c r="K861" s="207">
        <v>8</v>
      </c>
      <c r="L861" s="47">
        <f>VLOOKUP($H:$H,型材表!$B$5:$I$448,4,0)</f>
        <v>2.0950000000000002</v>
      </c>
      <c r="M861" s="46">
        <f t="shared" si="154"/>
        <v>0.53967200000000015</v>
      </c>
      <c r="N861" s="72">
        <f>VLOOKUP($H:$H,型材表!$B$5:$I$448,7,0)</f>
        <v>0</v>
      </c>
      <c r="O861" s="46">
        <f t="shared" si="155"/>
        <v>0</v>
      </c>
      <c r="P861" s="100">
        <f>VLOOKUP($H:$H,型材表!$B$5:$I$448,5,0)</f>
        <v>0.125</v>
      </c>
      <c r="Q861" s="100" t="str">
        <f>VLOOKUP($H:$H,型材表!$B$5:$I$448,6,0)</f>
        <v>阳极氧化铝型材</v>
      </c>
      <c r="R861" s="210"/>
      <c r="S861" s="50"/>
      <c r="T861" s="459"/>
      <c r="U861" s="374" t="s">
        <v>1268</v>
      </c>
      <c r="V861" s="259">
        <f>19.5-1+14.7-1</f>
        <v>32.200000000000003</v>
      </c>
      <c r="X861" s="264">
        <f>19.5-1+10.9-1</f>
        <v>28.4</v>
      </c>
      <c r="Y861" s="265"/>
      <c r="Z861" s="264">
        <f>19.5-1+14.7-1</f>
        <v>32.200000000000003</v>
      </c>
      <c r="AA861" s="265"/>
      <c r="AB861" s="264">
        <f>19.5-1+10.9-1</f>
        <v>28.4</v>
      </c>
      <c r="AC861" s="265"/>
      <c r="AD861" s="264">
        <f>19.5-1+14.7-1</f>
        <v>32.200000000000003</v>
      </c>
      <c r="AE861" s="265"/>
      <c r="AF861" s="264">
        <f>19.5-1+14.7-1</f>
        <v>32.200000000000003</v>
      </c>
      <c r="AG861" s="265"/>
      <c r="AH861" s="264">
        <f>19.5-1+14.7-1</f>
        <v>32.200000000000003</v>
      </c>
      <c r="AI861" s="265"/>
      <c r="AJ861" s="264">
        <f>15-1</f>
        <v>14</v>
      </c>
      <c r="AK861" s="265"/>
    </row>
    <row r="862" spans="1:37" s="229" customFormat="1" x14ac:dyDescent="0.15">
      <c r="A862" s="382">
        <v>21</v>
      </c>
      <c r="B862" s="534"/>
      <c r="C862" s="535"/>
      <c r="D862" s="535"/>
      <c r="E862" s="536"/>
      <c r="F862" s="47" t="str">
        <f>VLOOKUP($H:$H,型材表!$B$5:$I$448,2,0)</f>
        <v>角码</v>
      </c>
      <c r="G862" s="230" t="s">
        <v>447</v>
      </c>
      <c r="H862" s="222" t="str">
        <f>IF(G827=70,"SW70F001",IF(G827=75,"SW70F001",IF(G827=50,"SW50F003","SN55MF004")))</f>
        <v>SN55MF004</v>
      </c>
      <c r="I862" s="207" t="s">
        <v>995</v>
      </c>
      <c r="J862" s="214">
        <f>IF(G827=55,V862,IF(G827=551,X862,IF(G827=60,Z862,IF(G827=601,AB862,IF(G827=65,AD862,IF(G827=70,AF862,IF(G827=75,AH862,IF(G827=50,AJ862))))))))</f>
        <v>30.2</v>
      </c>
      <c r="K862" s="207">
        <v>4</v>
      </c>
      <c r="L862" s="47">
        <f>VLOOKUP($H:$H,型材表!$B$5:$I$448,4,0)</f>
        <v>2.996</v>
      </c>
      <c r="M862" s="46">
        <f t="shared" si="154"/>
        <v>0.36191679999999998</v>
      </c>
      <c r="N862" s="72">
        <f>VLOOKUP($H:$H,型材表!$B$5:$I$448,7,0)</f>
        <v>0</v>
      </c>
      <c r="O862" s="46">
        <f t="shared" si="155"/>
        <v>0</v>
      </c>
      <c r="P862" s="100">
        <f>VLOOKUP($H:$H,型材表!$B$5:$I$448,5,0)</f>
        <v>0.125</v>
      </c>
      <c r="Q862" s="100" t="str">
        <f>VLOOKUP($H:$H,型材表!$B$5:$I$448,6,0)</f>
        <v>阳极氧化铝型材</v>
      </c>
      <c r="R862" s="227"/>
      <c r="S862" s="228"/>
      <c r="T862" s="467"/>
      <c r="U862" s="375" t="s">
        <v>1271</v>
      </c>
      <c r="V862" s="266">
        <f>8-1+24.2-1</f>
        <v>30.2</v>
      </c>
      <c r="W862" s="266"/>
      <c r="X862" s="267">
        <f>4.2-1+24.2-1</f>
        <v>26.4</v>
      </c>
      <c r="Y862" s="268"/>
      <c r="Z862" s="267">
        <f>8-1+24.2-1</f>
        <v>30.2</v>
      </c>
      <c r="AA862" s="268"/>
      <c r="AB862" s="267">
        <f>4.2-1+24.2-1</f>
        <v>26.4</v>
      </c>
      <c r="AC862" s="268"/>
      <c r="AD862" s="267">
        <f>8-1+24.2-1</f>
        <v>30.2</v>
      </c>
      <c r="AE862" s="268"/>
      <c r="AF862" s="267">
        <f>7.3-1+24-1</f>
        <v>29.3</v>
      </c>
      <c r="AG862" s="268"/>
      <c r="AH862" s="267">
        <f>7.3-1+24-1</f>
        <v>29.3</v>
      </c>
      <c r="AI862" s="268"/>
      <c r="AJ862" s="267">
        <f>18.9-1</f>
        <v>17.899999999999999</v>
      </c>
      <c r="AK862" s="268"/>
    </row>
    <row r="863" spans="1:37" x14ac:dyDescent="0.15">
      <c r="A863" s="382">
        <v>22</v>
      </c>
      <c r="B863" s="534"/>
      <c r="C863" s="535"/>
      <c r="D863" s="535"/>
      <c r="E863" s="536"/>
      <c r="F863" s="47" t="str">
        <f>VLOOKUP($H:$H,型材表!$B$5:$I$448,2,0)</f>
        <v>中梃角码</v>
      </c>
      <c r="G863" s="51"/>
      <c r="H863" s="45" t="str">
        <f>IF(G827=50,"SW50F004","SN55F001")</f>
        <v>SN55F001</v>
      </c>
      <c r="I863" s="207" t="s">
        <v>1269</v>
      </c>
      <c r="J863" s="52">
        <f>IF(G827=55,V863,IF(G827=551,X863,IF(G827=60,Z863,IF(G827=601,AB863,IF(G827=65,AD863,IF(G827=70,AF863,IF(G827=75,AH863,IF(G827=50,AJ863))))))))</f>
        <v>18.5</v>
      </c>
      <c r="K863" s="45">
        <v>4</v>
      </c>
      <c r="L863" s="47">
        <f>VLOOKUP($H:$H,型材表!$B$5:$I$448,4,0)</f>
        <v>1.4730000000000001</v>
      </c>
      <c r="M863" s="46">
        <f t="shared" si="154"/>
        <v>0.10900200000000002</v>
      </c>
      <c r="N863" s="72">
        <f>VLOOKUP($H:$H,型材表!$B$5:$I$448,7,0)</f>
        <v>0</v>
      </c>
      <c r="O863" s="46">
        <f t="shared" si="155"/>
        <v>0</v>
      </c>
      <c r="P863" s="100">
        <f>VLOOKUP($H:$H,型材表!$B$5:$I$448,5,0)</f>
        <v>0.125</v>
      </c>
      <c r="Q863" s="100" t="str">
        <f>VLOOKUP($H:$H,型材表!$B$5:$I$448,6,0)</f>
        <v>阳极氧化铝型材</v>
      </c>
      <c r="R863" s="49"/>
      <c r="S863" s="50"/>
      <c r="T863" s="459"/>
      <c r="U863" s="374" t="s">
        <v>1269</v>
      </c>
      <c r="V863" s="259">
        <f>19.5-1</f>
        <v>18.5</v>
      </c>
      <c r="X863" s="264">
        <f>19.5-1</f>
        <v>18.5</v>
      </c>
      <c r="Y863" s="265"/>
      <c r="Z863" s="286">
        <f>19.5-1</f>
        <v>18.5</v>
      </c>
      <c r="AA863" s="265"/>
      <c r="AB863" s="264">
        <f>19.5-1</f>
        <v>18.5</v>
      </c>
      <c r="AC863" s="265"/>
      <c r="AD863" s="286">
        <f>19.5-1</f>
        <v>18.5</v>
      </c>
      <c r="AE863" s="265"/>
      <c r="AF863" s="286">
        <f>19.5-1</f>
        <v>18.5</v>
      </c>
      <c r="AG863" s="265"/>
      <c r="AH863" s="286">
        <f>19.5-1</f>
        <v>18.5</v>
      </c>
      <c r="AI863" s="265"/>
      <c r="AJ863" s="264">
        <f>13.2-1</f>
        <v>12.2</v>
      </c>
      <c r="AK863" s="265"/>
    </row>
    <row r="864" spans="1:37" x14ac:dyDescent="0.15">
      <c r="A864" s="382">
        <v>23</v>
      </c>
      <c r="B864" s="534"/>
      <c r="C864" s="535"/>
      <c r="D864" s="535"/>
      <c r="E864" s="536"/>
      <c r="F864" s="47" t="str">
        <f>VLOOKUP($H:$H,型材表!$B$5:$I$448,2,0)</f>
        <v>中梃角码</v>
      </c>
      <c r="G864" s="213"/>
      <c r="H864" s="207" t="str">
        <f>IF(G827=501,"SN55BF001",IF(G827=601,"SN55BF001",IF(G827=70,"SN70F001",IF(G827=75,"SN70F001","SN55F002"))))</f>
        <v>SN55F002</v>
      </c>
      <c r="I864" s="207" t="s">
        <v>1272</v>
      </c>
      <c r="J864" s="214">
        <f>IF(G827=55,V864,IF(G827=551,X864,IF(G827=60,Z864,IF(G827=601,AB864,IF(G827=65,AD864,IF(G827=70,AF864,IF(G827=75,AH864,IF(G827=50,AJ864))))))))</f>
        <v>13.5</v>
      </c>
      <c r="K864" s="207">
        <v>4</v>
      </c>
      <c r="L864" s="47">
        <f>VLOOKUP($H:$H,型材表!$B$5:$I$448,4,0)</f>
        <v>0.90400000000000003</v>
      </c>
      <c r="M864" s="46">
        <f t="shared" si="154"/>
        <v>4.8816000000000005E-2</v>
      </c>
      <c r="N864" s="72">
        <f>VLOOKUP($H:$H,型材表!$B$5:$I$448,7,0)</f>
        <v>0</v>
      </c>
      <c r="O864" s="46">
        <f t="shared" si="155"/>
        <v>0</v>
      </c>
      <c r="P864" s="100">
        <f>VLOOKUP($H:$H,型材表!$B$5:$I$448,5,0)</f>
        <v>0.125</v>
      </c>
      <c r="Q864" s="100" t="str">
        <f>VLOOKUP($H:$H,型材表!$B$5:$I$448,6,0)</f>
        <v>阳极氧化铝型材</v>
      </c>
      <c r="R864" s="210"/>
      <c r="S864" s="50"/>
      <c r="T864" s="459"/>
      <c r="U864" s="374" t="s">
        <v>1272</v>
      </c>
      <c r="V864" s="259">
        <f>14.5-1</f>
        <v>13.5</v>
      </c>
      <c r="X864" s="264">
        <f>10.7-1</f>
        <v>9.6999999999999993</v>
      </c>
      <c r="Y864" s="265"/>
      <c r="Z864" s="286">
        <f>14.5-1</f>
        <v>13.5</v>
      </c>
      <c r="AA864" s="265"/>
      <c r="AB864" s="264">
        <f>10.7-1</f>
        <v>9.6999999999999993</v>
      </c>
      <c r="AC864" s="265"/>
      <c r="AD864" s="286">
        <f>14.5-1</f>
        <v>13.5</v>
      </c>
      <c r="AE864" s="265"/>
      <c r="AF864" s="286">
        <f>14.5-1</f>
        <v>13.5</v>
      </c>
      <c r="AG864" s="265"/>
      <c r="AH864" s="286">
        <f>14.5-1</f>
        <v>13.5</v>
      </c>
      <c r="AI864" s="265"/>
      <c r="AJ864" s="264"/>
      <c r="AK864" s="265"/>
    </row>
    <row r="865" spans="1:37" x14ac:dyDescent="0.15">
      <c r="A865" s="382">
        <v>24</v>
      </c>
      <c r="B865" s="534"/>
      <c r="C865" s="535"/>
      <c r="D865" s="535"/>
      <c r="E865" s="536"/>
      <c r="F865" s="306"/>
      <c r="G865" s="213"/>
      <c r="H865" s="207"/>
      <c r="I865" s="207"/>
      <c r="J865" s="214"/>
      <c r="K865" s="207"/>
      <c r="L865" s="306"/>
      <c r="M865" s="208"/>
      <c r="N865" s="209"/>
      <c r="O865" s="208"/>
      <c r="P865" s="307"/>
      <c r="Q865" s="100"/>
      <c r="R865" s="210"/>
      <c r="S865" s="50"/>
      <c r="T865" s="459"/>
      <c r="X865" s="264"/>
      <c r="Y865" s="265"/>
      <c r="Z865" s="264"/>
      <c r="AA865" s="265"/>
      <c r="AB865" s="264"/>
      <c r="AC865" s="265"/>
      <c r="AD865" s="264"/>
      <c r="AE865" s="265"/>
      <c r="AF865" s="264"/>
      <c r="AG865" s="265"/>
      <c r="AH865" s="264"/>
      <c r="AI865" s="265"/>
      <c r="AJ865" s="264"/>
      <c r="AK865" s="265"/>
    </row>
    <row r="866" spans="1:37" x14ac:dyDescent="0.15">
      <c r="A866" s="382">
        <v>25</v>
      </c>
      <c r="B866" s="534"/>
      <c r="C866" s="535"/>
      <c r="D866" s="535"/>
      <c r="E866" s="536"/>
      <c r="F866" s="306"/>
      <c r="G866" s="213"/>
      <c r="H866" s="207"/>
      <c r="I866" s="207"/>
      <c r="J866" s="214"/>
      <c r="K866" s="207"/>
      <c r="L866" s="306"/>
      <c r="M866" s="208"/>
      <c r="N866" s="209"/>
      <c r="O866" s="208"/>
      <c r="P866" s="307"/>
      <c r="Q866" s="100"/>
      <c r="R866" s="210"/>
      <c r="S866" s="50"/>
      <c r="T866" s="459"/>
      <c r="X866" s="264"/>
      <c r="Y866" s="265"/>
      <c r="Z866" s="264"/>
      <c r="AA866" s="265"/>
      <c r="AB866" s="264"/>
      <c r="AC866" s="265"/>
      <c r="AD866" s="264"/>
      <c r="AE866" s="265"/>
      <c r="AF866" s="264"/>
      <c r="AG866" s="265"/>
      <c r="AH866" s="264"/>
      <c r="AI866" s="265"/>
      <c r="AJ866" s="264"/>
      <c r="AK866" s="265"/>
    </row>
    <row r="867" spans="1:37" x14ac:dyDescent="0.15">
      <c r="A867" s="382">
        <v>26</v>
      </c>
      <c r="B867" s="534"/>
      <c r="C867" s="535"/>
      <c r="D867" s="535"/>
      <c r="E867" s="536"/>
      <c r="F867" s="306"/>
      <c r="G867" s="213"/>
      <c r="H867" s="207"/>
      <c r="I867" s="207"/>
      <c r="J867" s="214"/>
      <c r="K867" s="207"/>
      <c r="L867" s="306"/>
      <c r="M867" s="208"/>
      <c r="N867" s="209"/>
      <c r="O867" s="208"/>
      <c r="P867" s="307"/>
      <c r="Q867" s="100"/>
      <c r="R867" s="210"/>
      <c r="S867" s="50"/>
      <c r="T867" s="459"/>
      <c r="X867" s="264"/>
      <c r="Y867" s="265"/>
      <c r="Z867" s="264"/>
      <c r="AA867" s="265"/>
      <c r="AB867" s="264"/>
      <c r="AC867" s="265"/>
      <c r="AD867" s="264"/>
      <c r="AE867" s="265"/>
      <c r="AF867" s="264"/>
      <c r="AG867" s="265"/>
      <c r="AH867" s="264"/>
      <c r="AI867" s="265"/>
      <c r="AJ867" s="264"/>
      <c r="AK867" s="265"/>
    </row>
    <row r="868" spans="1:37" x14ac:dyDescent="0.15">
      <c r="A868" s="382">
        <v>27</v>
      </c>
      <c r="B868" s="534"/>
      <c r="C868" s="535"/>
      <c r="D868" s="535"/>
      <c r="E868" s="536"/>
      <c r="F868" s="306"/>
      <c r="G868" s="213"/>
      <c r="H868" s="207"/>
      <c r="I868" s="207"/>
      <c r="J868" s="214"/>
      <c r="K868" s="207"/>
      <c r="L868" s="306"/>
      <c r="M868" s="208"/>
      <c r="N868" s="209"/>
      <c r="O868" s="208"/>
      <c r="P868" s="307"/>
      <c r="Q868" s="100"/>
      <c r="R868" s="210"/>
      <c r="S868" s="50"/>
      <c r="T868" s="459"/>
      <c r="X868" s="264"/>
      <c r="Y868" s="265"/>
      <c r="Z868" s="264"/>
      <c r="AA868" s="265"/>
      <c r="AB868" s="264"/>
      <c r="AC868" s="265"/>
      <c r="AD868" s="264"/>
      <c r="AE868" s="265"/>
      <c r="AF868" s="264"/>
      <c r="AG868" s="265"/>
      <c r="AH868" s="264"/>
      <c r="AI868" s="265"/>
      <c r="AJ868" s="264"/>
      <c r="AK868" s="265"/>
    </row>
    <row r="869" spans="1:37" s="229" customFormat="1" ht="13.5" customHeight="1" x14ac:dyDescent="0.15">
      <c r="A869" s="542" t="s">
        <v>975</v>
      </c>
      <c r="B869" s="543"/>
      <c r="C869" s="543"/>
      <c r="D869" s="543"/>
      <c r="E869" s="543"/>
      <c r="F869" s="543"/>
      <c r="G869" s="543"/>
      <c r="H869" s="543"/>
      <c r="I869" s="543"/>
      <c r="J869" s="543"/>
      <c r="K869" s="543"/>
      <c r="L869" s="544"/>
      <c r="M869" s="224">
        <f>SUMIF($Q$842:$Q$868,A869,$M$842:$M$869)</f>
        <v>24.081471399999998</v>
      </c>
      <c r="N869" s="353"/>
      <c r="O869" s="224"/>
      <c r="P869" s="354"/>
      <c r="Q869" s="355"/>
      <c r="R869" s="296"/>
      <c r="S869" s="228"/>
      <c r="T869" s="467"/>
      <c r="U869" s="375"/>
      <c r="V869" s="266"/>
      <c r="W869" s="266"/>
      <c r="X869" s="267"/>
      <c r="Y869" s="268"/>
      <c r="Z869" s="267"/>
      <c r="AA869" s="268"/>
      <c r="AB869" s="267"/>
      <c r="AC869" s="268"/>
      <c r="AD869" s="267"/>
      <c r="AE869" s="268"/>
      <c r="AF869" s="267"/>
      <c r="AG869" s="268"/>
      <c r="AH869" s="267"/>
      <c r="AI869" s="268"/>
      <c r="AJ869" s="267"/>
      <c r="AK869" s="268"/>
    </row>
    <row r="870" spans="1:37" s="229" customFormat="1" ht="13.5" customHeight="1" x14ac:dyDescent="0.15">
      <c r="A870" s="542" t="s">
        <v>976</v>
      </c>
      <c r="B870" s="543"/>
      <c r="C870" s="543"/>
      <c r="D870" s="543"/>
      <c r="E870" s="543"/>
      <c r="F870" s="543"/>
      <c r="G870" s="543"/>
      <c r="H870" s="543"/>
      <c r="I870" s="543"/>
      <c r="J870" s="543"/>
      <c r="K870" s="543"/>
      <c r="L870" s="544"/>
      <c r="M870" s="224">
        <f>SUMIF($Q$842:$Q$868,A870,$M$842:$M$869)</f>
        <v>3.2054631999999996</v>
      </c>
      <c r="N870" s="353"/>
      <c r="O870" s="224"/>
      <c r="P870" s="354"/>
      <c r="Q870" s="355"/>
      <c r="R870" s="296"/>
      <c r="S870" s="228"/>
      <c r="T870" s="467"/>
      <c r="U870" s="375"/>
      <c r="V870" s="266"/>
      <c r="W870" s="266"/>
      <c r="X870" s="267"/>
      <c r="Y870" s="268"/>
      <c r="Z870" s="267"/>
      <c r="AA870" s="268"/>
      <c r="AB870" s="267"/>
      <c r="AC870" s="268"/>
      <c r="AD870" s="267"/>
      <c r="AE870" s="268"/>
      <c r="AF870" s="267"/>
      <c r="AG870" s="268"/>
      <c r="AH870" s="267"/>
      <c r="AI870" s="268"/>
      <c r="AJ870" s="267"/>
      <c r="AK870" s="268"/>
    </row>
    <row r="871" spans="1:37" s="229" customFormat="1" ht="13.5" customHeight="1" x14ac:dyDescent="0.15">
      <c r="A871" s="542" t="s">
        <v>977</v>
      </c>
      <c r="B871" s="543"/>
      <c r="C871" s="543"/>
      <c r="D871" s="543"/>
      <c r="E871" s="543"/>
      <c r="F871" s="543"/>
      <c r="G871" s="543"/>
      <c r="H871" s="543"/>
      <c r="I871" s="543"/>
      <c r="J871" s="543"/>
      <c r="K871" s="543"/>
      <c r="L871" s="544"/>
      <c r="M871" s="224">
        <f>SUMIF($Q$842:$Q$868,A871,$M$842:$M$869)</f>
        <v>1.0594068000000001</v>
      </c>
      <c r="N871" s="353"/>
      <c r="O871" s="224"/>
      <c r="P871" s="354"/>
      <c r="Q871" s="355"/>
      <c r="R871" s="296"/>
      <c r="S871" s="228"/>
      <c r="T871" s="467"/>
      <c r="U871" s="375"/>
      <c r="V871" s="266"/>
      <c r="W871" s="266"/>
      <c r="X871" s="267"/>
      <c r="Y871" s="268"/>
      <c r="Z871" s="267"/>
      <c r="AA871" s="268"/>
      <c r="AB871" s="267"/>
      <c r="AC871" s="268"/>
      <c r="AD871" s="267"/>
      <c r="AE871" s="268"/>
      <c r="AF871" s="267"/>
      <c r="AG871" s="268"/>
      <c r="AH871" s="267"/>
      <c r="AI871" s="268"/>
      <c r="AJ871" s="267"/>
      <c r="AK871" s="268"/>
    </row>
    <row r="872" spans="1:37" ht="13.5" customHeight="1" x14ac:dyDescent="0.15">
      <c r="A872" s="552"/>
      <c r="B872" s="557"/>
      <c r="C872" s="557"/>
      <c r="D872" s="553"/>
      <c r="E872" s="552" t="s">
        <v>48</v>
      </c>
      <c r="F872" s="557"/>
      <c r="G872" s="557"/>
      <c r="H872" s="557"/>
      <c r="I872" s="557"/>
      <c r="J872" s="557"/>
      <c r="K872" s="553"/>
      <c r="L872" s="62"/>
      <c r="M872" s="62">
        <f>SUM(M869:M871)</f>
        <v>28.3463414</v>
      </c>
      <c r="N872" s="63"/>
      <c r="O872" s="62">
        <f>SUM(O842:O868)</f>
        <v>0</v>
      </c>
      <c r="P872" s="63"/>
      <c r="Q872" s="337"/>
      <c r="R872" s="64"/>
      <c r="S872" s="64"/>
      <c r="T872" s="460"/>
      <c r="X872" s="264"/>
      <c r="Y872" s="265"/>
      <c r="Z872" s="264"/>
      <c r="AA872" s="265"/>
      <c r="AB872" s="264"/>
      <c r="AC872" s="265"/>
      <c r="AD872" s="264"/>
      <c r="AE872" s="265"/>
      <c r="AF872" s="264"/>
      <c r="AG872" s="265"/>
      <c r="AH872" s="264"/>
      <c r="AI872" s="265"/>
      <c r="AJ872" s="264"/>
      <c r="AK872" s="265"/>
    </row>
    <row r="873" spans="1:37" ht="24" x14ac:dyDescent="0.15">
      <c r="A873" s="65"/>
      <c r="B873" s="560" t="s">
        <v>49</v>
      </c>
      <c r="C873" s="561"/>
      <c r="D873" s="561"/>
      <c r="E873" s="562"/>
      <c r="F873" s="565" t="s">
        <v>26</v>
      </c>
      <c r="G873" s="566"/>
      <c r="H873" s="66" t="s">
        <v>1167</v>
      </c>
      <c r="I873" s="351" t="s">
        <v>1168</v>
      </c>
      <c r="J873" s="66" t="s">
        <v>50</v>
      </c>
      <c r="K873" s="66" t="s">
        <v>51</v>
      </c>
      <c r="L873" s="67" t="s">
        <v>30</v>
      </c>
      <c r="M873" s="66" t="s">
        <v>52</v>
      </c>
      <c r="N873" s="68" t="s">
        <v>53</v>
      </c>
      <c r="O873" s="68" t="s">
        <v>34</v>
      </c>
      <c r="P873" s="69" t="s">
        <v>35</v>
      </c>
      <c r="Q873" s="42"/>
      <c r="R873" s="67"/>
      <c r="S873" s="67"/>
      <c r="T873" s="461"/>
      <c r="V873" s="270" t="s">
        <v>352</v>
      </c>
      <c r="W873" s="270" t="s">
        <v>353</v>
      </c>
      <c r="X873" s="271" t="s">
        <v>352</v>
      </c>
      <c r="Y873" s="272" t="s">
        <v>353</v>
      </c>
      <c r="Z873" s="271" t="s">
        <v>352</v>
      </c>
      <c r="AA873" s="272" t="s">
        <v>353</v>
      </c>
      <c r="AB873" s="271" t="s">
        <v>352</v>
      </c>
      <c r="AC873" s="272" t="s">
        <v>353</v>
      </c>
      <c r="AD873" s="271" t="s">
        <v>352</v>
      </c>
      <c r="AE873" s="272" t="s">
        <v>353</v>
      </c>
      <c r="AF873" s="271" t="s">
        <v>352</v>
      </c>
      <c r="AG873" s="272" t="s">
        <v>353</v>
      </c>
      <c r="AH873" s="271" t="s">
        <v>352</v>
      </c>
      <c r="AI873" s="272" t="s">
        <v>353</v>
      </c>
      <c r="AJ873" s="271" t="s">
        <v>352</v>
      </c>
      <c r="AK873" s="272" t="s">
        <v>353</v>
      </c>
    </row>
    <row r="874" spans="1:37" x14ac:dyDescent="0.15">
      <c r="A874" s="302">
        <v>1</v>
      </c>
      <c r="B874" s="542" t="s">
        <v>133</v>
      </c>
      <c r="C874" s="543"/>
      <c r="D874" s="543"/>
      <c r="E874" s="544"/>
      <c r="F874" s="545" t="s">
        <v>55</v>
      </c>
      <c r="G874" s="547"/>
      <c r="H874" s="45" t="s">
        <v>1260</v>
      </c>
      <c r="I874" s="207" t="s">
        <v>1261</v>
      </c>
      <c r="J874" s="46">
        <f>IF(G827=55,M834-V874,IF(G827=551,M834-X874,IF(G827=60,M834-Z874,IF(G827=601,M834-AB874,IF(G827=65,M834-AD874,IF(G827=70,M834-AF874,IF(G827=75,M834-AH874,IF(G827=50,M834-AJ874))))))))</f>
        <v>495.2</v>
      </c>
      <c r="K874" s="70">
        <f>IF(G827=55,M831-W874,IF(G827=551,M831-Y874,IF(G827=60,M831-AA874,IF(G827=601,M831-AC874,IF(G827=65,M831-AE874,IF(G827=70,M831-AG874,IF(G827=75,M831-AI874,IF(G827=50,M831-AK874))))))))</f>
        <v>995.2</v>
      </c>
      <c r="L874" s="70">
        <v>1</v>
      </c>
      <c r="M874" s="46">
        <f>J874*K874*L874/1000000</f>
        <v>0.49282304000000005</v>
      </c>
      <c r="N874" s="46"/>
      <c r="O874" s="46">
        <f>N874*M874</f>
        <v>0</v>
      </c>
      <c r="P874" s="71"/>
      <c r="Q874" s="71"/>
      <c r="R874" s="72"/>
      <c r="S874" s="72"/>
      <c r="T874" s="462" t="s">
        <v>1621</v>
      </c>
      <c r="U874" s="374" t="s">
        <v>1627</v>
      </c>
      <c r="V874" s="259">
        <f t="shared" ref="V874:AE874" si="161">109.9+94.9</f>
        <v>204.8</v>
      </c>
      <c r="W874" s="259">
        <f t="shared" si="161"/>
        <v>204.8</v>
      </c>
      <c r="X874" s="286">
        <f t="shared" si="161"/>
        <v>204.8</v>
      </c>
      <c r="Y874" s="304">
        <f t="shared" si="161"/>
        <v>204.8</v>
      </c>
      <c r="Z874" s="286">
        <f t="shared" si="161"/>
        <v>204.8</v>
      </c>
      <c r="AA874" s="304">
        <f t="shared" si="161"/>
        <v>204.8</v>
      </c>
      <c r="AB874" s="286">
        <f t="shared" si="161"/>
        <v>204.8</v>
      </c>
      <c r="AC874" s="304">
        <f t="shared" si="161"/>
        <v>204.8</v>
      </c>
      <c r="AD874" s="286">
        <f t="shared" si="161"/>
        <v>204.8</v>
      </c>
      <c r="AE874" s="304">
        <f t="shared" si="161"/>
        <v>204.8</v>
      </c>
      <c r="AF874" s="286">
        <f>117.4+102.4</f>
        <v>219.8</v>
      </c>
      <c r="AG874" s="304">
        <f>117.4+102.4</f>
        <v>219.8</v>
      </c>
      <c r="AH874" s="286">
        <f>117.4+102.4</f>
        <v>219.8</v>
      </c>
      <c r="AI874" s="304">
        <f>117.4+102.4</f>
        <v>219.8</v>
      </c>
      <c r="AJ874" s="259">
        <f>98.4+83.1</f>
        <v>181.5</v>
      </c>
      <c r="AK874" s="318">
        <f>98.4+83.1</f>
        <v>181.5</v>
      </c>
    </row>
    <row r="875" spans="1:37" x14ac:dyDescent="0.15">
      <c r="A875" s="238">
        <v>2</v>
      </c>
      <c r="B875" s="542" t="s">
        <v>134</v>
      </c>
      <c r="C875" s="543"/>
      <c r="D875" s="543"/>
      <c r="E875" s="544"/>
      <c r="F875" s="545" t="s">
        <v>135</v>
      </c>
      <c r="G875" s="547"/>
      <c r="H875" s="45" t="s">
        <v>1262</v>
      </c>
      <c r="I875" s="207" t="s">
        <v>1264</v>
      </c>
      <c r="J875" s="208">
        <f>IF(G827=55,M834-V875,IF(G827=551,M834-X875,IF(G827=60,M834-Z875,IF(G827=601,M834-AB875,IF(G827=65,M834-AD875,IF(G827=70,M834-AF875,IF(G827=75,M834-AH875,IF(G827=50,M834-AJ875))))))))</f>
        <v>647</v>
      </c>
      <c r="K875" s="239">
        <f>IF(G827=55,M832-W875,IF(G827=551,M832-Y875,IF(G827=60,M832-AA875,IF(G827=601,M832-AC875,IF(G827=65,M832-AE875,IF(G827=70,M832-AG875,IF(G827=75,M832-AI875,IF(G827=50,M832-AK875))))))))</f>
        <v>447</v>
      </c>
      <c r="L875" s="239">
        <v>1</v>
      </c>
      <c r="M875" s="46">
        <f>J875*K875*L875/1000000</f>
        <v>0.28920899999999999</v>
      </c>
      <c r="N875" s="208"/>
      <c r="O875" s="46">
        <f>N875*M875</f>
        <v>0</v>
      </c>
      <c r="P875" s="240"/>
      <c r="Q875" s="71"/>
      <c r="R875" s="209"/>
      <c r="S875" s="209"/>
      <c r="T875" s="462" t="s">
        <v>1622</v>
      </c>
      <c r="U875" s="374" t="s">
        <v>1628</v>
      </c>
      <c r="V875" s="259">
        <f t="shared" ref="V875:AE875" si="162">18+35</f>
        <v>53</v>
      </c>
      <c r="W875" s="259">
        <f t="shared" si="162"/>
        <v>53</v>
      </c>
      <c r="X875" s="286">
        <f t="shared" si="162"/>
        <v>53</v>
      </c>
      <c r="Y875" s="304">
        <f t="shared" si="162"/>
        <v>53</v>
      </c>
      <c r="Z875" s="286">
        <f t="shared" si="162"/>
        <v>53</v>
      </c>
      <c r="AA875" s="304">
        <f t="shared" si="162"/>
        <v>53</v>
      </c>
      <c r="AB875" s="286">
        <f t="shared" si="162"/>
        <v>53</v>
      </c>
      <c r="AC875" s="304">
        <f t="shared" si="162"/>
        <v>53</v>
      </c>
      <c r="AD875" s="286">
        <f t="shared" si="162"/>
        <v>53</v>
      </c>
      <c r="AE875" s="304">
        <f t="shared" si="162"/>
        <v>53</v>
      </c>
      <c r="AF875" s="286">
        <f>20+35</f>
        <v>55</v>
      </c>
      <c r="AG875" s="304">
        <f>20+35</f>
        <v>55</v>
      </c>
      <c r="AH875" s="286">
        <f>20+35</f>
        <v>55</v>
      </c>
      <c r="AI875" s="304">
        <f>20+35</f>
        <v>55</v>
      </c>
      <c r="AJ875" s="264">
        <f>16+31.3</f>
        <v>47.3</v>
      </c>
      <c r="AK875" s="318">
        <f>16+31.3</f>
        <v>47.3</v>
      </c>
    </row>
    <row r="876" spans="1:37" x14ac:dyDescent="0.15">
      <c r="A876" s="382">
        <v>3</v>
      </c>
      <c r="B876" s="542" t="s">
        <v>134</v>
      </c>
      <c r="C876" s="543"/>
      <c r="D876" s="543"/>
      <c r="E876" s="544"/>
      <c r="F876" s="545" t="s">
        <v>145</v>
      </c>
      <c r="G876" s="547"/>
      <c r="H876" s="45" t="s">
        <v>1295</v>
      </c>
      <c r="I876" s="207" t="s">
        <v>1265</v>
      </c>
      <c r="J876" s="45">
        <f>IF(G827=55,M835-V876,IF(G827=551,M835-X876,IF(G827=60,M835-Z876,IF(G827=601,M835-AB876,IF(G827=65,M835-AD876,IF(G827=70,M835-AF876,IF(G827=75,M835-AH876,IF(G827=50,M835-AJ876))))))))</f>
        <v>1092</v>
      </c>
      <c r="K876" s="45">
        <f>IF(G827=55,M829-W876,IF(G827=551,M829-Y876,IF(G827=60,M829-AA876,IF(G827=601,M829-AC876,IF(G827=65,M829-AE876,IF(G827=70,M829-AG876,IF(G827=75,M829-AI876,IF(G827=50,M829-AK876))))))))</f>
        <v>1630</v>
      </c>
      <c r="L876" s="70">
        <v>1</v>
      </c>
      <c r="M876" s="46">
        <f>J876*K876*L876/1000000</f>
        <v>1.77996</v>
      </c>
      <c r="N876" s="46"/>
      <c r="O876" s="46">
        <f>N876*M876</f>
        <v>0</v>
      </c>
      <c r="P876" s="71"/>
      <c r="Q876" s="71"/>
      <c r="R876" s="72"/>
      <c r="S876" s="72"/>
      <c r="T876" s="462" t="s">
        <v>1629</v>
      </c>
      <c r="U876" s="374" t="s">
        <v>1623</v>
      </c>
      <c r="V876" s="259">
        <f>18+90</f>
        <v>108</v>
      </c>
      <c r="W876" s="259">
        <f>35*2</f>
        <v>70</v>
      </c>
      <c r="X876" s="286">
        <f>18+90</f>
        <v>108</v>
      </c>
      <c r="Y876" s="304">
        <f>35*2</f>
        <v>70</v>
      </c>
      <c r="Z876" s="286">
        <f>18+95.2</f>
        <v>113.2</v>
      </c>
      <c r="AA876" s="304">
        <f>35*2</f>
        <v>70</v>
      </c>
      <c r="AB876" s="286">
        <f>18+95.4</f>
        <v>113.4</v>
      </c>
      <c r="AC876" s="304">
        <f>35*2</f>
        <v>70</v>
      </c>
      <c r="AD876" s="286">
        <f>18+97.2</f>
        <v>115.2</v>
      </c>
      <c r="AE876" s="304">
        <f>35*2</f>
        <v>70</v>
      </c>
      <c r="AF876" s="286">
        <f>20+105.2</f>
        <v>125.2</v>
      </c>
      <c r="AG876" s="265">
        <f>35*2</f>
        <v>70</v>
      </c>
      <c r="AH876" s="286">
        <f>20+109.2</f>
        <v>129.19999999999999</v>
      </c>
      <c r="AI876" s="265">
        <f>35*2</f>
        <v>70</v>
      </c>
      <c r="AJ876" s="264">
        <f>16+81.3</f>
        <v>97.3</v>
      </c>
      <c r="AK876" s="265">
        <f>31.3*2</f>
        <v>62.6</v>
      </c>
    </row>
    <row r="877" spans="1:37" x14ac:dyDescent="0.15">
      <c r="A877" s="383">
        <v>4</v>
      </c>
      <c r="B877" s="542" t="s">
        <v>134</v>
      </c>
      <c r="C877" s="543"/>
      <c r="D877" s="543"/>
      <c r="E877" s="544"/>
      <c r="F877" s="545" t="s">
        <v>147</v>
      </c>
      <c r="G877" s="547"/>
      <c r="H877" s="45" t="s">
        <v>1645</v>
      </c>
      <c r="I877" s="207" t="s">
        <v>1265</v>
      </c>
      <c r="J877" s="46">
        <f>IF(G827=55,M836-V877,IF(G827=551,M836-X877,IF(G827=60,M836-Z877,IF(G827=601,M836-AB877,IF(G827=65,M836-AD877,IF(G827=70,M836-AF877,IF(G827=75,M836-AH877,IF(G827=50,M836-AJ877))))))))</f>
        <v>375</v>
      </c>
      <c r="K877" s="382">
        <f>IF(G827=55,M829-W877,IF(G827=551,M829-Y877,IF(G827=60,M829-AA877,IF(G827=601,M829-AC877,IF(G827=65,M829-AE877,IF(G827=70,M829-AG877,IF(G827=75,M829-AI877,IF(G827=50,M829-AK877))))))))</f>
        <v>1630</v>
      </c>
      <c r="L877" s="239">
        <v>1</v>
      </c>
      <c r="M877" s="46">
        <f>J877*K877*L877/1000000</f>
        <v>0.61124999999999996</v>
      </c>
      <c r="N877" s="46"/>
      <c r="O877" s="46">
        <f>N877*M877</f>
        <v>0</v>
      </c>
      <c r="P877" s="48"/>
      <c r="Q877" s="48"/>
      <c r="R877" s="73"/>
      <c r="S877" s="73"/>
      <c r="T877" s="463" t="s">
        <v>1644</v>
      </c>
      <c r="U877" s="374" t="s">
        <v>1623</v>
      </c>
      <c r="V877" s="259">
        <f>90+35</f>
        <v>125</v>
      </c>
      <c r="W877" s="259">
        <f>35*2</f>
        <v>70</v>
      </c>
      <c r="X877" s="286">
        <f>90+35</f>
        <v>125</v>
      </c>
      <c r="Y877" s="304">
        <f>35*2</f>
        <v>70</v>
      </c>
      <c r="Z877" s="286">
        <f>95.2+35</f>
        <v>130.19999999999999</v>
      </c>
      <c r="AA877" s="304">
        <f>35*2</f>
        <v>70</v>
      </c>
      <c r="AB877" s="286">
        <f>95.4+35</f>
        <v>130.4</v>
      </c>
      <c r="AC877" s="304">
        <f>35*2</f>
        <v>70</v>
      </c>
      <c r="AD877" s="286">
        <f>97.2+35</f>
        <v>132.19999999999999</v>
      </c>
      <c r="AE877" s="304">
        <f>35*2</f>
        <v>70</v>
      </c>
      <c r="AF877" s="286">
        <f>105.2+35</f>
        <v>140.19999999999999</v>
      </c>
      <c r="AG877" s="265">
        <f>35*2</f>
        <v>70</v>
      </c>
      <c r="AH877" s="286">
        <f>109.2+35</f>
        <v>144.19999999999999</v>
      </c>
      <c r="AI877" s="265">
        <f>35*2</f>
        <v>70</v>
      </c>
      <c r="AJ877" s="264">
        <f>81.3+31.3</f>
        <v>112.6</v>
      </c>
      <c r="AK877" s="265">
        <f>31.3*2</f>
        <v>62.6</v>
      </c>
    </row>
    <row r="878" spans="1:37" x14ac:dyDescent="0.15">
      <c r="A878" s="414"/>
      <c r="B878" s="446"/>
      <c r="C878" s="447"/>
      <c r="D878" s="447"/>
      <c r="E878" s="448"/>
      <c r="F878" s="434"/>
      <c r="G878" s="436"/>
      <c r="H878" s="207"/>
      <c r="I878" s="207"/>
      <c r="J878" s="208"/>
      <c r="K878" s="414"/>
      <c r="L878" s="239"/>
      <c r="M878" s="208"/>
      <c r="N878" s="208"/>
      <c r="O878" s="208"/>
      <c r="P878" s="437"/>
      <c r="Q878" s="336"/>
      <c r="R878" s="117"/>
      <c r="S878" s="117"/>
      <c r="T878" s="463"/>
      <c r="X878" s="288"/>
      <c r="Y878" s="288"/>
      <c r="Z878" s="288"/>
      <c r="AA878" s="288"/>
      <c r="AB878" s="288"/>
      <c r="AC878" s="288"/>
      <c r="AD878" s="288"/>
      <c r="AE878" s="288"/>
      <c r="AF878" s="288"/>
      <c r="AG878" s="265"/>
      <c r="AH878" s="288"/>
      <c r="AI878" s="265"/>
      <c r="AJ878" s="265"/>
      <c r="AK878" s="265"/>
    </row>
    <row r="879" spans="1:37" x14ac:dyDescent="0.15">
      <c r="A879" s="414"/>
      <c r="B879" s="446"/>
      <c r="C879" s="447"/>
      <c r="D879" s="447"/>
      <c r="E879" s="448"/>
      <c r="F879" s="434"/>
      <c r="G879" s="436"/>
      <c r="H879" s="207"/>
      <c r="I879" s="207"/>
      <c r="J879" s="208"/>
      <c r="K879" s="414"/>
      <c r="L879" s="239"/>
      <c r="M879" s="208"/>
      <c r="N879" s="208"/>
      <c r="O879" s="208"/>
      <c r="P879" s="437"/>
      <c r="Q879" s="336"/>
      <c r="R879" s="117"/>
      <c r="S879" s="117"/>
      <c r="T879" s="463"/>
      <c r="X879" s="288"/>
      <c r="Y879" s="288"/>
      <c r="Z879" s="288"/>
      <c r="AA879" s="288"/>
      <c r="AB879" s="288"/>
      <c r="AC879" s="288"/>
      <c r="AD879" s="288"/>
      <c r="AE879" s="288"/>
      <c r="AF879" s="288"/>
      <c r="AG879" s="265"/>
      <c r="AH879" s="288"/>
      <c r="AI879" s="265"/>
      <c r="AJ879" s="265"/>
      <c r="AK879" s="265"/>
    </row>
    <row r="880" spans="1:37" ht="15" customHeight="1" x14ac:dyDescent="0.15">
      <c r="A880" s="74"/>
      <c r="B880" s="552"/>
      <c r="C880" s="557"/>
      <c r="D880" s="557"/>
      <c r="E880" s="553"/>
      <c r="F880" s="554" t="s">
        <v>56</v>
      </c>
      <c r="G880" s="554"/>
      <c r="H880" s="554"/>
      <c r="I880" s="579"/>
      <c r="J880" s="570"/>
      <c r="K880" s="570"/>
      <c r="L880" s="554"/>
      <c r="M880" s="62">
        <f>SUM(M874:M877)</f>
        <v>3.1732420399999999</v>
      </c>
      <c r="N880" s="300"/>
      <c r="O880" s="62">
        <f>SUM(O874:O877)</f>
        <v>0</v>
      </c>
      <c r="P880" s="63" t="s">
        <v>57</v>
      </c>
      <c r="Q880" s="337"/>
      <c r="R880" s="64"/>
      <c r="S880" s="64"/>
      <c r="T880" s="460"/>
    </row>
    <row r="881" spans="1:23" ht="24" x14ac:dyDescent="0.15">
      <c r="A881" s="65"/>
      <c r="B881" s="560" t="s">
        <v>58</v>
      </c>
      <c r="C881" s="561"/>
      <c r="D881" s="561"/>
      <c r="E881" s="562"/>
      <c r="F881" s="565" t="s">
        <v>26</v>
      </c>
      <c r="G881" s="566"/>
      <c r="H881" s="66" t="s">
        <v>59</v>
      </c>
      <c r="I881" s="351"/>
      <c r="J881" s="66" t="s">
        <v>60</v>
      </c>
      <c r="K881" s="66" t="s">
        <v>6</v>
      </c>
      <c r="L881" s="67" t="s">
        <v>61</v>
      </c>
      <c r="M881" s="66" t="s">
        <v>30</v>
      </c>
      <c r="N881" s="68" t="s">
        <v>62</v>
      </c>
      <c r="O881" s="68" t="s">
        <v>34</v>
      </c>
      <c r="P881" s="69" t="s">
        <v>57</v>
      </c>
      <c r="Q881" s="42"/>
      <c r="R881" s="67"/>
      <c r="S881" s="67"/>
      <c r="T881" s="461"/>
    </row>
    <row r="882" spans="1:23" ht="25.5" customHeight="1" x14ac:dyDescent="0.15">
      <c r="A882" s="302">
        <v>1</v>
      </c>
      <c r="B882" s="542"/>
      <c r="C882" s="543"/>
      <c r="D882" s="543"/>
      <c r="E882" s="544"/>
      <c r="F882" s="545" t="s">
        <v>872</v>
      </c>
      <c r="G882" s="547"/>
      <c r="H882" s="45"/>
      <c r="I882" s="207"/>
      <c r="J882" s="45"/>
      <c r="K882" s="46" t="str">
        <f>VLOOKUP($F:$F,材料单价表!$B$3:$G$42,4,0)</f>
        <v>套</v>
      </c>
      <c r="L882" s="72"/>
      <c r="M882" s="46">
        <v>1</v>
      </c>
      <c r="N882" s="46">
        <f>VLOOKUP($F:$F,材料单价表!$B$3:$G$42,5,0)</f>
        <v>0</v>
      </c>
      <c r="O882" s="46">
        <f t="shared" ref="O882" si="163">N882*M882</f>
        <v>0</v>
      </c>
      <c r="P882" s="48"/>
      <c r="Q882" s="48"/>
      <c r="R882" s="73"/>
      <c r="S882" s="73"/>
      <c r="T882" s="463"/>
    </row>
    <row r="883" spans="1:23" x14ac:dyDescent="0.15">
      <c r="A883" s="74"/>
      <c r="B883" s="552"/>
      <c r="C883" s="557"/>
      <c r="D883" s="557"/>
      <c r="E883" s="553"/>
      <c r="F883" s="554" t="s">
        <v>64</v>
      </c>
      <c r="G883" s="554"/>
      <c r="H883" s="554"/>
      <c r="I883" s="579"/>
      <c r="J883" s="570"/>
      <c r="K883" s="570"/>
      <c r="L883" s="554"/>
      <c r="M883" s="62">
        <f>M882</f>
        <v>1</v>
      </c>
      <c r="N883" s="300"/>
      <c r="O883" s="62">
        <f>SUM(O882:O882)</f>
        <v>0</v>
      </c>
      <c r="P883" s="63" t="s">
        <v>57</v>
      </c>
      <c r="Q883" s="337"/>
      <c r="R883" s="64"/>
      <c r="S883" s="64"/>
      <c r="T883" s="460"/>
    </row>
    <row r="884" spans="1:23" ht="24" x14ac:dyDescent="0.15">
      <c r="A884" s="65"/>
      <c r="B884" s="560" t="s">
        <v>65</v>
      </c>
      <c r="C884" s="561"/>
      <c r="D884" s="561"/>
      <c r="E884" s="562"/>
      <c r="F884" s="565" t="s">
        <v>26</v>
      </c>
      <c r="G884" s="566"/>
      <c r="H884" s="66" t="s">
        <v>59</v>
      </c>
      <c r="I884" s="351"/>
      <c r="J884" s="66" t="s">
        <v>60</v>
      </c>
      <c r="K884" s="66" t="s">
        <v>6</v>
      </c>
      <c r="L884" s="67" t="s">
        <v>61</v>
      </c>
      <c r="M884" s="66" t="s">
        <v>30</v>
      </c>
      <c r="N884" s="68" t="s">
        <v>62</v>
      </c>
      <c r="O884" s="68" t="s">
        <v>34</v>
      </c>
      <c r="P884" s="69" t="s">
        <v>57</v>
      </c>
      <c r="Q884" s="42"/>
      <c r="R884" s="67"/>
      <c r="S884" s="67"/>
      <c r="T884" s="461"/>
    </row>
    <row r="885" spans="1:23" ht="13.5" customHeight="1" x14ac:dyDescent="0.15">
      <c r="A885" s="76">
        <v>1</v>
      </c>
      <c r="B885" s="542"/>
      <c r="C885" s="543"/>
      <c r="D885" s="543"/>
      <c r="E885" s="544"/>
      <c r="F885" s="558" t="s">
        <v>66</v>
      </c>
      <c r="G885" s="559"/>
      <c r="H885" s="78"/>
      <c r="I885" s="352"/>
      <c r="J885" s="77"/>
      <c r="K885" s="46" t="str">
        <f>VLOOKUP($F:$F,材料单价表!$B$3:$G$42,4,0)</f>
        <v>m</v>
      </c>
      <c r="L885" s="46"/>
      <c r="M885" s="80">
        <f>M840</f>
        <v>8.6</v>
      </c>
      <c r="N885" s="46">
        <f>VLOOKUP($F:$F,材料单价表!$B$3:$G$42,5,0)</f>
        <v>0</v>
      </c>
      <c r="O885" s="46">
        <f>N885*M885</f>
        <v>0</v>
      </c>
      <c r="P885" s="48"/>
      <c r="Q885" s="59"/>
      <c r="R885" s="81"/>
      <c r="S885" s="79"/>
      <c r="T885" s="464"/>
    </row>
    <row r="886" spans="1:23" ht="15.75" customHeight="1" x14ac:dyDescent="0.15">
      <c r="A886" s="76">
        <v>2</v>
      </c>
      <c r="B886" s="542"/>
      <c r="C886" s="543"/>
      <c r="D886" s="543"/>
      <c r="E886" s="544"/>
      <c r="F886" s="558" t="s">
        <v>68</v>
      </c>
      <c r="G886" s="559"/>
      <c r="H886" s="78" t="s">
        <v>67</v>
      </c>
      <c r="I886" s="352"/>
      <c r="J886" s="77"/>
      <c r="K886" s="46" t="str">
        <f>VLOOKUP($F:$F,材料单价表!$B$3:$G$42,4,0)</f>
        <v>m</v>
      </c>
      <c r="L886" s="46"/>
      <c r="M886" s="80">
        <f>(J854*K854+J857*K857+J855*K855+J856*K856+J858*K858+J859*K859+J860*K860)/1000*2</f>
        <v>29.957599999999999</v>
      </c>
      <c r="N886" s="46">
        <f>VLOOKUP($F:$F,材料单价表!$B$3:$G$42,5,0)</f>
        <v>0</v>
      </c>
      <c r="O886" s="46">
        <f t="shared" ref="O886:O891" si="164">N886*M886</f>
        <v>0</v>
      </c>
      <c r="P886" s="48"/>
      <c r="Q886" s="59"/>
      <c r="R886" s="81"/>
      <c r="S886" s="79"/>
      <c r="T886" s="464"/>
      <c r="V886" s="104"/>
      <c r="W886" s="104"/>
    </row>
    <row r="887" spans="1:23" ht="13.5" customHeight="1" x14ac:dyDescent="0.15">
      <c r="A887" s="76">
        <v>3</v>
      </c>
      <c r="B887" s="542"/>
      <c r="C887" s="543"/>
      <c r="D887" s="543"/>
      <c r="E887" s="544"/>
      <c r="F887" s="558" t="s">
        <v>68</v>
      </c>
      <c r="G887" s="559"/>
      <c r="H887" s="78" t="s">
        <v>69</v>
      </c>
      <c r="I887" s="352"/>
      <c r="J887" s="77"/>
      <c r="K887" s="46" t="str">
        <f>VLOOKUP($F:$F,材料单价表!$B$3:$G$42,4,0)</f>
        <v>m</v>
      </c>
      <c r="L887" s="46"/>
      <c r="M887" s="80">
        <f>M840</f>
        <v>8.6</v>
      </c>
      <c r="N887" s="46">
        <f>VLOOKUP($F:$F,材料单价表!$B$3:$G$42,5,0)</f>
        <v>0</v>
      </c>
      <c r="O887" s="46">
        <f t="shared" si="164"/>
        <v>0</v>
      </c>
      <c r="P887" s="48"/>
      <c r="Q887" s="59"/>
      <c r="R887" s="81"/>
      <c r="S887" s="79"/>
      <c r="T887" s="464"/>
      <c r="V887" s="104"/>
      <c r="W887" s="104"/>
    </row>
    <row r="888" spans="1:23" ht="13.5" customHeight="1" x14ac:dyDescent="0.15">
      <c r="A888" s="76">
        <v>4</v>
      </c>
      <c r="B888" s="542"/>
      <c r="C888" s="543"/>
      <c r="D888" s="543"/>
      <c r="E888" s="544"/>
      <c r="F888" s="558" t="s">
        <v>68</v>
      </c>
      <c r="G888" s="559"/>
      <c r="H888" s="78" t="s">
        <v>70</v>
      </c>
      <c r="I888" s="352"/>
      <c r="J888" s="77"/>
      <c r="K888" s="46" t="str">
        <f>VLOOKUP($F:$F,材料单价表!$B$3:$G$42,4,0)</f>
        <v>m</v>
      </c>
      <c r="L888" s="46"/>
      <c r="M888" s="80">
        <f>M840</f>
        <v>8.6</v>
      </c>
      <c r="N888" s="46">
        <f>VLOOKUP($F:$F,材料单价表!$B$3:$G$42,5,0)</f>
        <v>0</v>
      </c>
      <c r="O888" s="46">
        <f t="shared" si="164"/>
        <v>0</v>
      </c>
      <c r="P888" s="48"/>
      <c r="Q888" s="59"/>
      <c r="R888" s="81"/>
      <c r="S888" s="79"/>
      <c r="T888" s="464"/>
      <c r="V888" s="104"/>
      <c r="W888" s="104"/>
    </row>
    <row r="889" spans="1:23" ht="13.5" customHeight="1" x14ac:dyDescent="0.15">
      <c r="A889" s="76">
        <v>5</v>
      </c>
      <c r="B889" s="542"/>
      <c r="C889" s="543"/>
      <c r="D889" s="543"/>
      <c r="E889" s="544"/>
      <c r="F889" s="558" t="s">
        <v>71</v>
      </c>
      <c r="G889" s="559"/>
      <c r="H889" s="78"/>
      <c r="I889" s="352"/>
      <c r="J889" s="77"/>
      <c r="K889" s="46" t="str">
        <f>VLOOKUP($F:$F,材料单价表!$B$3:$G$42,4,0)</f>
        <v>个</v>
      </c>
      <c r="L889" s="79"/>
      <c r="M889" s="80">
        <f>SUM(K861:K863)</f>
        <v>16</v>
      </c>
      <c r="N889" s="46">
        <f>VLOOKUP($F:$F,材料单价表!$B$3:$G$42,5,0)</f>
        <v>0</v>
      </c>
      <c r="O889" s="46">
        <f t="shared" si="164"/>
        <v>0</v>
      </c>
      <c r="P889" s="48"/>
      <c r="Q889" s="59"/>
      <c r="R889" s="81"/>
      <c r="S889" s="79"/>
      <c r="T889" s="464"/>
    </row>
    <row r="890" spans="1:23" ht="13.5" customHeight="1" x14ac:dyDescent="0.15">
      <c r="A890" s="76">
        <v>6</v>
      </c>
      <c r="B890" s="542"/>
      <c r="C890" s="543"/>
      <c r="D890" s="543"/>
      <c r="E890" s="544"/>
      <c r="F890" s="558" t="s">
        <v>833</v>
      </c>
      <c r="G890" s="559"/>
      <c r="H890" s="78"/>
      <c r="I890" s="352"/>
      <c r="J890" s="77"/>
      <c r="K890" s="46" t="str">
        <f>VLOOKUP($F:$F,材料单价表!$B$3:$G$42,4,0)</f>
        <v>m</v>
      </c>
      <c r="L890" s="79"/>
      <c r="M890" s="80">
        <f>(J846*K846+J847*K847)/1000*2</f>
        <v>6.9376000000000007</v>
      </c>
      <c r="N890" s="46">
        <f>VLOOKUP($F:$F,材料单价表!$B$3:$G$42,5,0)</f>
        <v>0</v>
      </c>
      <c r="O890" s="46">
        <f t="shared" si="164"/>
        <v>0</v>
      </c>
      <c r="P890" s="48"/>
      <c r="Q890" s="59"/>
      <c r="R890" s="81"/>
      <c r="S890" s="46"/>
      <c r="T890" s="465"/>
    </row>
    <row r="891" spans="1:23" x14ac:dyDescent="0.15">
      <c r="A891" s="76">
        <v>7</v>
      </c>
      <c r="B891" s="542"/>
      <c r="C891" s="543"/>
      <c r="D891" s="543"/>
      <c r="E891" s="544"/>
      <c r="F891" s="558" t="s">
        <v>72</v>
      </c>
      <c r="G891" s="559"/>
      <c r="H891" s="45"/>
      <c r="I891" s="207"/>
      <c r="J891" s="45"/>
      <c r="K891" s="46" t="str">
        <f>VLOOKUP($F:$F,材料单价表!$B$3:$G$42,4,0)</f>
        <v>m2</v>
      </c>
      <c r="L891" s="72"/>
      <c r="M891" s="46">
        <f>M897</f>
        <v>4.5</v>
      </c>
      <c r="N891" s="46">
        <f>VLOOKUP($F:$F,材料单价表!$B$3:$G$42,5,0)</f>
        <v>0</v>
      </c>
      <c r="O891" s="46">
        <f t="shared" si="164"/>
        <v>0</v>
      </c>
      <c r="P891" s="48"/>
      <c r="Q891" s="48"/>
      <c r="R891" s="73"/>
      <c r="S891" s="73"/>
      <c r="T891" s="463"/>
    </row>
    <row r="892" spans="1:23" x14ac:dyDescent="0.15">
      <c r="A892" s="76">
        <v>8</v>
      </c>
      <c r="B892" s="542"/>
      <c r="C892" s="543"/>
      <c r="D892" s="543"/>
      <c r="E892" s="544"/>
      <c r="F892" s="297"/>
      <c r="G892" s="298"/>
      <c r="H892" s="207"/>
      <c r="I892" s="207"/>
      <c r="J892" s="207"/>
      <c r="K892" s="208"/>
      <c r="L892" s="209"/>
      <c r="M892" s="208"/>
      <c r="N892" s="208"/>
      <c r="O892" s="208"/>
      <c r="P892" s="211"/>
      <c r="Q892" s="48"/>
      <c r="R892" s="212"/>
      <c r="S892" s="212"/>
      <c r="T892" s="463"/>
    </row>
    <row r="893" spans="1:23" x14ac:dyDescent="0.15">
      <c r="A893" s="76">
        <v>9</v>
      </c>
      <c r="B893" s="542"/>
      <c r="C893" s="543"/>
      <c r="D893" s="543"/>
      <c r="E893" s="544"/>
      <c r="F893" s="558"/>
      <c r="G893" s="559"/>
      <c r="H893" s="45"/>
      <c r="I893" s="207"/>
      <c r="J893" s="45"/>
      <c r="K893" s="45"/>
      <c r="L893" s="72"/>
      <c r="M893" s="46"/>
      <c r="N893" s="46"/>
      <c r="O893" s="82"/>
      <c r="P893" s="48"/>
      <c r="Q893" s="48"/>
      <c r="R893" s="73"/>
      <c r="S893" s="73"/>
      <c r="T893" s="463"/>
    </row>
    <row r="894" spans="1:23" x14ac:dyDescent="0.15">
      <c r="A894" s="74"/>
      <c r="B894" s="552"/>
      <c r="C894" s="557"/>
      <c r="D894" s="557"/>
      <c r="E894" s="553"/>
      <c r="F894" s="552" t="s">
        <v>73</v>
      </c>
      <c r="G894" s="557"/>
      <c r="H894" s="557"/>
      <c r="I894" s="557"/>
      <c r="J894" s="557"/>
      <c r="K894" s="557"/>
      <c r="L894" s="557"/>
      <c r="M894" s="61"/>
      <c r="N894" s="61"/>
      <c r="O894" s="62">
        <f>SUM(O885:O893)</f>
        <v>0</v>
      </c>
      <c r="P894" s="63" t="s">
        <v>57</v>
      </c>
      <c r="Q894" s="337"/>
      <c r="R894" s="64"/>
      <c r="S894" s="64"/>
      <c r="T894" s="460"/>
    </row>
    <row r="895" spans="1:23" x14ac:dyDescent="0.15">
      <c r="A895" s="74"/>
      <c r="B895" s="552"/>
      <c r="C895" s="557"/>
      <c r="D895" s="557"/>
      <c r="E895" s="553"/>
      <c r="F895" s="552" t="s">
        <v>74</v>
      </c>
      <c r="G895" s="557"/>
      <c r="H895" s="557"/>
      <c r="I895" s="557"/>
      <c r="J895" s="557"/>
      <c r="K895" s="557"/>
      <c r="L895" s="557"/>
      <c r="M895" s="557"/>
      <c r="N895" s="553"/>
      <c r="O895" s="62">
        <f>O894+O883+O880+O872</f>
        <v>0</v>
      </c>
      <c r="P895" s="63" t="s">
        <v>57</v>
      </c>
      <c r="Q895" s="337"/>
      <c r="R895" s="64"/>
      <c r="S895" s="64"/>
      <c r="T895" s="460"/>
    </row>
    <row r="896" spans="1:23" ht="24" x14ac:dyDescent="0.15">
      <c r="A896" s="65"/>
      <c r="B896" s="560" t="s">
        <v>75</v>
      </c>
      <c r="C896" s="561"/>
      <c r="D896" s="561"/>
      <c r="E896" s="562"/>
      <c r="F896" s="565" t="s">
        <v>26</v>
      </c>
      <c r="G896" s="566"/>
      <c r="H896" s="66"/>
      <c r="I896" s="351"/>
      <c r="J896" s="66"/>
      <c r="K896" s="66" t="s">
        <v>6</v>
      </c>
      <c r="L896" s="83" t="s">
        <v>61</v>
      </c>
      <c r="M896" s="66" t="s">
        <v>76</v>
      </c>
      <c r="N896" s="68" t="s">
        <v>62</v>
      </c>
      <c r="O896" s="68" t="s">
        <v>34</v>
      </c>
      <c r="P896" s="84" t="s">
        <v>57</v>
      </c>
      <c r="Q896" s="84"/>
      <c r="R896" s="67"/>
      <c r="S896" s="67"/>
      <c r="T896" s="461"/>
    </row>
    <row r="897" spans="1:20" x14ac:dyDescent="0.15">
      <c r="A897" s="302">
        <v>1</v>
      </c>
      <c r="B897" s="542"/>
      <c r="C897" s="543"/>
      <c r="D897" s="543"/>
      <c r="E897" s="544"/>
      <c r="F897" s="545" t="s">
        <v>77</v>
      </c>
      <c r="G897" s="547"/>
      <c r="H897" s="45"/>
      <c r="I897" s="207"/>
      <c r="J897" s="46"/>
      <c r="K897" s="45" t="s">
        <v>78</v>
      </c>
      <c r="L897" s="72"/>
      <c r="M897" s="85">
        <f>O827</f>
        <v>4.5</v>
      </c>
      <c r="N897" s="46">
        <f>VLOOKUP($F:$F,材料单价表!$B$3:$G$42,5,0)</f>
        <v>0</v>
      </c>
      <c r="O897" s="46">
        <f>N897*M897</f>
        <v>0</v>
      </c>
      <c r="P897" s="48"/>
      <c r="Q897" s="48"/>
      <c r="R897" s="72"/>
      <c r="S897" s="72"/>
      <c r="T897" s="462"/>
    </row>
    <row r="898" spans="1:20" x14ac:dyDescent="0.15">
      <c r="A898" s="302">
        <v>2</v>
      </c>
      <c r="B898" s="542"/>
      <c r="C898" s="543"/>
      <c r="D898" s="543"/>
      <c r="E898" s="544"/>
      <c r="F898" s="545" t="s">
        <v>79</v>
      </c>
      <c r="G898" s="547"/>
      <c r="H898" s="45"/>
      <c r="I898" s="207"/>
      <c r="J898" s="46"/>
      <c r="K898" s="45" t="s">
        <v>78</v>
      </c>
      <c r="L898" s="72"/>
      <c r="M898" s="85">
        <f>M897</f>
        <v>4.5</v>
      </c>
      <c r="N898" s="46">
        <f>VLOOKUP($F:$F,材料单价表!$B$3:$G$42,5,0)</f>
        <v>0</v>
      </c>
      <c r="O898" s="46">
        <f>N898*M898</f>
        <v>0</v>
      </c>
      <c r="P898" s="48"/>
      <c r="Q898" s="48"/>
      <c r="R898" s="72"/>
      <c r="S898" s="72"/>
      <c r="T898" s="462"/>
    </row>
    <row r="899" spans="1:20" ht="24.75" customHeight="1" x14ac:dyDescent="0.15">
      <c r="A899" s="74"/>
      <c r="B899" s="552"/>
      <c r="C899" s="557"/>
      <c r="D899" s="557"/>
      <c r="E899" s="553"/>
      <c r="F899" s="552" t="s">
        <v>80</v>
      </c>
      <c r="G899" s="553"/>
      <c r="H899" s="299"/>
      <c r="I899" s="348"/>
      <c r="J899" s="554" t="s">
        <v>81</v>
      </c>
      <c r="K899" s="554"/>
      <c r="L899" s="554"/>
      <c r="M899" s="554"/>
      <c r="N899" s="87"/>
      <c r="O899" s="62">
        <f>O895+O897+O898</f>
        <v>0</v>
      </c>
      <c r="P899" s="63" t="s">
        <v>57</v>
      </c>
      <c r="Q899" s="337"/>
      <c r="R899" s="64"/>
      <c r="S899" s="64"/>
      <c r="T899" s="460"/>
    </row>
    <row r="900" spans="1:20" ht="24" customHeight="1" x14ac:dyDescent="0.15">
      <c r="A900" s="74"/>
      <c r="B900" s="552"/>
      <c r="C900" s="557"/>
      <c r="D900" s="557"/>
      <c r="E900" s="553"/>
      <c r="F900" s="555" t="s">
        <v>82</v>
      </c>
      <c r="G900" s="556"/>
      <c r="H900" s="301"/>
      <c r="I900" s="349"/>
      <c r="J900" s="552" t="s">
        <v>81</v>
      </c>
      <c r="K900" s="557"/>
      <c r="L900" s="557"/>
      <c r="M900" s="557"/>
      <c r="N900" s="62"/>
      <c r="O900" s="62">
        <f>O899/O827</f>
        <v>0</v>
      </c>
      <c r="P900" s="89" t="s">
        <v>57</v>
      </c>
      <c r="Q900" s="89"/>
      <c r="R900" s="90"/>
      <c r="S900" s="90"/>
      <c r="T900" s="466"/>
    </row>
    <row r="901" spans="1:20" ht="18.75" customHeight="1" x14ac:dyDescent="0.15">
      <c r="A901" s="549" t="s">
        <v>0</v>
      </c>
      <c r="B901" s="549"/>
      <c r="C901" s="549"/>
      <c r="D901" s="549"/>
      <c r="E901" s="549"/>
      <c r="F901" s="549"/>
      <c r="G901" s="549"/>
      <c r="H901" s="549"/>
      <c r="I901" s="549"/>
      <c r="J901" s="549"/>
      <c r="K901" s="549"/>
      <c r="L901" s="550"/>
      <c r="M901" s="549"/>
      <c r="N901" s="549"/>
      <c r="O901" s="549"/>
      <c r="P901" s="549"/>
      <c r="Q901" s="549"/>
      <c r="R901" s="551"/>
      <c r="S901" s="551"/>
      <c r="T901" s="415"/>
    </row>
    <row r="902" spans="1:20" ht="15" customHeight="1" x14ac:dyDescent="0.15">
      <c r="A902" s="2" t="s">
        <v>1</v>
      </c>
      <c r="B902" s="3" t="str">
        <f>$B$827</f>
        <v>WZC</v>
      </c>
      <c r="C902" s="3">
        <v>2</v>
      </c>
      <c r="D902" s="3"/>
      <c r="E902" s="3"/>
      <c r="F902" s="4" t="s">
        <v>2</v>
      </c>
      <c r="G902" s="5">
        <v>55</v>
      </c>
      <c r="H902" s="106" t="s">
        <v>86</v>
      </c>
      <c r="I902" s="106"/>
      <c r="J902" s="4" t="s">
        <v>3</v>
      </c>
      <c r="K902" s="6">
        <f>L905</f>
        <v>2700</v>
      </c>
      <c r="L902" s="7" t="s">
        <v>83</v>
      </c>
      <c r="M902" s="6">
        <f>L904</f>
        <v>1800</v>
      </c>
      <c r="N902" s="8" t="s">
        <v>4</v>
      </c>
      <c r="O902" s="9">
        <f>M914</f>
        <v>4.8600000000000003</v>
      </c>
      <c r="P902" s="10"/>
      <c r="Q902" s="10"/>
      <c r="R902" s="10" t="s">
        <v>5</v>
      </c>
      <c r="S902" s="11"/>
      <c r="T902" s="457"/>
    </row>
    <row r="903" spans="1:20" ht="15" customHeight="1" x14ac:dyDescent="0.2">
      <c r="A903" s="12"/>
      <c r="B903" s="13"/>
      <c r="C903" s="13"/>
      <c r="D903" s="13"/>
      <c r="E903" s="13"/>
      <c r="F903" s="14"/>
      <c r="G903" s="14"/>
      <c r="H903" s="15"/>
      <c r="I903" s="15"/>
      <c r="J903" s="16"/>
      <c r="K903" s="16" t="s">
        <v>6</v>
      </c>
      <c r="L903" s="17" t="s">
        <v>7</v>
      </c>
      <c r="M903" s="16" t="s">
        <v>8</v>
      </c>
      <c r="N903" s="18"/>
      <c r="O903" s="548" t="s">
        <v>940</v>
      </c>
      <c r="P903" s="548"/>
      <c r="Q903" s="16" t="s">
        <v>1018</v>
      </c>
      <c r="R903" s="529" t="s">
        <v>1187</v>
      </c>
      <c r="S903" s="530" t="s">
        <v>1592</v>
      </c>
      <c r="T903" s="468"/>
    </row>
    <row r="904" spans="1:20" ht="15" customHeight="1" x14ac:dyDescent="0.2">
      <c r="A904" s="398" t="s">
        <v>918</v>
      </c>
      <c r="B904" s="406" t="s">
        <v>988</v>
      </c>
      <c r="C904" s="362"/>
      <c r="D904" s="362"/>
      <c r="E904" s="362"/>
      <c r="F904" s="23"/>
      <c r="G904" s="23"/>
      <c r="H904" s="107"/>
      <c r="I904" s="107"/>
      <c r="J904" s="24" t="s">
        <v>9</v>
      </c>
      <c r="K904" s="16" t="s">
        <v>10</v>
      </c>
      <c r="L904" s="25">
        <v>1800</v>
      </c>
      <c r="M904" s="113">
        <f>L904-M913*2</f>
        <v>1700</v>
      </c>
      <c r="N904" s="18"/>
      <c r="O904" s="356" t="s">
        <v>941</v>
      </c>
      <c r="P904" s="357"/>
      <c r="Q904" s="16" t="s">
        <v>1019</v>
      </c>
      <c r="R904" s="529"/>
      <c r="S904" s="530"/>
      <c r="T904" s="468"/>
    </row>
    <row r="905" spans="1:20" ht="15" customHeight="1" x14ac:dyDescent="0.2">
      <c r="A905" s="21"/>
      <c r="B905" s="22"/>
      <c r="C905" s="22"/>
      <c r="D905" s="22"/>
      <c r="E905" s="22"/>
      <c r="F905" s="23"/>
      <c r="G905" s="23"/>
      <c r="H905" s="18"/>
      <c r="I905" s="18"/>
      <c r="J905" s="24" t="s">
        <v>11</v>
      </c>
      <c r="K905" s="16" t="s">
        <v>10</v>
      </c>
      <c r="L905" s="25">
        <v>2700</v>
      </c>
      <c r="M905" s="113">
        <f>L905-M913*2</f>
        <v>2600</v>
      </c>
      <c r="N905" s="18"/>
      <c r="O905" s="356" t="s">
        <v>924</v>
      </c>
      <c r="P905" s="357"/>
      <c r="Q905" s="16" t="s">
        <v>1020</v>
      </c>
      <c r="R905" s="529" t="s">
        <v>1188</v>
      </c>
      <c r="S905" s="530" t="s">
        <v>1086</v>
      </c>
      <c r="T905" s="468"/>
    </row>
    <row r="906" spans="1:20" ht="15" customHeight="1" x14ac:dyDescent="0.2">
      <c r="A906" s="21"/>
      <c r="B906" s="22"/>
      <c r="C906" s="22"/>
      <c r="D906" s="22"/>
      <c r="E906" s="22"/>
      <c r="F906" s="23"/>
      <c r="G906" s="23"/>
      <c r="H906" s="18"/>
      <c r="I906" s="18"/>
      <c r="J906" s="24" t="s">
        <v>12</v>
      </c>
      <c r="K906" s="16" t="s">
        <v>10</v>
      </c>
      <c r="L906" s="26"/>
      <c r="M906" s="113">
        <f>M904-M907</f>
        <v>1200</v>
      </c>
      <c r="N906" s="18"/>
      <c r="O906" s="356" t="s">
        <v>925</v>
      </c>
      <c r="P906" s="357"/>
      <c r="Q906" s="16" t="s">
        <v>1021</v>
      </c>
      <c r="R906" s="529"/>
      <c r="S906" s="530"/>
      <c r="T906" s="468"/>
    </row>
    <row r="907" spans="1:20" ht="15" customHeight="1" x14ac:dyDescent="0.2">
      <c r="A907" s="21"/>
      <c r="B907" s="22"/>
      <c r="C907" s="22"/>
      <c r="D907" s="22"/>
      <c r="E907" s="22"/>
      <c r="F907" s="23"/>
      <c r="G907" s="23"/>
      <c r="H907" s="18"/>
      <c r="I907" s="18"/>
      <c r="J907" s="24" t="s">
        <v>13</v>
      </c>
      <c r="K907" s="16" t="s">
        <v>10</v>
      </c>
      <c r="L907" s="26"/>
      <c r="M907" s="113">
        <v>500</v>
      </c>
      <c r="N907" s="18"/>
      <c r="O907" s="356" t="s">
        <v>926</v>
      </c>
      <c r="P907" s="357"/>
      <c r="Q907" s="16" t="s">
        <v>1022</v>
      </c>
      <c r="R907" s="27"/>
      <c r="S907" s="28"/>
      <c r="T907" s="27"/>
    </row>
    <row r="908" spans="1:20" ht="15" customHeight="1" x14ac:dyDescent="0.2">
      <c r="A908" s="21"/>
      <c r="B908" s="22"/>
      <c r="C908" s="22"/>
      <c r="D908" s="22"/>
      <c r="E908" s="22"/>
      <c r="F908" s="23"/>
      <c r="G908" s="23"/>
      <c r="H908" s="18"/>
      <c r="I908" s="18"/>
      <c r="J908" s="24" t="s">
        <v>14</v>
      </c>
      <c r="K908" s="16" t="s">
        <v>10</v>
      </c>
      <c r="L908" s="26"/>
      <c r="M908" s="113"/>
      <c r="N908" s="18"/>
      <c r="O908" s="356" t="s">
        <v>927</v>
      </c>
      <c r="P908" s="357"/>
      <c r="Q908" s="16" t="s">
        <v>1023</v>
      </c>
      <c r="R908" s="27"/>
      <c r="S908" s="28"/>
      <c r="T908" s="27"/>
    </row>
    <row r="909" spans="1:20" ht="15" customHeight="1" x14ac:dyDescent="0.2">
      <c r="A909" s="21"/>
      <c r="B909" s="22"/>
      <c r="C909" s="22"/>
      <c r="D909" s="22"/>
      <c r="E909" s="22"/>
      <c r="F909" s="23"/>
      <c r="G909" s="23"/>
      <c r="H909" s="18"/>
      <c r="I909" s="18"/>
      <c r="J909" s="24" t="s">
        <v>15</v>
      </c>
      <c r="K909" s="16" t="s">
        <v>10</v>
      </c>
      <c r="L909" s="26"/>
      <c r="M909" s="25">
        <v>700</v>
      </c>
      <c r="N909" s="112" t="s">
        <v>866</v>
      </c>
      <c r="O909" s="356" t="s">
        <v>928</v>
      </c>
      <c r="P909" s="357"/>
      <c r="Q909" s="16" t="s">
        <v>1005</v>
      </c>
      <c r="R909" s="27"/>
      <c r="S909" s="28"/>
      <c r="T909" s="27"/>
    </row>
    <row r="910" spans="1:20" ht="15" customHeight="1" x14ac:dyDescent="0.2">
      <c r="A910" s="21"/>
      <c r="B910" s="22"/>
      <c r="C910" s="22"/>
      <c r="D910" s="22"/>
      <c r="E910" s="22"/>
      <c r="F910" s="23"/>
      <c r="G910" s="23"/>
      <c r="H910" s="18"/>
      <c r="I910" s="18"/>
      <c r="J910" s="24" t="s">
        <v>16</v>
      </c>
      <c r="K910" s="16" t="s">
        <v>10</v>
      </c>
      <c r="L910" s="26"/>
      <c r="M910" s="113">
        <f>M905-M909*2-M911</f>
        <v>700</v>
      </c>
      <c r="N910" s="18"/>
      <c r="O910" s="356" t="s">
        <v>929</v>
      </c>
      <c r="P910" s="357"/>
      <c r="Q910" s="16" t="s">
        <v>1024</v>
      </c>
      <c r="R910" s="27"/>
      <c r="S910" s="28"/>
      <c r="T910" s="27"/>
    </row>
    <row r="911" spans="1:20" ht="15" customHeight="1" x14ac:dyDescent="0.2">
      <c r="A911" s="21"/>
      <c r="B911" s="22"/>
      <c r="C911" s="22"/>
      <c r="D911" s="22"/>
      <c r="E911" s="22"/>
      <c r="F911" s="23"/>
      <c r="G911" s="23"/>
      <c r="H911" s="18"/>
      <c r="I911" s="18"/>
      <c r="J911" s="24" t="s">
        <v>17</v>
      </c>
      <c r="K911" s="16" t="s">
        <v>10</v>
      </c>
      <c r="L911" s="26"/>
      <c r="M911" s="113">
        <v>500</v>
      </c>
      <c r="N911" s="18"/>
      <c r="O911" s="356" t="s">
        <v>930</v>
      </c>
      <c r="P911" s="357"/>
      <c r="Q911" s="16" t="s">
        <v>931</v>
      </c>
      <c r="R911" s="27"/>
      <c r="S911" s="28"/>
      <c r="T911" s="27"/>
    </row>
    <row r="912" spans="1:20" ht="15" customHeight="1" x14ac:dyDescent="0.2">
      <c r="A912" s="21"/>
      <c r="B912" s="22"/>
      <c r="C912" s="22"/>
      <c r="D912" s="22"/>
      <c r="E912" s="22"/>
      <c r="F912" s="23"/>
      <c r="G912" s="23"/>
      <c r="H912" s="18"/>
      <c r="I912" s="18"/>
      <c r="J912" s="24" t="s">
        <v>18</v>
      </c>
      <c r="K912" s="16" t="s">
        <v>10</v>
      </c>
      <c r="L912" s="26"/>
      <c r="M912" s="113"/>
      <c r="N912" s="18"/>
      <c r="O912" s="356" t="s">
        <v>932</v>
      </c>
      <c r="P912" s="357"/>
      <c r="Q912" s="16" t="s">
        <v>933</v>
      </c>
      <c r="R912" s="27"/>
      <c r="S912" s="28"/>
      <c r="T912" s="27"/>
    </row>
    <row r="913" spans="1:37" ht="15" customHeight="1" x14ac:dyDescent="0.2">
      <c r="A913" s="21"/>
      <c r="B913" s="22"/>
      <c r="C913" s="22"/>
      <c r="D913" s="22"/>
      <c r="E913" s="22"/>
      <c r="F913" s="23"/>
      <c r="G913" s="23"/>
      <c r="H913" s="18"/>
      <c r="I913" s="18"/>
      <c r="J913" s="24" t="s">
        <v>19</v>
      </c>
      <c r="K913" s="16" t="s">
        <v>10</v>
      </c>
      <c r="L913" s="26"/>
      <c r="M913" s="25">
        <v>50</v>
      </c>
      <c r="N913" s="18"/>
      <c r="O913" s="356" t="s">
        <v>934</v>
      </c>
      <c r="P913" s="357"/>
      <c r="Q913" s="16" t="s">
        <v>935</v>
      </c>
      <c r="R913" s="27"/>
      <c r="S913" s="28"/>
      <c r="T913" s="27"/>
    </row>
    <row r="914" spans="1:37" ht="15" customHeight="1" x14ac:dyDescent="0.2">
      <c r="A914" s="21"/>
      <c r="B914" s="22"/>
      <c r="C914" s="22"/>
      <c r="D914" s="22"/>
      <c r="E914" s="22"/>
      <c r="F914" s="23"/>
      <c r="G914" s="23"/>
      <c r="H914" s="18"/>
      <c r="I914" s="18"/>
      <c r="J914" s="29" t="s">
        <v>20</v>
      </c>
      <c r="K914" s="16" t="s">
        <v>21</v>
      </c>
      <c r="L914" s="30"/>
      <c r="M914" s="31">
        <f>L904*L905/1000000</f>
        <v>4.8600000000000003</v>
      </c>
      <c r="N914" s="18"/>
      <c r="O914" s="356" t="s">
        <v>936</v>
      </c>
      <c r="P914" s="357"/>
      <c r="Q914" s="16" t="s">
        <v>937</v>
      </c>
      <c r="R914" s="27"/>
      <c r="S914" s="28"/>
      <c r="T914" s="27"/>
    </row>
    <row r="915" spans="1:37" ht="15" customHeight="1" x14ac:dyDescent="0.2">
      <c r="A915" s="32"/>
      <c r="B915" s="33"/>
      <c r="C915" s="33"/>
      <c r="D915" s="33"/>
      <c r="E915" s="33"/>
      <c r="F915" s="34"/>
      <c r="G915" s="34"/>
      <c r="H915" s="35"/>
      <c r="I915" s="35"/>
      <c r="J915" s="29" t="s">
        <v>22</v>
      </c>
      <c r="K915" s="16" t="s">
        <v>23</v>
      </c>
      <c r="L915" s="30"/>
      <c r="M915" s="36">
        <f>(L905+L904)*2/1000</f>
        <v>9</v>
      </c>
      <c r="N915" s="35"/>
      <c r="O915" s="356" t="s">
        <v>938</v>
      </c>
      <c r="P915" s="357"/>
      <c r="Q915" s="16" t="s">
        <v>939</v>
      </c>
      <c r="R915" s="37"/>
      <c r="S915" s="38"/>
      <c r="T915" s="27"/>
    </row>
    <row r="916" spans="1:37" ht="48.75" customHeight="1" x14ac:dyDescent="0.15">
      <c r="A916" s="39" t="s">
        <v>24</v>
      </c>
      <c r="B916" s="560" t="s">
        <v>25</v>
      </c>
      <c r="C916" s="561"/>
      <c r="D916" s="561"/>
      <c r="E916" s="562"/>
      <c r="F916" s="40" t="s">
        <v>26</v>
      </c>
      <c r="G916" s="40" t="s">
        <v>27</v>
      </c>
      <c r="H916" s="40" t="s">
        <v>28</v>
      </c>
      <c r="I916" s="40" t="s">
        <v>1166</v>
      </c>
      <c r="J916" s="40" t="s">
        <v>29</v>
      </c>
      <c r="K916" s="40" t="s">
        <v>30</v>
      </c>
      <c r="L916" s="41" t="s">
        <v>31</v>
      </c>
      <c r="M916" s="40" t="s">
        <v>32</v>
      </c>
      <c r="N916" s="40" t="s">
        <v>33</v>
      </c>
      <c r="O916" s="40" t="s">
        <v>34</v>
      </c>
      <c r="P916" s="42" t="s">
        <v>35</v>
      </c>
      <c r="Q916" s="359" t="s">
        <v>974</v>
      </c>
      <c r="R916" s="43" t="s">
        <v>36</v>
      </c>
      <c r="S916" s="43" t="s">
        <v>37</v>
      </c>
      <c r="T916" s="458"/>
      <c r="V916" s="261" t="s">
        <v>128</v>
      </c>
      <c r="W916" s="261"/>
      <c r="X916" s="262" t="s">
        <v>359</v>
      </c>
      <c r="Y916" s="263"/>
      <c r="Z916" s="262" t="s">
        <v>355</v>
      </c>
      <c r="AA916" s="263"/>
      <c r="AB916" s="262" t="s">
        <v>360</v>
      </c>
      <c r="AC916" s="263"/>
      <c r="AD916" s="262" t="s">
        <v>127</v>
      </c>
      <c r="AE916" s="263"/>
      <c r="AF916" s="262" t="s">
        <v>357</v>
      </c>
      <c r="AG916" s="263"/>
      <c r="AH916" s="262" t="s">
        <v>358</v>
      </c>
      <c r="AI916" s="263"/>
      <c r="AJ916" s="262" t="s">
        <v>840</v>
      </c>
      <c r="AK916" s="263"/>
    </row>
    <row r="917" spans="1:37" ht="13.5" customHeight="1" x14ac:dyDescent="0.15">
      <c r="A917" s="302">
        <v>1</v>
      </c>
      <c r="B917" s="531" t="s">
        <v>38</v>
      </c>
      <c r="C917" s="532"/>
      <c r="D917" s="532"/>
      <c r="E917" s="533"/>
      <c r="F917" s="47" t="str">
        <f>VLOOKUP($H:$H,型材表!$B$5:$I$448,2,0)</f>
        <v>边框</v>
      </c>
      <c r="G917" s="45" t="s">
        <v>39</v>
      </c>
      <c r="H917" s="45" t="str">
        <f>IF(G902=55,"SW55K001",IF(G902=551,"SW55BK001",IF(G902=60,"SW60K001",IF(G902=601,"SW60AK001",IF(G902=65,"SW65AK001",IF(G902=70,"SW70K001",IF(G902=75,"SW75K001",IF(G902=50,"SW50K002"))))))))</f>
        <v>SW55K001</v>
      </c>
      <c r="I917" s="207" t="s">
        <v>1270</v>
      </c>
      <c r="J917" s="46">
        <f>M904</f>
        <v>1700</v>
      </c>
      <c r="K917" s="45">
        <v>4</v>
      </c>
      <c r="L917" s="47">
        <f>VLOOKUP($H:$H,型材表!$B$5:$I$448,4,0)</f>
        <v>0.96699999999999997</v>
      </c>
      <c r="M917" s="46">
        <f>J917*K917*L917/1000</f>
        <v>6.5755999999999997</v>
      </c>
      <c r="N917" s="72">
        <f>VLOOKUP($H:$H,型材表!$B$5:$I$448,7,0)</f>
        <v>0</v>
      </c>
      <c r="O917" s="46">
        <f>N917*M917</f>
        <v>0</v>
      </c>
      <c r="P917" s="100">
        <f>VLOOKUP($H:$H,型材表!$B$5:$I$448,5,0)</f>
        <v>0.125</v>
      </c>
      <c r="Q917" s="100" t="str">
        <f>VLOOKUP($H:$H,型材表!$B$5:$I$448,6,0)</f>
        <v>断桥隔热铝型材</v>
      </c>
      <c r="R917" s="49"/>
      <c r="S917" s="50"/>
      <c r="T917" s="459"/>
      <c r="X917" s="264"/>
      <c r="Y917" s="265"/>
      <c r="Z917" s="264"/>
      <c r="AA917" s="265"/>
      <c r="AB917" s="264"/>
      <c r="AC917" s="265"/>
      <c r="AD917" s="264"/>
      <c r="AE917" s="265"/>
      <c r="AF917" s="264"/>
      <c r="AG917" s="265"/>
      <c r="AH917" s="264"/>
      <c r="AI917" s="265"/>
      <c r="AJ917" s="264"/>
      <c r="AK917" s="265"/>
    </row>
    <row r="918" spans="1:37" x14ac:dyDescent="0.15">
      <c r="A918" s="302">
        <v>2</v>
      </c>
      <c r="B918" s="534"/>
      <c r="C918" s="535"/>
      <c r="D918" s="535"/>
      <c r="E918" s="536"/>
      <c r="F918" s="47" t="str">
        <f>VLOOKUP($H:$H,型材表!$B$5:$I$448,2,0)</f>
        <v>边框</v>
      </c>
      <c r="G918" s="45" t="s">
        <v>144</v>
      </c>
      <c r="H918" s="45" t="str">
        <f>H917</f>
        <v>SW55K001</v>
      </c>
      <c r="I918" s="207" t="s">
        <v>1582</v>
      </c>
      <c r="J918" s="46">
        <f>IF(G902=55,M905-V918,IF(G902=551,M905-X918,IF(G902=60,M905-Z918,IF(G902=601,M905-AB918,IF(G902=65,M905-AD918,IF(G902=70,M905-AF918,IF(G902=75,M905-AH918,IF(G902=50,M905-AJ918))))))))</f>
        <v>2490</v>
      </c>
      <c r="K918" s="45">
        <v>2</v>
      </c>
      <c r="L918" s="47">
        <f>VLOOKUP($H:$H,型材表!$B$5:$I$448,4,0)</f>
        <v>0.96699999999999997</v>
      </c>
      <c r="M918" s="46">
        <f t="shared" ref="M918" si="165">J918*K918*L918/1000</f>
        <v>4.8156600000000003</v>
      </c>
      <c r="N918" s="72">
        <f>VLOOKUP($H:$H,型材表!$B$5:$I$448,7,0)</f>
        <v>0</v>
      </c>
      <c r="O918" s="46">
        <f t="shared" ref="O918" si="166">N918*M918</f>
        <v>0</v>
      </c>
      <c r="P918" s="100">
        <f>VLOOKUP($H:$H,型材表!$B$5:$I$448,5,0)</f>
        <v>0.125</v>
      </c>
      <c r="Q918" s="100" t="str">
        <f>VLOOKUP($H:$H,型材表!$B$5:$I$448,6,0)</f>
        <v>断桥隔热铝型材</v>
      </c>
      <c r="R918" s="49"/>
      <c r="S918" s="50"/>
      <c r="T918" s="459"/>
      <c r="U918" s="374" t="s">
        <v>1581</v>
      </c>
      <c r="V918" s="266">
        <f>55*2</f>
        <v>110</v>
      </c>
      <c r="W918" s="265"/>
      <c r="X918" s="264">
        <f>55*2</f>
        <v>110</v>
      </c>
      <c r="Y918" s="265"/>
      <c r="Z918" s="264">
        <f>60.2*2</f>
        <v>120.4</v>
      </c>
      <c r="AA918" s="265"/>
      <c r="AB918" s="264">
        <f>60.4*2</f>
        <v>120.8</v>
      </c>
      <c r="AC918" s="265"/>
      <c r="AD918" s="264">
        <f>64.2*2</f>
        <v>128.4</v>
      </c>
      <c r="AE918" s="265"/>
      <c r="AF918" s="264">
        <f>70.2*2</f>
        <v>140.4</v>
      </c>
      <c r="AG918" s="265"/>
      <c r="AH918" s="264">
        <f>74.2*2</f>
        <v>148.4</v>
      </c>
      <c r="AI918" s="265"/>
      <c r="AJ918" s="264">
        <f>50*2</f>
        <v>100</v>
      </c>
      <c r="AK918" s="265"/>
    </row>
    <row r="919" spans="1:37" x14ac:dyDescent="0.15">
      <c r="A919" s="382">
        <v>3</v>
      </c>
      <c r="B919" s="534"/>
      <c r="C919" s="535"/>
      <c r="D919" s="535"/>
      <c r="E919" s="536"/>
      <c r="F919" s="47"/>
      <c r="G919" s="207"/>
      <c r="H919" s="207"/>
      <c r="I919" s="207"/>
      <c r="J919" s="208"/>
      <c r="K919" s="207"/>
      <c r="L919" s="47"/>
      <c r="M919" s="46"/>
      <c r="N919" s="72"/>
      <c r="O919" s="46"/>
      <c r="P919" s="100"/>
      <c r="Q919" s="100"/>
      <c r="R919" s="210"/>
      <c r="S919" s="50"/>
      <c r="T919" s="459"/>
      <c r="X919" s="264"/>
      <c r="Y919" s="265"/>
      <c r="Z919" s="264"/>
      <c r="AA919" s="265"/>
      <c r="AB919" s="264"/>
      <c r="AC919" s="265"/>
      <c r="AD919" s="264"/>
      <c r="AE919" s="265"/>
      <c r="AF919" s="264"/>
      <c r="AG919" s="265"/>
      <c r="AH919" s="264"/>
      <c r="AI919" s="265"/>
      <c r="AJ919" s="264"/>
      <c r="AK919" s="265"/>
    </row>
    <row r="920" spans="1:37" s="229" customFormat="1" x14ac:dyDescent="0.15">
      <c r="A920" s="382">
        <v>4</v>
      </c>
      <c r="B920" s="537"/>
      <c r="C920" s="538"/>
      <c r="D920" s="538"/>
      <c r="E920" s="539"/>
      <c r="F920" s="221"/>
      <c r="G920" s="222"/>
      <c r="H920" s="222"/>
      <c r="I920" s="222"/>
      <c r="J920" s="223"/>
      <c r="K920" s="222"/>
      <c r="L920" s="221"/>
      <c r="M920" s="224"/>
      <c r="N920" s="225"/>
      <c r="O920" s="224"/>
      <c r="P920" s="226"/>
      <c r="Q920" s="100"/>
      <c r="R920" s="227"/>
      <c r="S920" s="228"/>
      <c r="T920" s="467"/>
      <c r="U920" s="375"/>
      <c r="V920" s="266"/>
      <c r="W920" s="266"/>
      <c r="X920" s="267"/>
      <c r="Y920" s="268"/>
      <c r="Z920" s="267"/>
      <c r="AA920" s="268"/>
      <c r="AB920" s="267"/>
      <c r="AC920" s="268"/>
      <c r="AD920" s="267"/>
      <c r="AE920" s="268"/>
      <c r="AF920" s="267"/>
      <c r="AG920" s="268"/>
      <c r="AH920" s="267"/>
      <c r="AI920" s="268"/>
      <c r="AJ920" s="267"/>
      <c r="AK920" s="268"/>
    </row>
    <row r="921" spans="1:37" ht="13.5" customHeight="1" x14ac:dyDescent="0.15">
      <c r="A921" s="382">
        <v>5</v>
      </c>
      <c r="B921" s="580" t="s">
        <v>41</v>
      </c>
      <c r="C921" s="580"/>
      <c r="D921" s="580"/>
      <c r="E921" s="580"/>
      <c r="F921" s="47" t="str">
        <f>VLOOKUP($H:$H,型材表!$B$5:$I$448,2,0)</f>
        <v>外开扇</v>
      </c>
      <c r="G921" s="45" t="s">
        <v>39</v>
      </c>
      <c r="H921" s="45" t="str">
        <f>IF(G902=55,"SW55S001",IF(G902=551,"SW55BS001",IF(G902=60,"SW60S001",IF(G902=601,"SW60AS001",IF(G902=65,"SW65AS001",IF(G902=70,"SW70S001",IF(G902=75,"SW75S001",IF(G902=50,"SW50S001"))))))))</f>
        <v>SW55S001</v>
      </c>
      <c r="I921" s="207" t="s">
        <v>1292</v>
      </c>
      <c r="J921" s="46">
        <f>IF(G902=55,M906-V921,IF(G902=551,M906-X921,IF(G902=60,M906-Z921,IF(G902=601,M906-AB921,IF(G902=65,M906-AD921,IF(G902=70,M906-AF921,IF(G902=75,M906-AH921,IF(G902=50,M906-AJ921))))))))</f>
        <v>1117.2</v>
      </c>
      <c r="K921" s="45">
        <v>4</v>
      </c>
      <c r="L921" s="47">
        <f>VLOOKUP($H:$H,型材表!$B$5:$I$448,4,0)</f>
        <v>1.4450000000000001</v>
      </c>
      <c r="M921" s="46">
        <f t="shared" ref="M921:M925" si="167">J921*K921*L921/1000</f>
        <v>6.4574160000000003</v>
      </c>
      <c r="N921" s="72">
        <f>VLOOKUP($H:$H,型材表!$B$5:$I$448,7,0)</f>
        <v>0</v>
      </c>
      <c r="O921" s="46">
        <f t="shared" ref="O921:O925" si="168">N921*M921</f>
        <v>0</v>
      </c>
      <c r="P921" s="100">
        <f>VLOOKUP($H:$H,型材表!$B$5:$I$448,5,0)</f>
        <v>0.125</v>
      </c>
      <c r="Q921" s="100" t="str">
        <f>VLOOKUP($H:$H,型材表!$B$5:$I$448,6,0)</f>
        <v>断桥隔热铝型材</v>
      </c>
      <c r="R921" s="49"/>
      <c r="S921" s="50"/>
      <c r="T921" s="459"/>
      <c r="U921" s="374" t="s">
        <v>1247</v>
      </c>
      <c r="V921" s="259">
        <f>48.9+33.9</f>
        <v>82.8</v>
      </c>
      <c r="X921" s="286">
        <f>48.9+33.9</f>
        <v>82.8</v>
      </c>
      <c r="Y921" s="265"/>
      <c r="Z921" s="286">
        <f>48.9+33.9</f>
        <v>82.8</v>
      </c>
      <c r="AA921" s="265"/>
      <c r="AB921" s="286">
        <f>48.9+33.9</f>
        <v>82.8</v>
      </c>
      <c r="AC921" s="265"/>
      <c r="AD921" s="286">
        <f>48.9+33.9</f>
        <v>82.8</v>
      </c>
      <c r="AE921" s="265"/>
      <c r="AF921" s="286">
        <f>50.9+35.9</f>
        <v>86.8</v>
      </c>
      <c r="AG921" s="265"/>
      <c r="AH921" s="286">
        <f>50.9+35.9</f>
        <v>86.8</v>
      </c>
      <c r="AI921" s="265"/>
      <c r="AJ921" s="264">
        <f>45.7+30.4</f>
        <v>76.099999999999994</v>
      </c>
      <c r="AK921" s="265"/>
    </row>
    <row r="922" spans="1:37" x14ac:dyDescent="0.15">
      <c r="A922" s="382">
        <v>6</v>
      </c>
      <c r="B922" s="580"/>
      <c r="C922" s="580"/>
      <c r="D922" s="580"/>
      <c r="E922" s="580"/>
      <c r="F922" s="47" t="str">
        <f>VLOOKUP($H:$H,型材表!$B$5:$I$448,2,0)</f>
        <v>外开扇</v>
      </c>
      <c r="G922" s="45" t="s">
        <v>40</v>
      </c>
      <c r="H922" s="207" t="str">
        <f>H921</f>
        <v>SW55S001</v>
      </c>
      <c r="I922" s="207" t="s">
        <v>1576</v>
      </c>
      <c r="J922" s="208">
        <f>IF(G902=55,M909-V922,IF(G902=551,M909-X922,IF(G902=60,M909-Z922,IF(G902=601,M909-AB922,IF(G902=65,M909-AD922,IF(G902=70,M909-AF922,IF(G902=75,M909-AH922,IF(G902=50,M909-AJ922))))))))</f>
        <v>617.20000000000005</v>
      </c>
      <c r="K922" s="207">
        <v>2</v>
      </c>
      <c r="L922" s="47">
        <f>VLOOKUP($H:$H,型材表!$B$5:$I$448,4,0)</f>
        <v>1.4450000000000001</v>
      </c>
      <c r="M922" s="46">
        <f t="shared" si="167"/>
        <v>1.7837080000000003</v>
      </c>
      <c r="N922" s="72">
        <f>VLOOKUP($H:$H,型材表!$B$5:$I$448,7,0)</f>
        <v>0</v>
      </c>
      <c r="O922" s="46">
        <f t="shared" si="168"/>
        <v>0</v>
      </c>
      <c r="P922" s="100">
        <f>VLOOKUP($H:$H,型材表!$B$5:$I$448,5,0)</f>
        <v>0.125</v>
      </c>
      <c r="Q922" s="100" t="str">
        <f>VLOOKUP($H:$H,型材表!$B$5:$I$448,6,0)</f>
        <v>断桥隔热铝型材</v>
      </c>
      <c r="R922" s="210"/>
      <c r="S922" s="50"/>
      <c r="T922" s="459"/>
      <c r="U922" s="374" t="s">
        <v>1575</v>
      </c>
      <c r="V922" s="259">
        <f>48.9+33.9</f>
        <v>82.8</v>
      </c>
      <c r="X922" s="286">
        <f>48.9+33.9</f>
        <v>82.8</v>
      </c>
      <c r="Y922" s="265"/>
      <c r="Z922" s="286">
        <f>48.9+33.9</f>
        <v>82.8</v>
      </c>
      <c r="AA922" s="265"/>
      <c r="AB922" s="286">
        <f>48.9+33.9</f>
        <v>82.8</v>
      </c>
      <c r="AC922" s="265"/>
      <c r="AD922" s="286">
        <f>48.9+33.9</f>
        <v>82.8</v>
      </c>
      <c r="AE922" s="265"/>
      <c r="AF922" s="286">
        <f>50.9+35.9</f>
        <v>86.8</v>
      </c>
      <c r="AG922" s="265"/>
      <c r="AH922" s="286">
        <f>50.9+35.9</f>
        <v>86.8</v>
      </c>
      <c r="AI922" s="265"/>
      <c r="AJ922" s="264">
        <f>45.7+30.4</f>
        <v>76.099999999999994</v>
      </c>
      <c r="AK922" s="265"/>
    </row>
    <row r="923" spans="1:37" x14ac:dyDescent="0.15">
      <c r="A923" s="382">
        <v>7</v>
      </c>
      <c r="B923" s="580"/>
      <c r="C923" s="580"/>
      <c r="D923" s="580"/>
      <c r="E923" s="580"/>
      <c r="F923" s="47" t="str">
        <f>VLOOKUP($H:$H,型材表!$B$5:$I$448,2,0)</f>
        <v>外开扇</v>
      </c>
      <c r="G923" s="45" t="s">
        <v>40</v>
      </c>
      <c r="H923" s="207" t="str">
        <f>H922</f>
        <v>SW55S001</v>
      </c>
      <c r="I923" s="207" t="s">
        <v>1659</v>
      </c>
      <c r="J923" s="208">
        <f>IF(G902=55,M909-V922-V918/2,IF(G902=551,M909-X922-X918/2,IF(G902=60,M909-Z922-Z918/2,IF(G902=601,M909-AB922-AB918/2,IF(G902=65,M909-AD922-AD918/2,IF(G902=70,M909-AF922-AF918/2,IF(G902=75,M909-AH922-AH918/2,IF(G902=50,M909-AJ922-AJ918/2))))))))</f>
        <v>562.20000000000005</v>
      </c>
      <c r="K923" s="207">
        <v>2</v>
      </c>
      <c r="L923" s="47">
        <f>VLOOKUP($H:$H,型材表!$B$5:$I$448,4,0)</f>
        <v>1.4450000000000001</v>
      </c>
      <c r="M923" s="46">
        <f t="shared" ref="M923" si="169">J923*K923*L923/1000</f>
        <v>1.6247580000000004</v>
      </c>
      <c r="N923" s="72">
        <f>VLOOKUP($H:$H,型材表!$B$5:$I$448,7,0)</f>
        <v>0</v>
      </c>
      <c r="O923" s="46">
        <f t="shared" ref="O923" si="170">N923*M923</f>
        <v>0</v>
      </c>
      <c r="P923" s="100">
        <f>VLOOKUP($H:$H,型材表!$B$5:$I$448,5,0)</f>
        <v>0.125</v>
      </c>
      <c r="Q923" s="100" t="str">
        <f>VLOOKUP($H:$H,型材表!$B$5:$I$448,6,0)</f>
        <v>断桥隔热铝型材</v>
      </c>
      <c r="R923" s="210"/>
      <c r="S923" s="50"/>
      <c r="T923" s="459"/>
      <c r="X923" s="286"/>
      <c r="Y923" s="265"/>
      <c r="Z923" s="286"/>
      <c r="AA923" s="265"/>
      <c r="AB923" s="286"/>
      <c r="AC923" s="265"/>
      <c r="AD923" s="286"/>
      <c r="AE923" s="265"/>
      <c r="AF923" s="286"/>
      <c r="AG923" s="265"/>
      <c r="AH923" s="286"/>
      <c r="AI923" s="265"/>
      <c r="AJ923" s="264"/>
      <c r="AK923" s="265"/>
    </row>
    <row r="924" spans="1:37" x14ac:dyDescent="0.15">
      <c r="A924" s="382">
        <v>8</v>
      </c>
      <c r="B924" s="580"/>
      <c r="C924" s="580"/>
      <c r="D924" s="580"/>
      <c r="E924" s="580"/>
      <c r="F924" s="47" t="str">
        <f>VLOOKUP($H:$H,型材表!$B$5:$I$448,2,0)</f>
        <v>中梃</v>
      </c>
      <c r="G924" s="45" t="s">
        <v>39</v>
      </c>
      <c r="H924" s="45" t="str">
        <f>IF(G902=55,"SW55T001",IF(G902=551,"SW55BT001",IF(G902=60,"SW60T001",IF(G902=601,"SW60AT001",IF(G902=65,"SW65AT001",IF(G902=70,"SW70T001",IF(G902=75,"SW75T001",IF(G902=50,"SW50Z001"))))))))</f>
        <v>SW55T001</v>
      </c>
      <c r="I924" s="207" t="s">
        <v>1281</v>
      </c>
      <c r="J924" s="46">
        <f>IF(G902=55,M904-V924,IF(G902=551,M904-X924,IF(G902=60,M904-Z924,IF(G902=601,M904-AB924,IF(G902=65,M904-AD924,IF(G902=70,M904-AF924,IF(G902=75,M904-AH924,IF(G902=50,M904-AJ924))))))))</f>
        <v>1654</v>
      </c>
      <c r="K924" s="45">
        <v>2</v>
      </c>
      <c r="L924" s="47">
        <f>VLOOKUP($H:$H,型材表!$B$5:$I$448,4,0)</f>
        <v>1.113</v>
      </c>
      <c r="M924" s="46">
        <f t="shared" si="167"/>
        <v>3.6818040000000001</v>
      </c>
      <c r="N924" s="72">
        <f>VLOOKUP($H:$H,型材表!$B$5:$I$448,7,0)</f>
        <v>0</v>
      </c>
      <c r="O924" s="46">
        <f t="shared" si="168"/>
        <v>0</v>
      </c>
      <c r="P924" s="100">
        <f>VLOOKUP($H:$H,型材表!$B$5:$I$448,5,0)</f>
        <v>0.125</v>
      </c>
      <c r="Q924" s="100" t="str">
        <f>VLOOKUP($H:$H,型材表!$B$5:$I$448,6,0)</f>
        <v>断桥隔热铝型材</v>
      </c>
      <c r="R924" s="49"/>
      <c r="S924" s="50"/>
      <c r="T924" s="459"/>
      <c r="U924" s="374" t="s">
        <v>1234</v>
      </c>
      <c r="V924" s="259">
        <f>23*2</f>
        <v>46</v>
      </c>
      <c r="X924" s="286">
        <f>23*2</f>
        <v>46</v>
      </c>
      <c r="Y924" s="265"/>
      <c r="Z924" s="286">
        <f>23*2</f>
        <v>46</v>
      </c>
      <c r="AA924" s="265"/>
      <c r="AB924" s="286">
        <f>23*2</f>
        <v>46</v>
      </c>
      <c r="AC924" s="265"/>
      <c r="AD924" s="286">
        <f>23*2</f>
        <v>46</v>
      </c>
      <c r="AE924" s="265"/>
      <c r="AF924" s="286">
        <f>23*2</f>
        <v>46</v>
      </c>
      <c r="AG924" s="265"/>
      <c r="AH924" s="286">
        <f>23*2</f>
        <v>46</v>
      </c>
      <c r="AI924" s="265"/>
      <c r="AJ924" s="264">
        <f>23.3*2</f>
        <v>46.6</v>
      </c>
      <c r="AK924" s="265"/>
    </row>
    <row r="925" spans="1:37" s="315" customFormat="1" x14ac:dyDescent="0.15">
      <c r="A925" s="382">
        <v>9</v>
      </c>
      <c r="B925" s="580"/>
      <c r="C925" s="580"/>
      <c r="D925" s="580"/>
      <c r="E925" s="580"/>
      <c r="F925" s="47" t="str">
        <f>VLOOKUP($H:$H,型材表!$B$5:$I$448,2,0)</f>
        <v>中梃</v>
      </c>
      <c r="G925" s="45" t="s">
        <v>40</v>
      </c>
      <c r="H925" s="207" t="str">
        <f>IF(G902=55,"SW55T001",IF(G902=551,"SW55BT001",IF(G902=60,"SW60T001",IF(G902=601,"SW60AT001",IF(G902=65,"SW65AT001",IF(G902=70,"SW70T001",IF(G902=75,"SW75T001",IF(G902=50,"SW50Z001"))))))))</f>
        <v>SW55T001</v>
      </c>
      <c r="I925" s="207" t="s">
        <v>1282</v>
      </c>
      <c r="J925" s="208">
        <f>IF(G902=55,M909-V925,IF(G902=551,M909-X925,IF(G902=60,M909-Z925,IF(G902=601,M909-AB925,IF(G902=65,M909-AD925,IF(G902=70,M909-AF925,IF(G902=75,M909-AH925,IF(G902=50,M909-AJ925))))))))</f>
        <v>669</v>
      </c>
      <c r="K925" s="207">
        <v>1</v>
      </c>
      <c r="L925" s="310">
        <f>VLOOKUP($H:$H,型材表!$B$5:$I$448,4,0)</f>
        <v>1.113</v>
      </c>
      <c r="M925" s="147">
        <f t="shared" si="167"/>
        <v>0.74459699999999995</v>
      </c>
      <c r="N925" s="311">
        <f>VLOOKUP($H:$H,型材表!$B$5:$I$448,7,0)</f>
        <v>0</v>
      </c>
      <c r="O925" s="147">
        <f t="shared" si="168"/>
        <v>0</v>
      </c>
      <c r="P925" s="312">
        <f>VLOOKUP($H:$H,型材表!$B$5:$I$448,5,0)</f>
        <v>0.125</v>
      </c>
      <c r="Q925" s="100" t="str">
        <f>VLOOKUP($H:$H,型材表!$B$5:$I$448,6,0)</f>
        <v>断桥隔热铝型材</v>
      </c>
      <c r="R925" s="313"/>
      <c r="S925" s="314"/>
      <c r="T925" s="469"/>
      <c r="U925" s="374" t="s">
        <v>1249</v>
      </c>
      <c r="V925" s="259">
        <f>23+8</f>
        <v>31</v>
      </c>
      <c r="W925" s="259"/>
      <c r="X925" s="286">
        <f>23+8</f>
        <v>31</v>
      </c>
      <c r="Y925" s="265"/>
      <c r="Z925" s="286">
        <f>23+8</f>
        <v>31</v>
      </c>
      <c r="AA925" s="265"/>
      <c r="AB925" s="286">
        <f>23+8</f>
        <v>31</v>
      </c>
      <c r="AC925" s="265"/>
      <c r="AD925" s="286">
        <f>23+8</f>
        <v>31</v>
      </c>
      <c r="AE925" s="265"/>
      <c r="AF925" s="286">
        <f>23+8</f>
        <v>31</v>
      </c>
      <c r="AG925" s="265"/>
      <c r="AH925" s="286">
        <f>23+8</f>
        <v>31</v>
      </c>
      <c r="AI925" s="265"/>
      <c r="AJ925" s="264">
        <f>8+23.3</f>
        <v>31.3</v>
      </c>
      <c r="AK925" s="318"/>
    </row>
    <row r="926" spans="1:37" s="315" customFormat="1" x14ac:dyDescent="0.15">
      <c r="A926" s="382">
        <v>10</v>
      </c>
      <c r="B926" s="580"/>
      <c r="C926" s="580"/>
      <c r="D926" s="580"/>
      <c r="E926" s="580"/>
      <c r="F926" s="47" t="str">
        <f>VLOOKUP($H:$H,型材表!$B$5:$I$448,2,0)</f>
        <v>中梃</v>
      </c>
      <c r="G926" s="45" t="s">
        <v>40</v>
      </c>
      <c r="H926" s="207" t="str">
        <f>H925</f>
        <v>SW55T001</v>
      </c>
      <c r="I926" s="207" t="s">
        <v>1660</v>
      </c>
      <c r="J926" s="208">
        <f>IF(G902=55,M909-V925-V918/2,IF(G902=551,M909-X925-X918/2,IF(G902=60,M909-Z925-Z918/2,IF(G902=601,M909-AB925-AB918/2,IF(G902=65,M909-AD925-AD918/2,IF(G902=70,M909-AF925-AF918/2,IF(G902=75,M909-AH925-AH918/2,IF(G902=50,M909-AJ925-AJ918/2))))))))</f>
        <v>614</v>
      </c>
      <c r="K926" s="207">
        <v>1</v>
      </c>
      <c r="L926" s="310">
        <f>VLOOKUP($H:$H,型材表!$B$5:$I$448,4,0)</f>
        <v>1.113</v>
      </c>
      <c r="M926" s="147">
        <f t="shared" ref="M926:M929" si="171">J926*K926*L926/1000</f>
        <v>0.68338199999999993</v>
      </c>
      <c r="N926" s="311">
        <f>VLOOKUP($H:$H,型材表!$B$5:$I$448,7,0)</f>
        <v>0</v>
      </c>
      <c r="O926" s="147">
        <f t="shared" ref="O926:O929" si="172">N926*M926</f>
        <v>0</v>
      </c>
      <c r="P926" s="312">
        <f>VLOOKUP($H:$H,型材表!$B$5:$I$448,5,0)</f>
        <v>0.125</v>
      </c>
      <c r="Q926" s="100" t="str">
        <f>VLOOKUP($H:$H,型材表!$B$5:$I$448,6,0)</f>
        <v>断桥隔热铝型材</v>
      </c>
      <c r="R926" s="330"/>
      <c r="S926" s="314"/>
      <c r="T926" s="469"/>
      <c r="U926" s="376"/>
      <c r="V926" s="316"/>
      <c r="W926" s="316"/>
      <c r="X926" s="317"/>
      <c r="Y926" s="318"/>
      <c r="Z926" s="317"/>
      <c r="AA926" s="318"/>
      <c r="AB926" s="317"/>
      <c r="AC926" s="318"/>
      <c r="AD926" s="317"/>
      <c r="AE926" s="318"/>
      <c r="AF926" s="317"/>
      <c r="AG926" s="318"/>
      <c r="AH926" s="317"/>
      <c r="AI926" s="318"/>
      <c r="AJ926" s="317"/>
      <c r="AK926" s="318"/>
    </row>
    <row r="927" spans="1:37" s="315" customFormat="1" x14ac:dyDescent="0.15">
      <c r="A927" s="382">
        <v>11</v>
      </c>
      <c r="B927" s="580"/>
      <c r="C927" s="580"/>
      <c r="D927" s="580"/>
      <c r="E927" s="580"/>
      <c r="F927" s="47" t="str">
        <f>VLOOKUP($H:$H,型材表!$B$5:$I$448,2,0)</f>
        <v>转向框</v>
      </c>
      <c r="G927" s="116" t="s">
        <v>39</v>
      </c>
      <c r="H927" s="116" t="str">
        <f>IF(G902=55,"SW55K102",IF(G902=551,"SW55BK102",IF(G902=60,"SW60K102",IF(G902=601,"SW60AK102",IF(G902=65,"SW65AK102",IF(G902=70,"SW70K102",IF(G902=75,"SW75K102",IF(G902=50,"SW50K101"))))))))</f>
        <v>SW55K102</v>
      </c>
      <c r="I927" s="207" t="s">
        <v>1283</v>
      </c>
      <c r="J927" s="147">
        <f>IF(G902=55,M907-V927,IF(G902=551,M907-X927,IF(G902=60,M907-Z927,IF(G902=601,M907-AB927,IF(G902=65,M907-AD927,IF(G902=70,M907-AF927,IF(G902=75,M907-AH927,IF(G902=50,M907-AJ927))))))))</f>
        <v>461.7</v>
      </c>
      <c r="K927" s="116">
        <v>4</v>
      </c>
      <c r="L927" s="310">
        <f>VLOOKUP($H:$H,型材表!$B$5:$I$448,4,0)</f>
        <v>0.92300000000000004</v>
      </c>
      <c r="M927" s="147">
        <f t="shared" si="171"/>
        <v>1.7045964000000002</v>
      </c>
      <c r="N927" s="311">
        <f>VLOOKUP($H:$H,型材表!$B$5:$I$448,7,0)</f>
        <v>0</v>
      </c>
      <c r="O927" s="147">
        <f t="shared" si="172"/>
        <v>0</v>
      </c>
      <c r="P927" s="312">
        <f>VLOOKUP($H:$H,型材表!$B$5:$I$448,5,0)</f>
        <v>0.125</v>
      </c>
      <c r="Q927" s="100" t="str">
        <f>VLOOKUP($H:$H,型材表!$B$5:$I$448,6,0)</f>
        <v>断桥隔热铝型材</v>
      </c>
      <c r="R927" s="330"/>
      <c r="S927" s="314"/>
      <c r="T927" s="469"/>
      <c r="U927" s="376" t="s">
        <v>1293</v>
      </c>
      <c r="V927" s="316">
        <f>25.3+13</f>
        <v>38.299999999999997</v>
      </c>
      <c r="W927" s="316"/>
      <c r="X927" s="317">
        <f>25.3+13</f>
        <v>38.299999999999997</v>
      </c>
      <c r="Y927" s="318"/>
      <c r="Z927" s="317">
        <f>25.3+13</f>
        <v>38.299999999999997</v>
      </c>
      <c r="AA927" s="318"/>
      <c r="AB927" s="317">
        <f>25.3+13</f>
        <v>38.299999999999997</v>
      </c>
      <c r="AC927" s="318"/>
      <c r="AD927" s="317">
        <f>25.3+13</f>
        <v>38.299999999999997</v>
      </c>
      <c r="AE927" s="318"/>
      <c r="AF927" s="317">
        <f>25.3+10.3</f>
        <v>35.6</v>
      </c>
      <c r="AG927" s="318"/>
      <c r="AH927" s="317">
        <f>25.3+10.3</f>
        <v>35.6</v>
      </c>
      <c r="AI927" s="318"/>
      <c r="AJ927" s="317">
        <f>10+25.3</f>
        <v>35.299999999999997</v>
      </c>
      <c r="AK927" s="318"/>
    </row>
    <row r="928" spans="1:37" x14ac:dyDescent="0.15">
      <c r="A928" s="382">
        <v>12</v>
      </c>
      <c r="B928" s="580"/>
      <c r="C928" s="580"/>
      <c r="D928" s="580"/>
      <c r="E928" s="580"/>
      <c r="F928" s="47" t="str">
        <f>VLOOKUP($H:$H,型材表!$B$5:$I$448,2,0)</f>
        <v>转向框</v>
      </c>
      <c r="G928" s="116" t="s">
        <v>40</v>
      </c>
      <c r="H928" s="328" t="str">
        <f>H927</f>
        <v>SW55K102</v>
      </c>
      <c r="I928" s="207" t="s">
        <v>1579</v>
      </c>
      <c r="J928" s="329">
        <f>IF(G902=55,M909-V928,IF(G902=551,M909-X928,IF(G902=60,M909-Z928,IF(G902=601,M909-AB928,IF(G902=65,M909-AD928,IF(G902=70,M909-AF928,IF(G902=75,M909-AH928,IF(G902=50,M909-AJ928))))))))</f>
        <v>661.7</v>
      </c>
      <c r="K928" s="328">
        <v>2</v>
      </c>
      <c r="L928" s="310">
        <f>VLOOKUP($H:$H,型材表!$B$5:$I$448,4,0)</f>
        <v>0.92300000000000004</v>
      </c>
      <c r="M928" s="147">
        <f t="shared" si="171"/>
        <v>1.2214982000000003</v>
      </c>
      <c r="N928" s="311">
        <f>VLOOKUP($H:$H,型材表!$B$5:$I$448,7,0)</f>
        <v>0</v>
      </c>
      <c r="O928" s="147">
        <f t="shared" si="172"/>
        <v>0</v>
      </c>
      <c r="P928" s="312">
        <f>VLOOKUP($H:$H,型材表!$B$5:$I$448,5,0)</f>
        <v>0.125</v>
      </c>
      <c r="Q928" s="100" t="str">
        <f>VLOOKUP($H:$H,型材表!$B$5:$I$448,6,0)</f>
        <v>断桥隔热铝型材</v>
      </c>
      <c r="R928" s="49"/>
      <c r="S928" s="50"/>
      <c r="T928" s="459"/>
      <c r="U928" s="376" t="s">
        <v>1577</v>
      </c>
      <c r="V928" s="316">
        <f>25.3+13</f>
        <v>38.299999999999997</v>
      </c>
      <c r="W928" s="316"/>
      <c r="X928" s="317">
        <f>25.3+13</f>
        <v>38.299999999999997</v>
      </c>
      <c r="Y928" s="318"/>
      <c r="Z928" s="317">
        <f>25.3+13</f>
        <v>38.299999999999997</v>
      </c>
      <c r="AA928" s="318"/>
      <c r="AB928" s="317">
        <f>25.3+13</f>
        <v>38.299999999999997</v>
      </c>
      <c r="AC928" s="318"/>
      <c r="AD928" s="317">
        <f>25.3+13</f>
        <v>38.299999999999997</v>
      </c>
      <c r="AE928" s="318"/>
      <c r="AF928" s="317">
        <f>25.3+10.3</f>
        <v>35.6</v>
      </c>
      <c r="AG928" s="318"/>
      <c r="AH928" s="317">
        <f>25.3+10.3</f>
        <v>35.6</v>
      </c>
      <c r="AI928" s="318"/>
      <c r="AJ928" s="317">
        <f>10+25.3</f>
        <v>35.299999999999997</v>
      </c>
      <c r="AK928" s="265"/>
    </row>
    <row r="929" spans="1:37" x14ac:dyDescent="0.15">
      <c r="A929" s="382">
        <v>13</v>
      </c>
      <c r="B929" s="580"/>
      <c r="C929" s="580"/>
      <c r="D929" s="580"/>
      <c r="E929" s="580"/>
      <c r="F929" s="47" t="str">
        <f>VLOOKUP($H:$H,型材表!$B$5:$I$448,2,0)</f>
        <v>转向框</v>
      </c>
      <c r="G929" s="116" t="s">
        <v>40</v>
      </c>
      <c r="H929" s="45" t="str">
        <f>H928</f>
        <v>SW55K102</v>
      </c>
      <c r="I929" s="207" t="s">
        <v>1661</v>
      </c>
      <c r="J929" s="46">
        <f>IF(G902=55,M909-V928-V918/2,IF(G902=551,M909-X928-X918/2,IF(G902=60,M909-Z928-Z918/2,IF(G902=601,M909-AB928-AB918/2,IF(G902=65,M909-AD928-AD918/2,IF(G902=70,M909-AF928-AF918/2,IF(G902=75,M909-AH928-AH918/2,IF(G902=50,M909-AJ928-AJ918/2))))))))</f>
        <v>606.70000000000005</v>
      </c>
      <c r="K929" s="45">
        <v>2</v>
      </c>
      <c r="L929" s="310">
        <f>VLOOKUP($H:$H,型材表!$B$5:$I$448,4,0)</f>
        <v>0.92300000000000004</v>
      </c>
      <c r="M929" s="147">
        <f t="shared" si="171"/>
        <v>1.1199682</v>
      </c>
      <c r="N929" s="311">
        <f>VLOOKUP($H:$H,型材表!$B$5:$I$448,7,0)</f>
        <v>0</v>
      </c>
      <c r="O929" s="147">
        <f t="shared" si="172"/>
        <v>0</v>
      </c>
      <c r="P929" s="312">
        <f>VLOOKUP($H:$H,型材表!$B$5:$I$448,5,0)</f>
        <v>0.125</v>
      </c>
      <c r="Q929" s="100" t="str">
        <f>VLOOKUP($H:$H,型材表!$B$5:$I$448,6,0)</f>
        <v>断桥隔热铝型材</v>
      </c>
      <c r="R929" s="210"/>
      <c r="S929" s="50"/>
      <c r="T929" s="459"/>
      <c r="X929" s="264"/>
      <c r="Y929" s="265"/>
      <c r="Z929" s="264"/>
      <c r="AA929" s="265"/>
      <c r="AB929" s="264"/>
      <c r="AC929" s="265"/>
      <c r="AD929" s="264"/>
      <c r="AE929" s="265"/>
      <c r="AF929" s="264"/>
      <c r="AG929" s="265"/>
      <c r="AH929" s="264"/>
      <c r="AI929" s="265"/>
      <c r="AJ929" s="264"/>
      <c r="AK929" s="265"/>
    </row>
    <row r="930" spans="1:37" x14ac:dyDescent="0.15">
      <c r="A930" s="382">
        <v>14</v>
      </c>
      <c r="B930" s="580" t="s">
        <v>1273</v>
      </c>
      <c r="C930" s="580"/>
      <c r="D930" s="580"/>
      <c r="E930" s="580"/>
      <c r="F930" s="310" t="str">
        <f>VLOOKUP($H:$H,型材表!$B$5:$I$448,2,0)</f>
        <v>转角料</v>
      </c>
      <c r="G930" s="207"/>
      <c r="H930" s="207" t="str">
        <f>IF(G902=55,"SN55J001",IF(G902=551,"SN55BJ001",IF(G902=60,"SN60J001",IF(G902=601,"SN60AJ001",IF(G902=65,"SN65AJ001",IF(G902=70,"SN70J001",IF(G902=75,"SN75J001",IF(G902=50,"SW50F005"))))))))</f>
        <v>SN55J001</v>
      </c>
      <c r="I930" s="207" t="s">
        <v>1270</v>
      </c>
      <c r="J930" s="208">
        <f>M904</f>
        <v>1700</v>
      </c>
      <c r="K930" s="207">
        <v>1</v>
      </c>
      <c r="L930" s="310">
        <f>VLOOKUP($H:$H,型材表!$B$5:$I$448,4,0)</f>
        <v>1.2430000000000001</v>
      </c>
      <c r="M930" s="147">
        <f t="shared" ref="M930:M936" si="173">J930*K930*L930/1000</f>
        <v>2.1131000000000002</v>
      </c>
      <c r="N930" s="311">
        <f>VLOOKUP($H:$H,型材表!$B$5:$I$448,7,0)</f>
        <v>0</v>
      </c>
      <c r="O930" s="147">
        <f t="shared" ref="O930:O936" si="174">N930*M930</f>
        <v>0</v>
      </c>
      <c r="P930" s="312">
        <f>VLOOKUP($H:$H,型材表!$B$5:$I$448,5,0)</f>
        <v>0.125</v>
      </c>
      <c r="Q930" s="100" t="str">
        <f>VLOOKUP($H:$H,型材表!$B$5:$I$448,6,0)</f>
        <v>断桥隔热铝型材</v>
      </c>
      <c r="R930" s="210"/>
      <c r="S930" s="50"/>
      <c r="T930" s="459"/>
      <c r="X930" s="264"/>
      <c r="Y930" s="265"/>
      <c r="Z930" s="264"/>
      <c r="AA930" s="265"/>
      <c r="AB930" s="264"/>
      <c r="AC930" s="265"/>
      <c r="AD930" s="264"/>
      <c r="AE930" s="265"/>
      <c r="AF930" s="264"/>
      <c r="AG930" s="265"/>
      <c r="AH930" s="264"/>
      <c r="AI930" s="265"/>
      <c r="AJ930" s="264"/>
      <c r="AK930" s="265"/>
    </row>
    <row r="931" spans="1:37" x14ac:dyDescent="0.15">
      <c r="A931" s="382">
        <v>15</v>
      </c>
      <c r="B931" s="580" t="s">
        <v>44</v>
      </c>
      <c r="C931" s="580"/>
      <c r="D931" s="580"/>
      <c r="E931" s="580"/>
      <c r="F931" s="47" t="str">
        <f>VLOOKUP($H:$H,型材表!$B$5:$I$448,2,0)</f>
        <v>压线</v>
      </c>
      <c r="G931" s="45" t="s">
        <v>39</v>
      </c>
      <c r="H931" s="45" t="str">
        <f>IF(G902=55,"SN55Y001",IF(G902=551,"SW55BY001",IF(G902=60,"SN60Y001",IF(G902=601,"SW60AY001",IF(G902=65,"SN65AY001",IF(G902=70,"SN70Y001",IF(G902=75,"SN75Y001",IF(G902=50,"SW50Y001"))))))))</f>
        <v>SN55Y001</v>
      </c>
      <c r="I931" s="207" t="s">
        <v>1284</v>
      </c>
      <c r="J931" s="52">
        <f>IF(G902=55,M906-V931,IF(G902=551,M906-X931,IF(G902=60,M906-Z931,IF(G902=601,M906-AB931,IF(G902=65,M906-AD931,IF(G902=70,M906-AF931,IF(G902=75,M906-AH931,IF(G902=50,M906-AJ931))))))))</f>
        <v>1015.2</v>
      </c>
      <c r="K931" s="45">
        <v>4</v>
      </c>
      <c r="L931" s="310">
        <f>VLOOKUP($H:$H,型材表!$B$5:$I$448,4,0)</f>
        <v>0.214</v>
      </c>
      <c r="M931" s="147">
        <f t="shared" si="173"/>
        <v>0.86901119999999998</v>
      </c>
      <c r="N931" s="311">
        <f>VLOOKUP($H:$H,型材表!$B$5:$I$448,7,0)</f>
        <v>0</v>
      </c>
      <c r="O931" s="147">
        <f t="shared" si="174"/>
        <v>0</v>
      </c>
      <c r="P931" s="312">
        <f>VLOOKUP($H:$H,型材表!$B$5:$I$448,5,0)</f>
        <v>0.125</v>
      </c>
      <c r="Q931" s="100" t="str">
        <f>VLOOKUP($H:$H,型材表!$B$5:$I$448,6,0)</f>
        <v>非断桥隔热铝型材</v>
      </c>
      <c r="R931" s="210"/>
      <c r="S931" s="50"/>
      <c r="T931" s="459"/>
      <c r="U931" s="374" t="s">
        <v>1251</v>
      </c>
      <c r="V931" s="269">
        <f>99.9+84.9</f>
        <v>184.8</v>
      </c>
      <c r="X931" s="279">
        <f>99.9+84.9</f>
        <v>184.8</v>
      </c>
      <c r="Y931" s="265"/>
      <c r="Z931" s="279">
        <f>99.9+84.9</f>
        <v>184.8</v>
      </c>
      <c r="AA931" s="265"/>
      <c r="AB931" s="279">
        <f>99.9+84.9</f>
        <v>184.8</v>
      </c>
      <c r="AC931" s="265"/>
      <c r="AD931" s="279">
        <f>99.9+84.9</f>
        <v>184.8</v>
      </c>
      <c r="AE931" s="265"/>
      <c r="AF931" s="279">
        <f>105.4+90.4</f>
        <v>195.8</v>
      </c>
      <c r="AG931" s="265"/>
      <c r="AH931" s="279">
        <f>105.4+90.4</f>
        <v>195.8</v>
      </c>
      <c r="AI931" s="265"/>
      <c r="AJ931" s="279">
        <f>90.4+75.1</f>
        <v>165.5</v>
      </c>
      <c r="AK931" s="265"/>
    </row>
    <row r="932" spans="1:37" x14ac:dyDescent="0.15">
      <c r="A932" s="382">
        <v>16</v>
      </c>
      <c r="B932" s="580"/>
      <c r="C932" s="580"/>
      <c r="D932" s="580"/>
      <c r="E932" s="580"/>
      <c r="F932" s="47" t="str">
        <f>VLOOKUP($H:$H,型材表!$B$5:$I$448,2,0)</f>
        <v>压线</v>
      </c>
      <c r="G932" s="45" t="s">
        <v>39</v>
      </c>
      <c r="H932" s="207" t="str">
        <f>H931</f>
        <v>SN55Y001</v>
      </c>
      <c r="I932" s="207" t="s">
        <v>1285</v>
      </c>
      <c r="J932" s="214">
        <f>IF(G902=55,M907-V932,IF(G902=551,M907-X932,IF(G902=60,M907-Z932,IF(G902=601,M907-AB932,IF(G902=65,M907-AD932,IF(G902=70,M907-AF932,IF(G902=75,M907-AH932,IF(G902=50,M907-AJ932))))))))</f>
        <v>469</v>
      </c>
      <c r="K932" s="207">
        <v>4</v>
      </c>
      <c r="L932" s="310">
        <f>VLOOKUP($H:$H,型材表!$B$5:$I$448,4,0)</f>
        <v>0.214</v>
      </c>
      <c r="M932" s="147">
        <f t="shared" si="173"/>
        <v>0.40146399999999999</v>
      </c>
      <c r="N932" s="311">
        <f>VLOOKUP($H:$H,型材表!$B$5:$I$448,7,0)</f>
        <v>0</v>
      </c>
      <c r="O932" s="147">
        <f t="shared" si="174"/>
        <v>0</v>
      </c>
      <c r="P932" s="312">
        <f>VLOOKUP($H:$H,型材表!$B$5:$I$448,5,0)</f>
        <v>0.125</v>
      </c>
      <c r="Q932" s="100" t="str">
        <f>VLOOKUP($H:$H,型材表!$B$5:$I$448,6,0)</f>
        <v>非断桥隔热铝型材</v>
      </c>
      <c r="R932" s="210"/>
      <c r="S932" s="50"/>
      <c r="T932" s="459"/>
      <c r="U932" s="374" t="s">
        <v>1252</v>
      </c>
      <c r="V932" s="269">
        <f>8+23</f>
        <v>31</v>
      </c>
      <c r="X932" s="279">
        <f>8+23</f>
        <v>31</v>
      </c>
      <c r="Y932" s="265"/>
      <c r="Z932" s="279">
        <f>8+23</f>
        <v>31</v>
      </c>
      <c r="AA932" s="265"/>
      <c r="AB932" s="279">
        <f>8+23</f>
        <v>31</v>
      </c>
      <c r="AC932" s="265"/>
      <c r="AD932" s="279">
        <f>8+23</f>
        <v>31</v>
      </c>
      <c r="AE932" s="265"/>
      <c r="AF932" s="279">
        <f>8+23</f>
        <v>31</v>
      </c>
      <c r="AG932" s="265"/>
      <c r="AH932" s="279">
        <f>8+23</f>
        <v>31</v>
      </c>
      <c r="AI932" s="265"/>
      <c r="AJ932" s="279">
        <f>8+23.3</f>
        <v>31.3</v>
      </c>
      <c r="AK932" s="265"/>
    </row>
    <row r="933" spans="1:37" x14ac:dyDescent="0.15">
      <c r="A933" s="382">
        <v>17</v>
      </c>
      <c r="B933" s="580"/>
      <c r="C933" s="580"/>
      <c r="D933" s="580"/>
      <c r="E933" s="580"/>
      <c r="F933" s="47" t="str">
        <f>VLOOKUP($H:$H,型材表!$B$5:$I$448,2,0)</f>
        <v>压线</v>
      </c>
      <c r="G933" s="45" t="s">
        <v>39</v>
      </c>
      <c r="H933" s="207" t="str">
        <f>H932</f>
        <v>SN55Y001</v>
      </c>
      <c r="I933" s="207" t="s">
        <v>1294</v>
      </c>
      <c r="J933" s="214">
        <f>IF(G902=55,M904-V933,IF(G902=551,M904-X933,IF(G902=60,M904-Z933,IF(G902=601,M904-AB933,IF(G902=65,M904-AD933,IF(G902=70,M904-AF933,IF(G902=75,M904-AH933,IF(G902=50,M904-AJ933))))))))</f>
        <v>1654</v>
      </c>
      <c r="K933" s="207">
        <v>4</v>
      </c>
      <c r="L933" s="310">
        <f>VLOOKUP($H:$H,型材表!$B$5:$I$448,4,0)</f>
        <v>0.214</v>
      </c>
      <c r="M933" s="147">
        <f t="shared" si="173"/>
        <v>1.415824</v>
      </c>
      <c r="N933" s="311">
        <f>VLOOKUP($H:$H,型材表!$B$5:$I$448,7,0)</f>
        <v>0</v>
      </c>
      <c r="O933" s="147">
        <f t="shared" si="174"/>
        <v>0</v>
      </c>
      <c r="P933" s="312">
        <f>VLOOKUP($H:$H,型材表!$B$5:$I$448,5,0)</f>
        <v>0.125</v>
      </c>
      <c r="Q933" s="100" t="str">
        <f>VLOOKUP($H:$H,型材表!$B$5:$I$448,6,0)</f>
        <v>非断桥隔热铝型材</v>
      </c>
      <c r="R933" s="210"/>
      <c r="S933" s="50"/>
      <c r="T933" s="459"/>
      <c r="U933" s="374" t="s">
        <v>1253</v>
      </c>
      <c r="V933" s="269">
        <f>23*2</f>
        <v>46</v>
      </c>
      <c r="X933" s="279">
        <f>23*2</f>
        <v>46</v>
      </c>
      <c r="Y933" s="265"/>
      <c r="Z933" s="279">
        <f>23*2</f>
        <v>46</v>
      </c>
      <c r="AA933" s="265"/>
      <c r="AB933" s="279">
        <f>23*2</f>
        <v>46</v>
      </c>
      <c r="AC933" s="265"/>
      <c r="AD933" s="279">
        <f>23*2</f>
        <v>46</v>
      </c>
      <c r="AE933" s="265"/>
      <c r="AF933" s="279">
        <f>23*2</f>
        <v>46</v>
      </c>
      <c r="AG933" s="265"/>
      <c r="AH933" s="279">
        <f>23*2</f>
        <v>46</v>
      </c>
      <c r="AI933" s="265"/>
      <c r="AJ933" s="279">
        <f>23.3*2</f>
        <v>46.6</v>
      </c>
      <c r="AK933" s="265"/>
    </row>
    <row r="934" spans="1:37" x14ac:dyDescent="0.15">
      <c r="A934" s="382">
        <v>18</v>
      </c>
      <c r="B934" s="580"/>
      <c r="C934" s="580"/>
      <c r="D934" s="580"/>
      <c r="E934" s="580"/>
      <c r="F934" s="47" t="str">
        <f>VLOOKUP($H:$H,型材表!$B$5:$I$448,2,0)</f>
        <v>压线</v>
      </c>
      <c r="G934" s="45" t="s">
        <v>40</v>
      </c>
      <c r="H934" s="207" t="str">
        <f t="shared" ref="H934:H939" si="175">H933</f>
        <v>SN55Y001</v>
      </c>
      <c r="I934" s="207" t="s">
        <v>1287</v>
      </c>
      <c r="J934" s="214">
        <f>IF(G902=55,M909-V934,IF(G902=551,M909-X934,IF(G902=60,M909-Z934,IF(G902=601,M909-AB934,IF(G902=65,M909-AD934,IF(G902=70,M909-AF934,IF(G902=75,M909-AH934,IF(G902=50,M909-AJ934))))))))</f>
        <v>515.20000000000005</v>
      </c>
      <c r="K934" s="207">
        <v>2</v>
      </c>
      <c r="L934" s="310">
        <f>VLOOKUP($H:$H,型材表!$B$5:$I$448,4,0)</f>
        <v>0.214</v>
      </c>
      <c r="M934" s="147">
        <f t="shared" si="173"/>
        <v>0.22050560000000002</v>
      </c>
      <c r="N934" s="311">
        <f>VLOOKUP($H:$H,型材表!$B$5:$I$448,7,0)</f>
        <v>0</v>
      </c>
      <c r="O934" s="147">
        <f t="shared" si="174"/>
        <v>0</v>
      </c>
      <c r="P934" s="312">
        <f>VLOOKUP($H:$H,型材表!$B$5:$I$448,5,0)</f>
        <v>0.125</v>
      </c>
      <c r="Q934" s="100" t="str">
        <f>VLOOKUP($H:$H,型材表!$B$5:$I$448,6,0)</f>
        <v>非断桥隔热铝型材</v>
      </c>
      <c r="R934" s="210"/>
      <c r="S934" s="50"/>
      <c r="T934" s="459"/>
      <c r="U934" s="374" t="s">
        <v>1254</v>
      </c>
      <c r="V934" s="269">
        <f>99.9+84.9</f>
        <v>184.8</v>
      </c>
      <c r="X934" s="279">
        <f>99.9+84.9</f>
        <v>184.8</v>
      </c>
      <c r="Y934" s="265"/>
      <c r="Z934" s="279">
        <f>99.9+84.9</f>
        <v>184.8</v>
      </c>
      <c r="AA934" s="265"/>
      <c r="AB934" s="279">
        <f>99.9+84.9</f>
        <v>184.8</v>
      </c>
      <c r="AC934" s="265"/>
      <c r="AD934" s="279">
        <f>99.9+84.9</f>
        <v>184.8</v>
      </c>
      <c r="AE934" s="265"/>
      <c r="AF934" s="279">
        <f>105.4+90.4</f>
        <v>195.8</v>
      </c>
      <c r="AG934" s="265"/>
      <c r="AH934" s="279">
        <f>105.4+90.4</f>
        <v>195.8</v>
      </c>
      <c r="AI934" s="265"/>
      <c r="AJ934" s="279">
        <f>90.4+75.1</f>
        <v>165.5</v>
      </c>
      <c r="AK934" s="265"/>
    </row>
    <row r="935" spans="1:37" x14ac:dyDescent="0.15">
      <c r="A935" s="382">
        <v>19</v>
      </c>
      <c r="B935" s="580"/>
      <c r="C935" s="580"/>
      <c r="D935" s="580"/>
      <c r="E935" s="580"/>
      <c r="F935" s="47" t="str">
        <f>VLOOKUP($H:$H,型材表!$B$5:$I$448,2,0)</f>
        <v>压线</v>
      </c>
      <c r="G935" s="45" t="s">
        <v>40</v>
      </c>
      <c r="H935" s="207" t="str">
        <f t="shared" si="175"/>
        <v>SN55Y001</v>
      </c>
      <c r="I935" s="207" t="s">
        <v>1662</v>
      </c>
      <c r="J935" s="214">
        <f>IF(G902=55,M909-V934-V918/2,IF(G902=551,M909-X934-X918/2,IF(G902=60,M909-Z934-Z918/2,IF(G902=601,M909-AB934-AB918/2,IF(G902=65,M909-AD934-AD918/2,IF(G902=70,M909-AF934-AF918/2,IF(G902=75,M909-AH934-AH918/2,IF(G902=50,M909-AJ934-AJ918/2))))))))</f>
        <v>460.20000000000005</v>
      </c>
      <c r="K935" s="207">
        <v>2</v>
      </c>
      <c r="L935" s="310">
        <f>VLOOKUP($H:$H,型材表!$B$5:$I$448,4,0)</f>
        <v>0.214</v>
      </c>
      <c r="M935" s="147">
        <f t="shared" ref="M935" si="176">J935*K935*L935/1000</f>
        <v>0.19696560000000002</v>
      </c>
      <c r="N935" s="311">
        <f>VLOOKUP($H:$H,型材表!$B$5:$I$448,7,0)</f>
        <v>0</v>
      </c>
      <c r="O935" s="147">
        <f t="shared" ref="O935" si="177">N935*M935</f>
        <v>0</v>
      </c>
      <c r="P935" s="312">
        <f>VLOOKUP($H:$H,型材表!$B$5:$I$448,5,0)</f>
        <v>0.125</v>
      </c>
      <c r="Q935" s="100" t="str">
        <f>VLOOKUP($H:$H,型材表!$B$5:$I$448,6,0)</f>
        <v>非断桥隔热铝型材</v>
      </c>
      <c r="R935" s="210"/>
      <c r="S935" s="50"/>
      <c r="T935" s="459"/>
      <c r="V935" s="269"/>
      <c r="X935" s="279"/>
      <c r="Y935" s="265"/>
      <c r="Z935" s="279"/>
      <c r="AA935" s="265"/>
      <c r="AB935" s="279"/>
      <c r="AC935" s="265"/>
      <c r="AD935" s="279"/>
      <c r="AE935" s="265"/>
      <c r="AF935" s="279"/>
      <c r="AG935" s="265"/>
      <c r="AH935" s="279"/>
      <c r="AI935" s="265"/>
      <c r="AJ935" s="279"/>
      <c r="AK935" s="265"/>
    </row>
    <row r="936" spans="1:37" x14ac:dyDescent="0.15">
      <c r="A936" s="382">
        <v>20</v>
      </c>
      <c r="B936" s="580"/>
      <c r="C936" s="580"/>
      <c r="D936" s="580"/>
      <c r="E936" s="580"/>
      <c r="F936" s="47" t="str">
        <f>VLOOKUP($H:$H,型材表!$B$5:$I$448,2,0)</f>
        <v>压线</v>
      </c>
      <c r="G936" s="45" t="s">
        <v>40</v>
      </c>
      <c r="H936" s="207" t="str">
        <f>H934</f>
        <v>SN55Y001</v>
      </c>
      <c r="I936" s="207" t="s">
        <v>1245</v>
      </c>
      <c r="J936" s="214">
        <f>IF(G902=55,M909-V936,IF(G902=551,M909-X936,IF(G902=60,M909-Z936,IF(G902=601,M909-AB936,IF(G902=65,M909-AD936,IF(G902=70,M909-AF936,IF(G902=75,M909-AH936,IF(G902=50,M909-AJ936))))))))</f>
        <v>669</v>
      </c>
      <c r="K936" s="207">
        <v>2</v>
      </c>
      <c r="L936" s="310">
        <f>VLOOKUP($H:$H,型材表!$B$5:$I$448,4,0)</f>
        <v>0.214</v>
      </c>
      <c r="M936" s="147">
        <f t="shared" si="173"/>
        <v>0.28633199999999998</v>
      </c>
      <c r="N936" s="311">
        <f>VLOOKUP($H:$H,型材表!$B$5:$I$448,7,0)</f>
        <v>0</v>
      </c>
      <c r="O936" s="147">
        <f t="shared" si="174"/>
        <v>0</v>
      </c>
      <c r="P936" s="312">
        <f>VLOOKUP($H:$H,型材表!$B$5:$I$448,5,0)</f>
        <v>0.125</v>
      </c>
      <c r="Q936" s="100" t="str">
        <f>VLOOKUP($H:$H,型材表!$B$5:$I$448,6,0)</f>
        <v>非断桥隔热铝型材</v>
      </c>
      <c r="R936" s="210"/>
      <c r="S936" s="50"/>
      <c r="T936" s="459"/>
      <c r="U936" s="374" t="s">
        <v>1255</v>
      </c>
      <c r="V936" s="269">
        <f>8+23</f>
        <v>31</v>
      </c>
      <c r="X936" s="279">
        <f>8+23</f>
        <v>31</v>
      </c>
      <c r="Y936" s="265"/>
      <c r="Z936" s="279">
        <f>8+23</f>
        <v>31</v>
      </c>
      <c r="AA936" s="265"/>
      <c r="AB936" s="279">
        <f>8+23</f>
        <v>31</v>
      </c>
      <c r="AC936" s="265"/>
      <c r="AD936" s="279">
        <f>8+23</f>
        <v>31</v>
      </c>
      <c r="AE936" s="265"/>
      <c r="AF936" s="279">
        <f>8+23</f>
        <v>31</v>
      </c>
      <c r="AG936" s="265"/>
      <c r="AH936" s="279">
        <f>8+23</f>
        <v>31</v>
      </c>
      <c r="AI936" s="265"/>
      <c r="AJ936" s="279">
        <f>23.3+8</f>
        <v>31.3</v>
      </c>
      <c r="AK936" s="265"/>
    </row>
    <row r="937" spans="1:37" x14ac:dyDescent="0.15">
      <c r="A937" s="382">
        <v>21</v>
      </c>
      <c r="B937" s="580"/>
      <c r="C937" s="580"/>
      <c r="D937" s="580"/>
      <c r="E937" s="580"/>
      <c r="F937" s="47" t="str">
        <f>VLOOKUP($H:$H,型材表!$B$5:$I$448,2,0)</f>
        <v>压线</v>
      </c>
      <c r="G937" s="45" t="s">
        <v>40</v>
      </c>
      <c r="H937" s="207" t="str">
        <f>H935</f>
        <v>SN55Y001</v>
      </c>
      <c r="I937" s="207" t="s">
        <v>1663</v>
      </c>
      <c r="J937" s="214">
        <f>IF(G902=55,M909-V936-V918/2,IF(G902=551,M909-X936-X918/2,IF(G902=60,M909-Z936-Z918/2,IF(G902=601,M909-AB936-AB918/2,IF(G902=65,M909-AD936-AD918/2,IF(G902=70,M909-AF936-AF918/2,IF(G902=75,M909-AH936-AH918/2,IF(G902=50,M909-AJ936-AJ918/2))))))))</f>
        <v>614</v>
      </c>
      <c r="K937" s="207">
        <v>2</v>
      </c>
      <c r="L937" s="310">
        <f>VLOOKUP($H:$H,型材表!$B$5:$I$448,4,0)</f>
        <v>0.214</v>
      </c>
      <c r="M937" s="147">
        <f t="shared" ref="M937" si="178">J937*K937*L937/1000</f>
        <v>0.26279199999999997</v>
      </c>
      <c r="N937" s="311">
        <f>VLOOKUP($H:$H,型材表!$B$5:$I$448,7,0)</f>
        <v>0</v>
      </c>
      <c r="O937" s="147">
        <f t="shared" ref="O937" si="179">N937*M937</f>
        <v>0</v>
      </c>
      <c r="P937" s="312">
        <f>VLOOKUP($H:$H,型材表!$B$5:$I$448,5,0)</f>
        <v>0.125</v>
      </c>
      <c r="Q937" s="100" t="str">
        <f>VLOOKUP($H:$H,型材表!$B$5:$I$448,6,0)</f>
        <v>非断桥隔热铝型材</v>
      </c>
      <c r="R937" s="210"/>
      <c r="S937" s="50"/>
      <c r="T937" s="459"/>
      <c r="V937" s="269"/>
      <c r="X937" s="279"/>
      <c r="Y937" s="265"/>
      <c r="Z937" s="279"/>
      <c r="AA937" s="265"/>
      <c r="AB937" s="279"/>
      <c r="AC937" s="265"/>
      <c r="AD937" s="279"/>
      <c r="AE937" s="265"/>
      <c r="AF937" s="279"/>
      <c r="AG937" s="265"/>
      <c r="AH937" s="279"/>
      <c r="AI937" s="265"/>
      <c r="AJ937" s="279"/>
      <c r="AK937" s="265"/>
    </row>
    <row r="938" spans="1:37" ht="13.5" customHeight="1" x14ac:dyDescent="0.15">
      <c r="A938" s="382">
        <v>22</v>
      </c>
      <c r="B938" s="580"/>
      <c r="C938" s="580"/>
      <c r="D938" s="580"/>
      <c r="E938" s="580"/>
      <c r="F938" s="47" t="str">
        <f>VLOOKUP($H:$H,型材表!$B$5:$I$448,2,0)</f>
        <v>压线</v>
      </c>
      <c r="G938" s="45" t="s">
        <v>40</v>
      </c>
      <c r="H938" s="207" t="str">
        <f>H936</f>
        <v>SN55Y001</v>
      </c>
      <c r="I938" s="207" t="s">
        <v>1289</v>
      </c>
      <c r="J938" s="214">
        <f>IF(G902=55,M910-V938,IF(G902=551,M910-X938,IF(G902=60,M910-Z938,IF(G902=601,M910-AB938,IF(G902=65,M910-AD938,IF(G902=70,M910-AF938,IF(G902=75,M910-AH938,IF(G902=50,M910-AJ938))))))))</f>
        <v>684</v>
      </c>
      <c r="K938" s="207">
        <v>2</v>
      </c>
      <c r="L938" s="47">
        <f>VLOOKUP($H:$H,型材表!$B$5:$I$448,4,0)</f>
        <v>0.214</v>
      </c>
      <c r="M938" s="46">
        <f t="shared" ref="M938:M943" si="180">J938*K938*L938/1000</f>
        <v>0.29275200000000001</v>
      </c>
      <c r="N938" s="72">
        <f>VLOOKUP($H:$H,型材表!$B$5:$I$448,7,0)</f>
        <v>0</v>
      </c>
      <c r="O938" s="46">
        <f t="shared" ref="O938:O943" si="181">N938*M938</f>
        <v>0</v>
      </c>
      <c r="P938" s="100">
        <f>VLOOKUP($H:$H,型材表!$B$5:$I$448,5,0)</f>
        <v>0.125</v>
      </c>
      <c r="Q938" s="100" t="str">
        <f>VLOOKUP($H:$H,型材表!$B$5:$I$448,6,0)</f>
        <v>非断桥隔热铝型材</v>
      </c>
      <c r="R938" s="49"/>
      <c r="S938" s="50"/>
      <c r="T938" s="459"/>
      <c r="U938" s="374" t="s">
        <v>1296</v>
      </c>
      <c r="V938" s="259">
        <f>8*2</f>
        <v>16</v>
      </c>
      <c r="X938" s="286">
        <f>8*2</f>
        <v>16</v>
      </c>
      <c r="Y938" s="265"/>
      <c r="Z938" s="264">
        <f>8*2</f>
        <v>16</v>
      </c>
      <c r="AA938" s="265"/>
      <c r="AB938" s="286">
        <f>8*2</f>
        <v>16</v>
      </c>
      <c r="AC938" s="265"/>
      <c r="AD938" s="264">
        <f>8*2</f>
        <v>16</v>
      </c>
      <c r="AE938" s="265"/>
      <c r="AF938" s="286">
        <f>8*2</f>
        <v>16</v>
      </c>
      <c r="AG938" s="265"/>
      <c r="AH938" s="264">
        <f>8*2</f>
        <v>16</v>
      </c>
      <c r="AI938" s="265"/>
      <c r="AJ938" s="264">
        <f>10.25*2</f>
        <v>20.5</v>
      </c>
      <c r="AK938" s="265"/>
    </row>
    <row r="939" spans="1:37" x14ac:dyDescent="0.15">
      <c r="A939" s="382">
        <v>23</v>
      </c>
      <c r="B939" s="580"/>
      <c r="C939" s="580"/>
      <c r="D939" s="580"/>
      <c r="E939" s="580"/>
      <c r="F939" s="47" t="str">
        <f>VLOOKUP($H:$H,型材表!$B$5:$I$448,2,0)</f>
        <v>压线</v>
      </c>
      <c r="G939" s="45" t="s">
        <v>40</v>
      </c>
      <c r="H939" s="207" t="str">
        <f t="shared" si="175"/>
        <v>SN55Y001</v>
      </c>
      <c r="I939" s="207" t="s">
        <v>1589</v>
      </c>
      <c r="J939" s="214">
        <f>IF(G902=55,M911-V939,IF(G902=551,M911-X939,IF(G902=60,M911-Z939,IF(G902=601,M911-AB939,IF(G902=65,M911-AD939,IF(G902=70,M911-AF939,IF(G902=75,M911-AH939,IF(G902=50,M911-AJ939))))))))</f>
        <v>399</v>
      </c>
      <c r="K939" s="207">
        <v>2</v>
      </c>
      <c r="L939" s="47">
        <f>VLOOKUP($H:$H,型材表!$B$5:$I$448,4,0)</f>
        <v>0.214</v>
      </c>
      <c r="M939" s="46">
        <f t="shared" si="180"/>
        <v>0.17077199999999998</v>
      </c>
      <c r="N939" s="72">
        <f>VLOOKUP($H:$H,型材表!$B$5:$I$448,7,0)</f>
        <v>0</v>
      </c>
      <c r="O939" s="46">
        <f t="shared" si="181"/>
        <v>0</v>
      </c>
      <c r="P939" s="100">
        <f>VLOOKUP($H:$H,型材表!$B$5:$I$448,5,0)</f>
        <v>0.125</v>
      </c>
      <c r="Q939" s="100" t="str">
        <f>VLOOKUP($H:$H,型材表!$B$5:$I$448,6,0)</f>
        <v>非断桥隔热铝型材</v>
      </c>
      <c r="R939" s="210"/>
      <c r="S939" s="50"/>
      <c r="T939" s="459"/>
      <c r="U939" s="374" t="s">
        <v>1588</v>
      </c>
      <c r="V939" s="259">
        <f>78+23</f>
        <v>101</v>
      </c>
      <c r="X939" s="286">
        <f>78+23</f>
        <v>101</v>
      </c>
      <c r="Y939" s="265"/>
      <c r="Z939" s="264">
        <f>83.2+23</f>
        <v>106.2</v>
      </c>
      <c r="AA939" s="265"/>
      <c r="AB939" s="264">
        <f>83.4+23</f>
        <v>106.4</v>
      </c>
      <c r="AC939" s="265"/>
      <c r="AD939" s="264">
        <f>87.2+23</f>
        <v>110.2</v>
      </c>
      <c r="AE939" s="265"/>
      <c r="AF939" s="264">
        <f>93.2+23</f>
        <v>116.2</v>
      </c>
      <c r="AG939" s="265"/>
      <c r="AH939" s="264">
        <f>97.2+23</f>
        <v>120.2</v>
      </c>
      <c r="AI939" s="265"/>
      <c r="AJ939" s="264">
        <f>73.3+23.3</f>
        <v>96.6</v>
      </c>
      <c r="AK939" s="265"/>
    </row>
    <row r="940" spans="1:37" x14ac:dyDescent="0.15">
      <c r="A940" s="382">
        <v>24</v>
      </c>
      <c r="B940" s="580"/>
      <c r="C940" s="580"/>
      <c r="D940" s="580"/>
      <c r="E940" s="580"/>
      <c r="F940" s="47" t="str">
        <f>VLOOKUP($H:$H,型材表!$B$5:$I$448,2,0)</f>
        <v>角码</v>
      </c>
      <c r="G940" s="213" t="s">
        <v>446</v>
      </c>
      <c r="H940" s="207" t="str">
        <f>IF(G902=70,"SN55F003",IF(G902=75,"SN55F003",IF(G902=50,"SW50F002","SW55F001")))</f>
        <v>SW55F001</v>
      </c>
      <c r="I940" s="207" t="s">
        <v>1268</v>
      </c>
      <c r="J940" s="214">
        <f>IF(G902=55,V940,IF(G902=551,X940,IF(G902=60,Z940,IF(G902=601,AB940,IF(G902=65,AD940,IF(G902=70,AF940,IF(G902=75,AH940,IF(G902=50,AJ940))))))))</f>
        <v>32.200000000000003</v>
      </c>
      <c r="K940" s="207">
        <f>4*2</f>
        <v>8</v>
      </c>
      <c r="L940" s="47">
        <f>VLOOKUP($H:$H,型材表!$B$5:$I$448,4,0)</f>
        <v>2.0950000000000002</v>
      </c>
      <c r="M940" s="46">
        <f t="shared" si="180"/>
        <v>0.53967200000000015</v>
      </c>
      <c r="N940" s="72">
        <f>VLOOKUP($H:$H,型材表!$B$5:$I$448,7,0)</f>
        <v>0</v>
      </c>
      <c r="O940" s="46">
        <f t="shared" si="181"/>
        <v>0</v>
      </c>
      <c r="P940" s="100">
        <f>VLOOKUP($H:$H,型材表!$B$5:$I$448,5,0)</f>
        <v>0.125</v>
      </c>
      <c r="Q940" s="100" t="str">
        <f>VLOOKUP($H:$H,型材表!$B$5:$I$448,6,0)</f>
        <v>阳极氧化铝型材</v>
      </c>
      <c r="R940" s="210"/>
      <c r="S940" s="50"/>
      <c r="T940" s="459"/>
      <c r="U940" s="374" t="s">
        <v>1268</v>
      </c>
      <c r="V940" s="259">
        <f>19.5-1+14.7-1</f>
        <v>32.200000000000003</v>
      </c>
      <c r="X940" s="264">
        <f>19.5-1+10.9-1</f>
        <v>28.4</v>
      </c>
      <c r="Y940" s="265"/>
      <c r="Z940" s="264">
        <f>19.5-1+14.7-1</f>
        <v>32.200000000000003</v>
      </c>
      <c r="AA940" s="265"/>
      <c r="AB940" s="264">
        <f>19.5-1+10.9-1</f>
        <v>28.4</v>
      </c>
      <c r="AC940" s="265"/>
      <c r="AD940" s="264">
        <f>19.5-1+14.7-1</f>
        <v>32.200000000000003</v>
      </c>
      <c r="AE940" s="265"/>
      <c r="AF940" s="264">
        <f>19.5-1+14.7-1</f>
        <v>32.200000000000003</v>
      </c>
      <c r="AG940" s="265"/>
      <c r="AH940" s="264">
        <f>19.5-1+14.7-1</f>
        <v>32.200000000000003</v>
      </c>
      <c r="AI940" s="265"/>
      <c r="AJ940" s="264">
        <f>15-1</f>
        <v>14</v>
      </c>
      <c r="AK940" s="265"/>
    </row>
    <row r="941" spans="1:37" s="229" customFormat="1" x14ac:dyDescent="0.15">
      <c r="A941" s="382">
        <v>25</v>
      </c>
      <c r="B941" s="580"/>
      <c r="C941" s="580"/>
      <c r="D941" s="580"/>
      <c r="E941" s="580"/>
      <c r="F941" s="47" t="str">
        <f>VLOOKUP($H:$H,型材表!$B$5:$I$448,2,0)</f>
        <v>角码</v>
      </c>
      <c r="G941" s="230" t="s">
        <v>447</v>
      </c>
      <c r="H941" s="222" t="str">
        <f>IF(G902=70,"SW70F001",IF(G902=75,"SW70F001",IF(G902=50,"SW50F003","SN55MF004")))</f>
        <v>SN55MF004</v>
      </c>
      <c r="I941" s="222" t="s">
        <v>1271</v>
      </c>
      <c r="J941" s="214">
        <f>IF(G902=55,V941,IF(G902=551,X941,IF(G902=60,Z941,IF(G902=601,AB941,IF(G902=65,AD941,IF(G902=70,AF941,IF(G902=75,AH941,IF(G902=50,AJ941))))))))</f>
        <v>30.2</v>
      </c>
      <c r="K941" s="207">
        <v>4</v>
      </c>
      <c r="L941" s="47">
        <f>VLOOKUP($H:$H,型材表!$B$5:$I$448,4,0)</f>
        <v>2.996</v>
      </c>
      <c r="M941" s="46">
        <f t="shared" si="180"/>
        <v>0.36191679999999998</v>
      </c>
      <c r="N941" s="72">
        <f>VLOOKUP($H:$H,型材表!$B$5:$I$448,7,0)</f>
        <v>0</v>
      </c>
      <c r="O941" s="46">
        <f t="shared" si="181"/>
        <v>0</v>
      </c>
      <c r="P941" s="100">
        <f>VLOOKUP($H:$H,型材表!$B$5:$I$448,5,0)</f>
        <v>0.125</v>
      </c>
      <c r="Q941" s="100" t="str">
        <f>VLOOKUP($H:$H,型材表!$B$5:$I$448,6,0)</f>
        <v>阳极氧化铝型材</v>
      </c>
      <c r="R941" s="227"/>
      <c r="S941" s="228"/>
      <c r="T941" s="467"/>
      <c r="U941" s="375" t="s">
        <v>1271</v>
      </c>
      <c r="V941" s="266">
        <f>8-1+24.2-1</f>
        <v>30.2</v>
      </c>
      <c r="W941" s="266"/>
      <c r="X941" s="267">
        <f>4.2-1+24.2-1</f>
        <v>26.4</v>
      </c>
      <c r="Y941" s="268"/>
      <c r="Z941" s="267">
        <f>8-1+24.2-1</f>
        <v>30.2</v>
      </c>
      <c r="AA941" s="268"/>
      <c r="AB941" s="267">
        <f>4.2-1+24.2-1</f>
        <v>26.4</v>
      </c>
      <c r="AC941" s="268"/>
      <c r="AD941" s="267">
        <f>8-1+24.2-1</f>
        <v>30.2</v>
      </c>
      <c r="AE941" s="268"/>
      <c r="AF941" s="267">
        <f>7.3-1+24-1</f>
        <v>29.3</v>
      </c>
      <c r="AG941" s="268"/>
      <c r="AH941" s="267">
        <f>7.3-1+24-1</f>
        <v>29.3</v>
      </c>
      <c r="AI941" s="268"/>
      <c r="AJ941" s="267">
        <f>18.9-1</f>
        <v>17.899999999999999</v>
      </c>
      <c r="AK941" s="268"/>
    </row>
    <row r="942" spans="1:37" x14ac:dyDescent="0.15">
      <c r="A942" s="382">
        <v>26</v>
      </c>
      <c r="B942" s="580"/>
      <c r="C942" s="580"/>
      <c r="D942" s="580"/>
      <c r="E942" s="580"/>
      <c r="F942" s="47" t="str">
        <f>VLOOKUP($H:$H,型材表!$B$5:$I$448,2,0)</f>
        <v>中梃角码</v>
      </c>
      <c r="G942" s="51"/>
      <c r="H942" s="45" t="str">
        <f>IF(G902=50,"SW50F004","SN55F001")</f>
        <v>SN55F001</v>
      </c>
      <c r="I942" s="207" t="s">
        <v>1269</v>
      </c>
      <c r="J942" s="52">
        <f>IF(G902=55,V942,IF(G902=551,X942,IF(G902=60,Z942,IF(G902=601,AB942,IF(G902=65,AD942,IF(G902=70,AF942,IF(G902=75,AH942,IF(G902=50,AJ942))))))))</f>
        <v>18.5</v>
      </c>
      <c r="K942" s="45">
        <f>2*4</f>
        <v>8</v>
      </c>
      <c r="L942" s="47">
        <f>VLOOKUP($H:$H,型材表!$B$5:$I$448,4,0)</f>
        <v>1.4730000000000001</v>
      </c>
      <c r="M942" s="46">
        <f t="shared" si="180"/>
        <v>0.21800400000000003</v>
      </c>
      <c r="N942" s="72">
        <f>VLOOKUP($H:$H,型材表!$B$5:$I$448,7,0)</f>
        <v>0</v>
      </c>
      <c r="O942" s="46">
        <f t="shared" si="181"/>
        <v>0</v>
      </c>
      <c r="P942" s="100">
        <f>VLOOKUP($H:$H,型材表!$B$5:$I$448,5,0)</f>
        <v>0.125</v>
      </c>
      <c r="Q942" s="100" t="str">
        <f>VLOOKUP($H:$H,型材表!$B$5:$I$448,6,0)</f>
        <v>阳极氧化铝型材</v>
      </c>
      <c r="R942" s="49"/>
      <c r="S942" s="50"/>
      <c r="T942" s="459"/>
      <c r="U942" s="374" t="s">
        <v>1269</v>
      </c>
      <c r="V942" s="259">
        <f>19.5-1</f>
        <v>18.5</v>
      </c>
      <c r="X942" s="264">
        <f>19.5-1</f>
        <v>18.5</v>
      </c>
      <c r="Y942" s="265"/>
      <c r="Z942" s="286">
        <f>19.5-1</f>
        <v>18.5</v>
      </c>
      <c r="AA942" s="265"/>
      <c r="AB942" s="264">
        <f>19.5-1</f>
        <v>18.5</v>
      </c>
      <c r="AC942" s="265"/>
      <c r="AD942" s="286">
        <f>19.5-1</f>
        <v>18.5</v>
      </c>
      <c r="AE942" s="265"/>
      <c r="AF942" s="286">
        <f>19.5-1</f>
        <v>18.5</v>
      </c>
      <c r="AG942" s="265"/>
      <c r="AH942" s="286">
        <f>19.5-1</f>
        <v>18.5</v>
      </c>
      <c r="AI942" s="265"/>
      <c r="AJ942" s="264">
        <f>13.2-1</f>
        <v>12.2</v>
      </c>
      <c r="AK942" s="265"/>
    </row>
    <row r="943" spans="1:37" x14ac:dyDescent="0.15">
      <c r="A943" s="382">
        <v>27</v>
      </c>
      <c r="B943" s="580"/>
      <c r="C943" s="580"/>
      <c r="D943" s="580"/>
      <c r="E943" s="580"/>
      <c r="F943" s="47" t="str">
        <f>VLOOKUP($H:$H,型材表!$B$5:$I$448,2,0)</f>
        <v>中梃角码</v>
      </c>
      <c r="G943" s="213"/>
      <c r="H943" s="207" t="str">
        <f>IF(G902=501,"SN55BF001",IF(G902=601,"SN55BF001",IF(G902=70,"SN70F001",IF(G902=75,"SN70F001","SN55F002"))))</f>
        <v>SN55F002</v>
      </c>
      <c r="I943" s="207" t="s">
        <v>1272</v>
      </c>
      <c r="J943" s="214">
        <f>IF(G902=55,V943,IF(G902=551,X943,IF(G902=60,Z943,IF(G902=601,AB943,IF(G902=65,AD943,IF(G902=70,AF943,IF(G902=75,AH943,IF(G902=50,AJ943))))))))</f>
        <v>13.5</v>
      </c>
      <c r="K943" s="207">
        <f>K942</f>
        <v>8</v>
      </c>
      <c r="L943" s="47">
        <f>VLOOKUP($H:$H,型材表!$B$5:$I$448,4,0)</f>
        <v>0.90400000000000003</v>
      </c>
      <c r="M943" s="46">
        <f t="shared" si="180"/>
        <v>9.763200000000001E-2</v>
      </c>
      <c r="N943" s="72">
        <f>VLOOKUP($H:$H,型材表!$B$5:$I$448,7,0)</f>
        <v>0</v>
      </c>
      <c r="O943" s="46">
        <f t="shared" si="181"/>
        <v>0</v>
      </c>
      <c r="P943" s="100">
        <f>VLOOKUP($H:$H,型材表!$B$5:$I$448,5,0)</f>
        <v>0.125</v>
      </c>
      <c r="Q943" s="100" t="str">
        <f>VLOOKUP($H:$H,型材表!$B$5:$I$448,6,0)</f>
        <v>阳极氧化铝型材</v>
      </c>
      <c r="R943" s="210"/>
      <c r="S943" s="50"/>
      <c r="T943" s="459"/>
      <c r="U943" s="374" t="s">
        <v>1272</v>
      </c>
      <c r="V943" s="259">
        <f>14.5-1</f>
        <v>13.5</v>
      </c>
      <c r="X943" s="264">
        <f>10.7-1</f>
        <v>9.6999999999999993</v>
      </c>
      <c r="Y943" s="265"/>
      <c r="Z943" s="286">
        <f>14.5-1</f>
        <v>13.5</v>
      </c>
      <c r="AA943" s="265"/>
      <c r="AB943" s="264">
        <f>10.7-1</f>
        <v>9.6999999999999993</v>
      </c>
      <c r="AC943" s="265"/>
      <c r="AD943" s="286">
        <f>14.5-1</f>
        <v>13.5</v>
      </c>
      <c r="AE943" s="265"/>
      <c r="AF943" s="286">
        <f>14.5-1</f>
        <v>13.5</v>
      </c>
      <c r="AG943" s="265"/>
      <c r="AH943" s="286">
        <f>14.5-1</f>
        <v>13.5</v>
      </c>
      <c r="AI943" s="265"/>
      <c r="AJ943" s="264"/>
      <c r="AK943" s="265"/>
    </row>
    <row r="944" spans="1:37" s="229" customFormat="1" ht="13.5" customHeight="1" x14ac:dyDescent="0.15">
      <c r="A944" s="542" t="s">
        <v>975</v>
      </c>
      <c r="B944" s="543"/>
      <c r="C944" s="543"/>
      <c r="D944" s="543"/>
      <c r="E944" s="543"/>
      <c r="F944" s="543"/>
      <c r="G944" s="543"/>
      <c r="H944" s="543"/>
      <c r="I944" s="543"/>
      <c r="J944" s="543"/>
      <c r="K944" s="543"/>
      <c r="L944" s="544"/>
      <c r="M944" s="224">
        <f>SUMIF($Q$917:$Q$943,A944,$M$917:$M$943)</f>
        <v>32.526087799999992</v>
      </c>
      <c r="N944" s="353"/>
      <c r="O944" s="224"/>
      <c r="P944" s="354"/>
      <c r="Q944" s="355"/>
      <c r="R944" s="296"/>
      <c r="S944" s="228"/>
      <c r="T944" s="467"/>
      <c r="U944" s="375"/>
      <c r="V944" s="266"/>
      <c r="W944" s="266"/>
      <c r="X944" s="267"/>
      <c r="Y944" s="268"/>
      <c r="Z944" s="267"/>
      <c r="AA944" s="268"/>
      <c r="AB944" s="267"/>
      <c r="AC944" s="268"/>
      <c r="AD944" s="267"/>
      <c r="AE944" s="268"/>
      <c r="AF944" s="267"/>
      <c r="AG944" s="268"/>
      <c r="AH944" s="267"/>
      <c r="AI944" s="268"/>
      <c r="AJ944" s="267"/>
      <c r="AK944" s="268"/>
    </row>
    <row r="945" spans="1:37" s="229" customFormat="1" ht="13.5" customHeight="1" x14ac:dyDescent="0.15">
      <c r="A945" s="542" t="s">
        <v>976</v>
      </c>
      <c r="B945" s="543"/>
      <c r="C945" s="543"/>
      <c r="D945" s="543"/>
      <c r="E945" s="543"/>
      <c r="F945" s="543"/>
      <c r="G945" s="543"/>
      <c r="H945" s="543"/>
      <c r="I945" s="543"/>
      <c r="J945" s="543"/>
      <c r="K945" s="543"/>
      <c r="L945" s="544"/>
      <c r="M945" s="224">
        <f>SUMIF($Q$917:$Q$943,A945,$M$917:$M$943)</f>
        <v>4.1164183999999997</v>
      </c>
      <c r="N945" s="353"/>
      <c r="O945" s="224"/>
      <c r="P945" s="354"/>
      <c r="Q945" s="355"/>
      <c r="R945" s="296"/>
      <c r="S945" s="228"/>
      <c r="T945" s="467"/>
      <c r="U945" s="375"/>
      <c r="V945" s="266"/>
      <c r="W945" s="266"/>
      <c r="X945" s="267"/>
      <c r="Y945" s="268"/>
      <c r="Z945" s="267"/>
      <c r="AA945" s="268"/>
      <c r="AB945" s="267"/>
      <c r="AC945" s="268"/>
      <c r="AD945" s="267"/>
      <c r="AE945" s="268"/>
      <c r="AF945" s="267"/>
      <c r="AG945" s="268"/>
      <c r="AH945" s="267"/>
      <c r="AI945" s="268"/>
      <c r="AJ945" s="267"/>
      <c r="AK945" s="268"/>
    </row>
    <row r="946" spans="1:37" s="229" customFormat="1" ht="13.5" customHeight="1" x14ac:dyDescent="0.15">
      <c r="A946" s="542" t="s">
        <v>977</v>
      </c>
      <c r="B946" s="543"/>
      <c r="C946" s="543"/>
      <c r="D946" s="543"/>
      <c r="E946" s="543"/>
      <c r="F946" s="543"/>
      <c r="G946" s="543"/>
      <c r="H946" s="543"/>
      <c r="I946" s="543"/>
      <c r="J946" s="543"/>
      <c r="K946" s="543"/>
      <c r="L946" s="544"/>
      <c r="M946" s="224">
        <f>SUMIF($Q$917:$Q$943,A946,$M$917:$M$943)</f>
        <v>1.2172248000000001</v>
      </c>
      <c r="N946" s="353"/>
      <c r="O946" s="224"/>
      <c r="P946" s="354"/>
      <c r="Q946" s="355"/>
      <c r="R946" s="296"/>
      <c r="S946" s="228"/>
      <c r="T946" s="467"/>
      <c r="U946" s="375"/>
      <c r="V946" s="266"/>
      <c r="W946" s="266"/>
      <c r="X946" s="267"/>
      <c r="Y946" s="268"/>
      <c r="Z946" s="267"/>
      <c r="AA946" s="268"/>
      <c r="AB946" s="267"/>
      <c r="AC946" s="268"/>
      <c r="AD946" s="267"/>
      <c r="AE946" s="268"/>
      <c r="AF946" s="267"/>
      <c r="AG946" s="268"/>
      <c r="AH946" s="267"/>
      <c r="AI946" s="268"/>
      <c r="AJ946" s="267"/>
      <c r="AK946" s="268"/>
    </row>
    <row r="947" spans="1:37" ht="13.5" customHeight="1" x14ac:dyDescent="0.15">
      <c r="A947" s="552"/>
      <c r="B947" s="557"/>
      <c r="C947" s="557"/>
      <c r="D947" s="553"/>
      <c r="E947" s="552" t="s">
        <v>48</v>
      </c>
      <c r="F947" s="557"/>
      <c r="G947" s="557"/>
      <c r="H947" s="557"/>
      <c r="I947" s="557"/>
      <c r="J947" s="557"/>
      <c r="K947" s="553"/>
      <c r="L947" s="62"/>
      <c r="M947" s="62">
        <f>SUM(M944:M946)</f>
        <v>37.859730999999989</v>
      </c>
      <c r="N947" s="63"/>
      <c r="O947" s="62">
        <f>SUM(O917:O943)</f>
        <v>0</v>
      </c>
      <c r="P947" s="63"/>
      <c r="Q947" s="337"/>
      <c r="R947" s="64"/>
      <c r="S947" s="64"/>
      <c r="T947" s="460"/>
      <c r="X947" s="264"/>
      <c r="Y947" s="265"/>
      <c r="Z947" s="264"/>
      <c r="AA947" s="265"/>
      <c r="AB947" s="264"/>
      <c r="AC947" s="265"/>
      <c r="AD947" s="264"/>
      <c r="AE947" s="265"/>
      <c r="AF947" s="264"/>
      <c r="AG947" s="265"/>
      <c r="AH947" s="264"/>
      <c r="AI947" s="265"/>
      <c r="AJ947" s="264"/>
      <c r="AK947" s="265"/>
    </row>
    <row r="948" spans="1:37" ht="24" x14ac:dyDescent="0.15">
      <c r="A948" s="65"/>
      <c r="B948" s="560" t="s">
        <v>49</v>
      </c>
      <c r="C948" s="561"/>
      <c r="D948" s="561"/>
      <c r="E948" s="562"/>
      <c r="F948" s="565" t="s">
        <v>26</v>
      </c>
      <c r="G948" s="566"/>
      <c r="H948" s="66" t="s">
        <v>1167</v>
      </c>
      <c r="I948" s="351" t="s">
        <v>1168</v>
      </c>
      <c r="J948" s="66" t="s">
        <v>50</v>
      </c>
      <c r="K948" s="66" t="s">
        <v>51</v>
      </c>
      <c r="L948" s="67" t="s">
        <v>30</v>
      </c>
      <c r="M948" s="66" t="s">
        <v>52</v>
      </c>
      <c r="N948" s="68" t="s">
        <v>53</v>
      </c>
      <c r="O948" s="68" t="s">
        <v>34</v>
      </c>
      <c r="P948" s="69" t="s">
        <v>35</v>
      </c>
      <c r="Q948" s="42"/>
      <c r="R948" s="67"/>
      <c r="S948" s="67"/>
      <c r="T948" s="461"/>
      <c r="V948" s="270" t="s">
        <v>352</v>
      </c>
      <c r="W948" s="270" t="s">
        <v>353</v>
      </c>
      <c r="X948" s="271" t="s">
        <v>352</v>
      </c>
      <c r="Y948" s="272" t="s">
        <v>353</v>
      </c>
      <c r="Z948" s="271" t="s">
        <v>352</v>
      </c>
      <c r="AA948" s="272" t="s">
        <v>353</v>
      </c>
      <c r="AB948" s="271" t="s">
        <v>352</v>
      </c>
      <c r="AC948" s="272" t="s">
        <v>353</v>
      </c>
      <c r="AD948" s="271" t="s">
        <v>352</v>
      </c>
      <c r="AE948" s="272" t="s">
        <v>353</v>
      </c>
      <c r="AF948" s="271" t="s">
        <v>352</v>
      </c>
      <c r="AG948" s="272" t="s">
        <v>353</v>
      </c>
      <c r="AH948" s="271" t="s">
        <v>352</v>
      </c>
      <c r="AI948" s="272" t="s">
        <v>353</v>
      </c>
      <c r="AJ948" s="271" t="s">
        <v>352</v>
      </c>
      <c r="AK948" s="272" t="s">
        <v>353</v>
      </c>
    </row>
    <row r="949" spans="1:37" x14ac:dyDescent="0.15">
      <c r="A949" s="302">
        <v>1</v>
      </c>
      <c r="B949" s="542" t="s">
        <v>133</v>
      </c>
      <c r="C949" s="543"/>
      <c r="D949" s="543"/>
      <c r="E949" s="544"/>
      <c r="F949" s="545" t="s">
        <v>55</v>
      </c>
      <c r="G949" s="547"/>
      <c r="H949" s="45" t="s">
        <v>1260</v>
      </c>
      <c r="I949" s="207" t="s">
        <v>1261</v>
      </c>
      <c r="J949" s="46">
        <f>IF(G902=55,M909-V949,IF(G902=551,M909-X949,IF(G902=60,M909-Z949,IF(G902=601,M909-AB949,IF(G902=65,M909-AD949,IF(G902=70,M909-AF949,IF(G902=75,M909-AH949,IF(G902=50,M909-AJ949))))))))</f>
        <v>495.2</v>
      </c>
      <c r="K949" s="70">
        <f>IF(G902=55,M906-W949,IF(G902=551,M906-Y949,IF(G902=60,M906-AA949,IF(G902=601,M906-AC949,IF(G902=65,M906-AE949,IF(G902=70,M906-AG949,IF(G902=75,M906-AI949,IF(G902=50,M906-AK949))))))))</f>
        <v>995.2</v>
      </c>
      <c r="L949" s="70">
        <v>1</v>
      </c>
      <c r="M949" s="46">
        <f>J949*K949*L949/1000000</f>
        <v>0.49282304000000005</v>
      </c>
      <c r="N949" s="46"/>
      <c r="O949" s="46">
        <f>N949*M949</f>
        <v>0</v>
      </c>
      <c r="P949" s="71"/>
      <c r="Q949" s="71"/>
      <c r="R949" s="72"/>
      <c r="S949" s="72"/>
      <c r="T949" s="462" t="s">
        <v>1621</v>
      </c>
      <c r="U949" s="374" t="s">
        <v>1627</v>
      </c>
      <c r="V949" s="259">
        <f t="shared" ref="V949:AE949" si="182">109.9+94.9</f>
        <v>204.8</v>
      </c>
      <c r="W949" s="259">
        <f t="shared" si="182"/>
        <v>204.8</v>
      </c>
      <c r="X949" s="286">
        <f t="shared" si="182"/>
        <v>204.8</v>
      </c>
      <c r="Y949" s="304">
        <f t="shared" si="182"/>
        <v>204.8</v>
      </c>
      <c r="Z949" s="286">
        <f t="shared" si="182"/>
        <v>204.8</v>
      </c>
      <c r="AA949" s="304">
        <f t="shared" si="182"/>
        <v>204.8</v>
      </c>
      <c r="AB949" s="286">
        <f t="shared" si="182"/>
        <v>204.8</v>
      </c>
      <c r="AC949" s="304">
        <f t="shared" si="182"/>
        <v>204.8</v>
      </c>
      <c r="AD949" s="286">
        <f t="shared" si="182"/>
        <v>204.8</v>
      </c>
      <c r="AE949" s="304">
        <f t="shared" si="182"/>
        <v>204.8</v>
      </c>
      <c r="AF949" s="286">
        <f>117.4+102.4</f>
        <v>219.8</v>
      </c>
      <c r="AG949" s="304">
        <f>117.4+102.4</f>
        <v>219.8</v>
      </c>
      <c r="AH949" s="286">
        <f>117.4+102.4</f>
        <v>219.8</v>
      </c>
      <c r="AI949" s="304">
        <f>117.4+102.4</f>
        <v>219.8</v>
      </c>
      <c r="AJ949" s="259">
        <f>98.4+83.1</f>
        <v>181.5</v>
      </c>
      <c r="AK949" s="318">
        <f>98.4+83.1</f>
        <v>181.5</v>
      </c>
    </row>
    <row r="950" spans="1:37" x14ac:dyDescent="0.15">
      <c r="A950" s="382">
        <v>2</v>
      </c>
      <c r="B950" s="542" t="s">
        <v>133</v>
      </c>
      <c r="C950" s="543"/>
      <c r="D950" s="543"/>
      <c r="E950" s="544"/>
      <c r="F950" s="545" t="s">
        <v>55</v>
      </c>
      <c r="G950" s="547"/>
      <c r="H950" s="45" t="s">
        <v>1664</v>
      </c>
      <c r="I950" s="207" t="s">
        <v>1261</v>
      </c>
      <c r="J950" s="46">
        <f>IF(G902=55,M909-V949-V918/2,IF(G902=551,M909-X949-X918/2,IF(G902=60,M909-Z949-Z918/2,IF(G902=601,M909-AB949-AB918/2,IF(G902=65,M909-AD949-AD918/2,IF(G902=70,M909-AF949-AF918/2,IF(G902=75,M909-AH949-AH918/2,IF(G902=50,M909-AJ949-AJ918/2))))))))</f>
        <v>440.2</v>
      </c>
      <c r="K950" s="70">
        <f>K949</f>
        <v>995.2</v>
      </c>
      <c r="L950" s="70">
        <v>1</v>
      </c>
      <c r="M950" s="46">
        <f t="shared" ref="M950:M953" si="183">J950*K950*L950/1000000</f>
        <v>0.43808704000000004</v>
      </c>
      <c r="N950" s="46"/>
      <c r="O950" s="46">
        <f t="shared" ref="O950:O953" si="184">N950*M950</f>
        <v>0</v>
      </c>
      <c r="P950" s="71"/>
      <c r="Q950" s="71"/>
      <c r="R950" s="72"/>
      <c r="S950" s="209"/>
      <c r="T950" s="462"/>
      <c r="X950" s="286"/>
      <c r="Y950" s="304"/>
      <c r="Z950" s="286"/>
      <c r="AA950" s="304"/>
      <c r="AB950" s="286"/>
      <c r="AC950" s="304"/>
      <c r="AD950" s="286"/>
      <c r="AE950" s="304"/>
      <c r="AF950" s="286"/>
      <c r="AG950" s="304"/>
      <c r="AH950" s="286"/>
      <c r="AI950" s="304"/>
      <c r="AJ950" s="259"/>
      <c r="AK950" s="318"/>
    </row>
    <row r="951" spans="1:37" ht="13.5" customHeight="1" x14ac:dyDescent="0.15">
      <c r="A951" s="382">
        <v>3</v>
      </c>
      <c r="B951" s="542" t="s">
        <v>1297</v>
      </c>
      <c r="C951" s="543"/>
      <c r="D951" s="543"/>
      <c r="E951" s="544"/>
      <c r="F951" s="545" t="s">
        <v>135</v>
      </c>
      <c r="G951" s="547"/>
      <c r="H951" s="45" t="s">
        <v>1298</v>
      </c>
      <c r="I951" s="207" t="s">
        <v>1299</v>
      </c>
      <c r="J951" s="46">
        <f>IF(G902=55,M909-V951,IF(G902=551,M909-X951,IF(G902=60,M909-Z951,IF(G902=601,M909-AB951,IF(G902=65,M909-AD951,IF(G902=70,M909-AF951,IF(G902=75,M909-AH951,IF(G902=50,M909-AJ951))))))))</f>
        <v>647</v>
      </c>
      <c r="K951" s="70">
        <f>IF(G902=55,M907-W951,IF(G902=551,M907-Y951,IF(G902=60,M907-AA951,IF(G902=601,M907-AC951,IF(G902=65,M907-AE951,IF(G902=70,M907-AG951,IF(G902=75,M907-AI951,IF(G902=50,M907-AK951))))))))</f>
        <v>447</v>
      </c>
      <c r="L951" s="70">
        <v>1</v>
      </c>
      <c r="M951" s="46">
        <f t="shared" si="183"/>
        <v>0.28920899999999999</v>
      </c>
      <c r="N951" s="46"/>
      <c r="O951" s="46">
        <f t="shared" si="184"/>
        <v>0</v>
      </c>
      <c r="P951" s="71"/>
      <c r="Q951" s="71"/>
      <c r="R951" s="72"/>
      <c r="S951" s="209"/>
      <c r="T951" s="462" t="s">
        <v>1622</v>
      </c>
      <c r="U951" s="374" t="s">
        <v>1628</v>
      </c>
      <c r="V951" s="259">
        <f t="shared" ref="V951:AE951" si="185">18+35</f>
        <v>53</v>
      </c>
      <c r="W951" s="259">
        <f t="shared" si="185"/>
        <v>53</v>
      </c>
      <c r="X951" s="286">
        <f t="shared" si="185"/>
        <v>53</v>
      </c>
      <c r="Y951" s="304">
        <f t="shared" si="185"/>
        <v>53</v>
      </c>
      <c r="Z951" s="286">
        <f t="shared" si="185"/>
        <v>53</v>
      </c>
      <c r="AA951" s="304">
        <f t="shared" si="185"/>
        <v>53</v>
      </c>
      <c r="AB951" s="286">
        <f t="shared" si="185"/>
        <v>53</v>
      </c>
      <c r="AC951" s="304">
        <f t="shared" si="185"/>
        <v>53</v>
      </c>
      <c r="AD951" s="286">
        <f t="shared" si="185"/>
        <v>53</v>
      </c>
      <c r="AE951" s="304">
        <f t="shared" si="185"/>
        <v>53</v>
      </c>
      <c r="AF951" s="286">
        <f>20+35</f>
        <v>55</v>
      </c>
      <c r="AG951" s="304">
        <f>20+35</f>
        <v>55</v>
      </c>
      <c r="AH951" s="286">
        <f>20+35</f>
        <v>55</v>
      </c>
      <c r="AI951" s="304">
        <f>20+35</f>
        <v>55</v>
      </c>
      <c r="AJ951" s="264">
        <f>16+31.3</f>
        <v>47.3</v>
      </c>
      <c r="AK951" s="318">
        <f>16+31.3</f>
        <v>47.3</v>
      </c>
    </row>
    <row r="952" spans="1:37" x14ac:dyDescent="0.15">
      <c r="A952" s="382">
        <v>4</v>
      </c>
      <c r="B952" s="542" t="s">
        <v>1297</v>
      </c>
      <c r="C952" s="543"/>
      <c r="D952" s="543"/>
      <c r="E952" s="544"/>
      <c r="F952" s="545" t="s">
        <v>135</v>
      </c>
      <c r="G952" s="547"/>
      <c r="H952" s="45" t="s">
        <v>1665</v>
      </c>
      <c r="I952" s="207" t="s">
        <v>1299</v>
      </c>
      <c r="J952" s="46">
        <f>IF(G902=55,M909-V951-V918/2,IF(G902=551,M909-X951-X918/2,IF(G902=60,M909-Z951-Z918/2,IF(G902=601,M909-AB951-AB918/2,IF(G902=65,M909-AD951-AD918/2,IF(G902=70,M909-AF951-AF918/2,IF(G902=75,M909-AH951-AH918/2,IF(G902=50,M909-AJ951-AJ918/2))))))))</f>
        <v>592</v>
      </c>
      <c r="K952" s="70">
        <f>K951</f>
        <v>447</v>
      </c>
      <c r="L952" s="70">
        <v>1</v>
      </c>
      <c r="M952" s="46">
        <f t="shared" si="183"/>
        <v>0.26462400000000003</v>
      </c>
      <c r="N952" s="46"/>
      <c r="O952" s="46">
        <f t="shared" si="184"/>
        <v>0</v>
      </c>
      <c r="P952" s="71"/>
      <c r="Q952" s="71"/>
      <c r="R952" s="72"/>
      <c r="S952" s="209"/>
      <c r="T952" s="462"/>
      <c r="X952" s="286"/>
      <c r="Y952" s="304"/>
      <c r="Z952" s="286"/>
      <c r="AA952" s="304"/>
      <c r="AB952" s="286"/>
      <c r="AC952" s="304"/>
      <c r="AD952" s="286"/>
      <c r="AE952" s="304"/>
      <c r="AF952" s="286"/>
      <c r="AG952" s="288"/>
      <c r="AH952" s="286"/>
      <c r="AI952" s="288"/>
      <c r="AJ952" s="264"/>
      <c r="AK952" s="265"/>
    </row>
    <row r="953" spans="1:37" x14ac:dyDescent="0.15">
      <c r="A953" s="382">
        <v>5</v>
      </c>
      <c r="B953" s="542" t="s">
        <v>133</v>
      </c>
      <c r="C953" s="543"/>
      <c r="D953" s="543"/>
      <c r="E953" s="544"/>
      <c r="F953" s="545" t="s">
        <v>145</v>
      </c>
      <c r="G953" s="547"/>
      <c r="H953" s="45" t="s">
        <v>1291</v>
      </c>
      <c r="I953" s="207" t="s">
        <v>1265</v>
      </c>
      <c r="J953" s="45">
        <f>IF(G902=55,M910-V953,IF(G902=551,M910-X953,IF(G902=60,M910-Z953,IF(G902=601,M910-AB953,IF(G902=65,M910-AD953,IF(G902=70,M910-AF953,IF(G902=75,M910-AH953,IF(G902=50,M910-AJ953))))))))</f>
        <v>664</v>
      </c>
      <c r="K953" s="45">
        <f>IF(G902=55,M904-W953,IF(G902=551,M904-Y953,IF(G902=60,M904-AA953,IF(G902=601,M904-AC953,IF(G902=65,M904-AE953,IF(G902=70,M904-AG953,IF(G902=75,M904-AI953,IF(G902=50,M904-AK953))))))))</f>
        <v>1630</v>
      </c>
      <c r="L953" s="70">
        <v>1</v>
      </c>
      <c r="M953" s="46">
        <f t="shared" si="183"/>
        <v>1.0823199999999999</v>
      </c>
      <c r="N953" s="46"/>
      <c r="O953" s="46">
        <f t="shared" si="184"/>
        <v>0</v>
      </c>
      <c r="P953" s="71"/>
      <c r="Q953" s="71"/>
      <c r="R953" s="72"/>
      <c r="S953" s="72"/>
      <c r="T953" s="462" t="s">
        <v>1626</v>
      </c>
      <c r="U953" s="374" t="s">
        <v>1623</v>
      </c>
      <c r="V953" s="259">
        <f>18*2</f>
        <v>36</v>
      </c>
      <c r="W953" s="259">
        <f>35*2</f>
        <v>70</v>
      </c>
      <c r="X953" s="286">
        <f>18*2</f>
        <v>36</v>
      </c>
      <c r="Y953" s="304">
        <f>35*2</f>
        <v>70</v>
      </c>
      <c r="Z953" s="286">
        <f>18*2</f>
        <v>36</v>
      </c>
      <c r="AA953" s="304">
        <f>35*2</f>
        <v>70</v>
      </c>
      <c r="AB953" s="286">
        <f>18*2</f>
        <v>36</v>
      </c>
      <c r="AC953" s="304">
        <f>35*2</f>
        <v>70</v>
      </c>
      <c r="AD953" s="286">
        <f>18*2</f>
        <v>36</v>
      </c>
      <c r="AE953" s="304">
        <f>35*2</f>
        <v>70</v>
      </c>
      <c r="AF953" s="286">
        <f>20*2</f>
        <v>40</v>
      </c>
      <c r="AG953" s="265">
        <f>35*2</f>
        <v>70</v>
      </c>
      <c r="AH953" s="286">
        <f>20*2</f>
        <v>40</v>
      </c>
      <c r="AI953" s="265">
        <f>35*2</f>
        <v>70</v>
      </c>
      <c r="AJ953" s="264">
        <f>16*2</f>
        <v>32</v>
      </c>
      <c r="AK953" s="265">
        <f>31.3*2</f>
        <v>62.6</v>
      </c>
    </row>
    <row r="954" spans="1:37" x14ac:dyDescent="0.15">
      <c r="A954" s="382">
        <v>6</v>
      </c>
      <c r="B954" s="542" t="s">
        <v>134</v>
      </c>
      <c r="C954" s="543"/>
      <c r="D954" s="543"/>
      <c r="E954" s="544"/>
      <c r="F954" s="545" t="s">
        <v>147</v>
      </c>
      <c r="G954" s="547"/>
      <c r="H954" s="45" t="s">
        <v>1645</v>
      </c>
      <c r="I954" s="207" t="s">
        <v>1265</v>
      </c>
      <c r="J954" s="46">
        <f>IF(G902=55,M911-V954,IF(G902=551,M911-X954,IF(G902=60,M911-Z954,IF(G902=601,M911-AB954,IF(G902=65,M911-AD954,IF(G902=70,M911-AF954,IF(G902=75,M911-AH954,IF(G902=50,M911-AJ954))))))))</f>
        <v>375</v>
      </c>
      <c r="K954" s="382">
        <f>IF(G902=55,M904-W954,IF(G902=551,M904-Y954,IF(G902=60,M904-AA954,IF(G902=601,M904-AC954,IF(G902=65,M904-AE954,IF(G902=70,M904-AG954,IF(G902=75,M904-AI954,IF(G902=50,M904-AK954))))))))</f>
        <v>1630</v>
      </c>
      <c r="L954" s="239">
        <v>1</v>
      </c>
      <c r="M954" s="46">
        <f>J954*K954*L954/1000000</f>
        <v>0.61124999999999996</v>
      </c>
      <c r="N954" s="46"/>
      <c r="O954" s="46">
        <f>N954*M954</f>
        <v>0</v>
      </c>
      <c r="P954" s="48"/>
      <c r="Q954" s="48"/>
      <c r="R954" s="73"/>
      <c r="S954" s="73"/>
      <c r="T954" s="463" t="s">
        <v>1644</v>
      </c>
      <c r="U954" s="374" t="s">
        <v>1623</v>
      </c>
      <c r="V954" s="259">
        <f>90+35</f>
        <v>125</v>
      </c>
      <c r="W954" s="259">
        <f>35*2</f>
        <v>70</v>
      </c>
      <c r="X954" s="286">
        <f>90+35</f>
        <v>125</v>
      </c>
      <c r="Y954" s="304">
        <f>35*2</f>
        <v>70</v>
      </c>
      <c r="Z954" s="286">
        <f>95.2+35</f>
        <v>130.19999999999999</v>
      </c>
      <c r="AA954" s="304">
        <f>35*2</f>
        <v>70</v>
      </c>
      <c r="AB954" s="286">
        <f>95.4+35</f>
        <v>130.4</v>
      </c>
      <c r="AC954" s="304">
        <f>35*2</f>
        <v>70</v>
      </c>
      <c r="AD954" s="286">
        <f>97.2+35</f>
        <v>132.19999999999999</v>
      </c>
      <c r="AE954" s="304">
        <f>35*2</f>
        <v>70</v>
      </c>
      <c r="AF954" s="286">
        <f>105.2+35</f>
        <v>140.19999999999999</v>
      </c>
      <c r="AG954" s="265">
        <f>35*2</f>
        <v>70</v>
      </c>
      <c r="AH954" s="286">
        <f>109.2+35</f>
        <v>144.19999999999999</v>
      </c>
      <c r="AI954" s="265">
        <f>35*2</f>
        <v>70</v>
      </c>
      <c r="AJ954" s="264">
        <f>81.3+31.3</f>
        <v>112.6</v>
      </c>
      <c r="AK954" s="265">
        <f>31.3*2</f>
        <v>62.6</v>
      </c>
    </row>
    <row r="955" spans="1:37" x14ac:dyDescent="0.15">
      <c r="A955" s="74"/>
      <c r="B955" s="552"/>
      <c r="C955" s="557"/>
      <c r="D955" s="557"/>
      <c r="E955" s="553"/>
      <c r="F955" s="554" t="s">
        <v>56</v>
      </c>
      <c r="G955" s="554"/>
      <c r="H955" s="554"/>
      <c r="I955" s="579"/>
      <c r="J955" s="570"/>
      <c r="K955" s="570"/>
      <c r="L955" s="554"/>
      <c r="M955" s="62">
        <f>SUM(M949:M954)</f>
        <v>3.1783130800000001</v>
      </c>
      <c r="N955" s="300"/>
      <c r="O955" s="62">
        <f>SUM(O949:O954)</f>
        <v>0</v>
      </c>
      <c r="P955" s="63" t="s">
        <v>57</v>
      </c>
      <c r="Q955" s="337"/>
      <c r="R955" s="64"/>
      <c r="S955" s="64"/>
      <c r="T955" s="460"/>
    </row>
    <row r="956" spans="1:37" ht="24" x14ac:dyDescent="0.15">
      <c r="A956" s="65"/>
      <c r="B956" s="560" t="s">
        <v>58</v>
      </c>
      <c r="C956" s="561"/>
      <c r="D956" s="561"/>
      <c r="E956" s="562"/>
      <c r="F956" s="565" t="s">
        <v>26</v>
      </c>
      <c r="G956" s="566"/>
      <c r="H956" s="66" t="s">
        <v>59</v>
      </c>
      <c r="I956" s="351"/>
      <c r="J956" s="66" t="s">
        <v>60</v>
      </c>
      <c r="K956" s="66" t="s">
        <v>6</v>
      </c>
      <c r="L956" s="67" t="s">
        <v>61</v>
      </c>
      <c r="M956" s="66" t="s">
        <v>30</v>
      </c>
      <c r="N956" s="68" t="s">
        <v>62</v>
      </c>
      <c r="O956" s="68" t="s">
        <v>34</v>
      </c>
      <c r="P956" s="69" t="s">
        <v>57</v>
      </c>
      <c r="Q956" s="42"/>
      <c r="R956" s="67"/>
      <c r="S956" s="67"/>
      <c r="T956" s="461"/>
    </row>
    <row r="957" spans="1:37" ht="25.5" customHeight="1" x14ac:dyDescent="0.15">
      <c r="A957" s="302">
        <v>1</v>
      </c>
      <c r="B957" s="542"/>
      <c r="C957" s="543"/>
      <c r="D957" s="543"/>
      <c r="E957" s="544"/>
      <c r="F957" s="545" t="s">
        <v>872</v>
      </c>
      <c r="G957" s="547"/>
      <c r="H957" s="45"/>
      <c r="I957" s="207"/>
      <c r="J957" s="45"/>
      <c r="K957" s="46" t="str">
        <f>VLOOKUP($F:$F,材料单价表!$B$3:$G$42,4,0)</f>
        <v>套</v>
      </c>
      <c r="L957" s="72"/>
      <c r="M957" s="46">
        <v>2</v>
      </c>
      <c r="N957" s="46">
        <f>VLOOKUP($F:$F,材料单价表!$B$3:$G$42,5,0)</f>
        <v>0</v>
      </c>
      <c r="O957" s="46">
        <f t="shared" ref="O957" si="186">N957*M957</f>
        <v>0</v>
      </c>
      <c r="P957" s="48"/>
      <c r="Q957" s="48"/>
      <c r="R957" s="73"/>
      <c r="S957" s="73"/>
      <c r="T957" s="463"/>
    </row>
    <row r="958" spans="1:37" x14ac:dyDescent="0.15">
      <c r="A958" s="74"/>
      <c r="B958" s="552"/>
      <c r="C958" s="557"/>
      <c r="D958" s="557"/>
      <c r="E958" s="553"/>
      <c r="F958" s="554" t="s">
        <v>64</v>
      </c>
      <c r="G958" s="554"/>
      <c r="H958" s="554"/>
      <c r="I958" s="579"/>
      <c r="J958" s="570"/>
      <c r="K958" s="570"/>
      <c r="L958" s="554"/>
      <c r="M958" s="62">
        <f>M957</f>
        <v>2</v>
      </c>
      <c r="N958" s="300"/>
      <c r="O958" s="62">
        <f>SUM(O957:O957)</f>
        <v>0</v>
      </c>
      <c r="P958" s="63" t="s">
        <v>57</v>
      </c>
      <c r="Q958" s="337"/>
      <c r="R958" s="64"/>
      <c r="S958" s="64"/>
      <c r="T958" s="460"/>
    </row>
    <row r="959" spans="1:37" ht="24" x14ac:dyDescent="0.15">
      <c r="A959" s="65"/>
      <c r="B959" s="560" t="s">
        <v>65</v>
      </c>
      <c r="C959" s="561"/>
      <c r="D959" s="561"/>
      <c r="E959" s="562"/>
      <c r="F959" s="565" t="s">
        <v>26</v>
      </c>
      <c r="G959" s="566"/>
      <c r="H959" s="66" t="s">
        <v>59</v>
      </c>
      <c r="I959" s="351"/>
      <c r="J959" s="66" t="s">
        <v>60</v>
      </c>
      <c r="K959" s="66" t="s">
        <v>6</v>
      </c>
      <c r="L959" s="67" t="s">
        <v>61</v>
      </c>
      <c r="M959" s="66" t="s">
        <v>30</v>
      </c>
      <c r="N959" s="68" t="s">
        <v>62</v>
      </c>
      <c r="O959" s="68" t="s">
        <v>34</v>
      </c>
      <c r="P959" s="69" t="s">
        <v>57</v>
      </c>
      <c r="Q959" s="42"/>
      <c r="R959" s="67"/>
      <c r="S959" s="67"/>
      <c r="T959" s="461"/>
    </row>
    <row r="960" spans="1:37" ht="13.5" customHeight="1" x14ac:dyDescent="0.15">
      <c r="A960" s="76">
        <v>1</v>
      </c>
      <c r="B960" s="542"/>
      <c r="C960" s="543"/>
      <c r="D960" s="543"/>
      <c r="E960" s="544"/>
      <c r="F960" s="558" t="s">
        <v>66</v>
      </c>
      <c r="G960" s="559"/>
      <c r="H960" s="78"/>
      <c r="I960" s="352"/>
      <c r="J960" s="77"/>
      <c r="K960" s="46" t="str">
        <f>VLOOKUP($F:$F,材料单价表!$B$3:$G$42,4,0)</f>
        <v>m</v>
      </c>
      <c r="L960" s="46"/>
      <c r="M960" s="80">
        <f>M915</f>
        <v>9</v>
      </c>
      <c r="N960" s="46">
        <f>VLOOKUP($F:$F,材料单价表!$B$3:$G$42,5,0)</f>
        <v>0</v>
      </c>
      <c r="O960" s="46">
        <f>N960*M960</f>
        <v>0</v>
      </c>
      <c r="P960" s="48"/>
      <c r="Q960" s="59"/>
      <c r="R960" s="81"/>
      <c r="S960" s="79"/>
      <c r="T960" s="464"/>
    </row>
    <row r="961" spans="1:23" ht="15.75" customHeight="1" x14ac:dyDescent="0.15">
      <c r="A961" s="76">
        <v>2</v>
      </c>
      <c r="B961" s="542"/>
      <c r="C961" s="543"/>
      <c r="D961" s="543"/>
      <c r="E961" s="544"/>
      <c r="F961" s="558" t="s">
        <v>68</v>
      </c>
      <c r="G961" s="559"/>
      <c r="H961" s="78" t="s">
        <v>67</v>
      </c>
      <c r="I961" s="352"/>
      <c r="J961" s="77"/>
      <c r="K961" s="46" t="str">
        <f>VLOOKUP($F:$F,材料单价表!$B$3:$G$42,4,0)</f>
        <v>m</v>
      </c>
      <c r="L961" s="46"/>
      <c r="M961" s="80">
        <f>(J938*K938+J939*K939+J931*K931+J932*K932+J933*K933+J934*K934+J935*K935+J936*K936+J937*K937)/1000*2</f>
        <v>38.471199999999996</v>
      </c>
      <c r="N961" s="46">
        <f>VLOOKUP($F:$F,材料单价表!$B$3:$G$42,5,0)</f>
        <v>0</v>
      </c>
      <c r="O961" s="46">
        <f t="shared" ref="O961:O966" si="187">N961*M961</f>
        <v>0</v>
      </c>
      <c r="P961" s="48"/>
      <c r="Q961" s="59"/>
      <c r="R961" s="81"/>
      <c r="S961" s="79"/>
      <c r="T961" s="464"/>
      <c r="V961" s="104"/>
      <c r="W961" s="104"/>
    </row>
    <row r="962" spans="1:23" ht="13.5" customHeight="1" x14ac:dyDescent="0.15">
      <c r="A962" s="76">
        <v>3</v>
      </c>
      <c r="B962" s="542"/>
      <c r="C962" s="543"/>
      <c r="D962" s="543"/>
      <c r="E962" s="544"/>
      <c r="F962" s="558" t="s">
        <v>68</v>
      </c>
      <c r="G962" s="559"/>
      <c r="H962" s="78" t="s">
        <v>69</v>
      </c>
      <c r="I962" s="352"/>
      <c r="J962" s="77"/>
      <c r="K962" s="46" t="str">
        <f>VLOOKUP($F:$F,材料单价表!$B$3:$G$42,4,0)</f>
        <v>m</v>
      </c>
      <c r="L962" s="46"/>
      <c r="M962" s="80">
        <f>M915</f>
        <v>9</v>
      </c>
      <c r="N962" s="46">
        <f>VLOOKUP($F:$F,材料单价表!$B$3:$G$42,5,0)</f>
        <v>0</v>
      </c>
      <c r="O962" s="46">
        <f t="shared" si="187"/>
        <v>0</v>
      </c>
      <c r="P962" s="48"/>
      <c r="Q962" s="59"/>
      <c r="R962" s="81"/>
      <c r="S962" s="79"/>
      <c r="T962" s="464"/>
      <c r="V962" s="104"/>
      <c r="W962" s="104"/>
    </row>
    <row r="963" spans="1:23" ht="13.5" customHeight="1" x14ac:dyDescent="0.15">
      <c r="A963" s="76">
        <v>4</v>
      </c>
      <c r="B963" s="542"/>
      <c r="C963" s="543"/>
      <c r="D963" s="543"/>
      <c r="E963" s="544"/>
      <c r="F963" s="558" t="s">
        <v>68</v>
      </c>
      <c r="G963" s="559"/>
      <c r="H963" s="78" t="s">
        <v>70</v>
      </c>
      <c r="I963" s="352"/>
      <c r="J963" s="77"/>
      <c r="K963" s="46" t="str">
        <f>VLOOKUP($F:$F,材料单价表!$B$3:$G$42,4,0)</f>
        <v>m</v>
      </c>
      <c r="L963" s="46"/>
      <c r="M963" s="80">
        <f>M915</f>
        <v>9</v>
      </c>
      <c r="N963" s="46">
        <f>VLOOKUP($F:$F,材料单价表!$B$3:$G$42,5,0)</f>
        <v>0</v>
      </c>
      <c r="O963" s="46">
        <f t="shared" si="187"/>
        <v>0</v>
      </c>
      <c r="P963" s="48"/>
      <c r="Q963" s="59"/>
      <c r="R963" s="81"/>
      <c r="S963" s="79"/>
      <c r="T963" s="464"/>
      <c r="V963" s="104"/>
      <c r="W963" s="104"/>
    </row>
    <row r="964" spans="1:23" ht="13.5" customHeight="1" x14ac:dyDescent="0.15">
      <c r="A964" s="76">
        <v>5</v>
      </c>
      <c r="B964" s="542"/>
      <c r="C964" s="543"/>
      <c r="D964" s="543"/>
      <c r="E964" s="544"/>
      <c r="F964" s="558" t="s">
        <v>71</v>
      </c>
      <c r="G964" s="559"/>
      <c r="H964" s="78"/>
      <c r="I964" s="352"/>
      <c r="J964" s="77"/>
      <c r="K964" s="46" t="str">
        <f>VLOOKUP($F:$F,材料单价表!$B$3:$G$42,4,0)</f>
        <v>个</v>
      </c>
      <c r="L964" s="79"/>
      <c r="M964" s="80">
        <f>SUM(K940:K942)</f>
        <v>20</v>
      </c>
      <c r="N964" s="46">
        <f>VLOOKUP($F:$F,材料单价表!$B$3:$G$42,5,0)</f>
        <v>0</v>
      </c>
      <c r="O964" s="46">
        <f t="shared" si="187"/>
        <v>0</v>
      </c>
      <c r="P964" s="48"/>
      <c r="Q964" s="59"/>
      <c r="R964" s="81"/>
      <c r="S964" s="79"/>
      <c r="T964" s="464"/>
    </row>
    <row r="965" spans="1:23" ht="13.5" customHeight="1" x14ac:dyDescent="0.15">
      <c r="A965" s="76">
        <v>6</v>
      </c>
      <c r="B965" s="542"/>
      <c r="C965" s="543"/>
      <c r="D965" s="543"/>
      <c r="E965" s="544"/>
      <c r="F965" s="558" t="s">
        <v>833</v>
      </c>
      <c r="G965" s="559"/>
      <c r="H965" s="78"/>
      <c r="I965" s="352"/>
      <c r="J965" s="77"/>
      <c r="K965" s="46" t="str">
        <f>VLOOKUP($F:$F,材料单价表!$B$3:$G$42,4,0)</f>
        <v>m</v>
      </c>
      <c r="L965" s="79"/>
      <c r="M965" s="80">
        <f>(J921*K921+J922*K922)/1000*2</f>
        <v>11.406400000000001</v>
      </c>
      <c r="N965" s="46">
        <f>VLOOKUP($F:$F,材料单价表!$B$3:$G$42,5,0)</f>
        <v>0</v>
      </c>
      <c r="O965" s="46">
        <f t="shared" si="187"/>
        <v>0</v>
      </c>
      <c r="P965" s="48"/>
      <c r="Q965" s="59"/>
      <c r="R965" s="81"/>
      <c r="S965" s="46"/>
      <c r="T965" s="465"/>
    </row>
    <row r="966" spans="1:23" x14ac:dyDescent="0.15">
      <c r="A966" s="76">
        <v>7</v>
      </c>
      <c r="B966" s="542"/>
      <c r="C966" s="543"/>
      <c r="D966" s="543"/>
      <c r="E966" s="544"/>
      <c r="F966" s="558" t="s">
        <v>72</v>
      </c>
      <c r="G966" s="559"/>
      <c r="H966" s="45"/>
      <c r="I966" s="207"/>
      <c r="J966" s="45"/>
      <c r="K966" s="46" t="str">
        <f>VLOOKUP($F:$F,材料单价表!$B$3:$G$42,4,0)</f>
        <v>m2</v>
      </c>
      <c r="L966" s="72"/>
      <c r="M966" s="46">
        <f>M972</f>
        <v>4.8600000000000003</v>
      </c>
      <c r="N966" s="46">
        <f>VLOOKUP($F:$F,材料单价表!$B$3:$G$42,5,0)</f>
        <v>0</v>
      </c>
      <c r="O966" s="46">
        <f t="shared" si="187"/>
        <v>0</v>
      </c>
      <c r="P966" s="48"/>
      <c r="Q966" s="48"/>
      <c r="R966" s="73"/>
      <c r="S966" s="73"/>
      <c r="T966" s="463"/>
    </row>
    <row r="967" spans="1:23" x14ac:dyDescent="0.15">
      <c r="A967" s="76">
        <v>8</v>
      </c>
      <c r="B967" s="542"/>
      <c r="C967" s="543"/>
      <c r="D967" s="543"/>
      <c r="E967" s="544"/>
      <c r="F967" s="297"/>
      <c r="G967" s="298"/>
      <c r="H967" s="207"/>
      <c r="I967" s="207"/>
      <c r="J967" s="207"/>
      <c r="K967" s="208"/>
      <c r="L967" s="209"/>
      <c r="M967" s="208"/>
      <c r="N967" s="208"/>
      <c r="O967" s="208"/>
      <c r="P967" s="211"/>
      <c r="Q967" s="48"/>
      <c r="R967" s="212"/>
      <c r="S967" s="212"/>
      <c r="T967" s="463"/>
    </row>
    <row r="968" spans="1:23" x14ac:dyDescent="0.15">
      <c r="A968" s="76">
        <v>9</v>
      </c>
      <c r="B968" s="542"/>
      <c r="C968" s="543"/>
      <c r="D968" s="543"/>
      <c r="E968" s="544"/>
      <c r="F968" s="558"/>
      <c r="G968" s="559"/>
      <c r="H968" s="45"/>
      <c r="I968" s="207"/>
      <c r="J968" s="45"/>
      <c r="K968" s="45"/>
      <c r="L968" s="72"/>
      <c r="M968" s="46"/>
      <c r="N968" s="46"/>
      <c r="O968" s="82"/>
      <c r="P968" s="48"/>
      <c r="Q968" s="48"/>
      <c r="R968" s="73"/>
      <c r="S968" s="73"/>
      <c r="T968" s="463"/>
    </row>
    <row r="969" spans="1:23" x14ac:dyDescent="0.15">
      <c r="A969" s="74"/>
      <c r="B969" s="552"/>
      <c r="C969" s="557"/>
      <c r="D969" s="557"/>
      <c r="E969" s="553"/>
      <c r="F969" s="552" t="s">
        <v>73</v>
      </c>
      <c r="G969" s="557"/>
      <c r="H969" s="557"/>
      <c r="I969" s="557"/>
      <c r="J969" s="557"/>
      <c r="K969" s="557"/>
      <c r="L969" s="557"/>
      <c r="M969" s="61"/>
      <c r="N969" s="61"/>
      <c r="O969" s="62">
        <f>SUM(O960:O968)</f>
        <v>0</v>
      </c>
      <c r="P969" s="63" t="s">
        <v>57</v>
      </c>
      <c r="Q969" s="337"/>
      <c r="R969" s="64"/>
      <c r="S969" s="64"/>
      <c r="T969" s="460"/>
    </row>
    <row r="970" spans="1:23" x14ac:dyDescent="0.15">
      <c r="A970" s="74"/>
      <c r="B970" s="552"/>
      <c r="C970" s="557"/>
      <c r="D970" s="557"/>
      <c r="E970" s="553"/>
      <c r="F970" s="552" t="s">
        <v>74</v>
      </c>
      <c r="G970" s="557"/>
      <c r="H970" s="557"/>
      <c r="I970" s="557"/>
      <c r="J970" s="557"/>
      <c r="K970" s="557"/>
      <c r="L970" s="557"/>
      <c r="M970" s="557"/>
      <c r="N970" s="553"/>
      <c r="O970" s="62">
        <f>O969+O958+O955+O947</f>
        <v>0</v>
      </c>
      <c r="P970" s="63" t="s">
        <v>57</v>
      </c>
      <c r="Q970" s="337"/>
      <c r="R970" s="64"/>
      <c r="S970" s="64"/>
      <c r="T970" s="460"/>
    </row>
    <row r="971" spans="1:23" ht="24" x14ac:dyDescent="0.15">
      <c r="A971" s="65"/>
      <c r="B971" s="560" t="s">
        <v>75</v>
      </c>
      <c r="C971" s="561"/>
      <c r="D971" s="561"/>
      <c r="E971" s="562"/>
      <c r="F971" s="565" t="s">
        <v>26</v>
      </c>
      <c r="G971" s="566"/>
      <c r="H971" s="66"/>
      <c r="I971" s="351"/>
      <c r="J971" s="66"/>
      <c r="K971" s="66" t="s">
        <v>6</v>
      </c>
      <c r="L971" s="83" t="s">
        <v>61</v>
      </c>
      <c r="M971" s="66" t="s">
        <v>76</v>
      </c>
      <c r="N971" s="68" t="s">
        <v>62</v>
      </c>
      <c r="O971" s="68" t="s">
        <v>34</v>
      </c>
      <c r="P971" s="84" t="s">
        <v>57</v>
      </c>
      <c r="Q971" s="84"/>
      <c r="R971" s="67"/>
      <c r="S971" s="67"/>
      <c r="T971" s="461"/>
    </row>
    <row r="972" spans="1:23" x14ac:dyDescent="0.15">
      <c r="A972" s="302">
        <v>1</v>
      </c>
      <c r="B972" s="542"/>
      <c r="C972" s="543"/>
      <c r="D972" s="543"/>
      <c r="E972" s="544"/>
      <c r="F972" s="545" t="s">
        <v>77</v>
      </c>
      <c r="G972" s="547"/>
      <c r="H972" s="45"/>
      <c r="I972" s="207"/>
      <c r="J972" s="46"/>
      <c r="K972" s="45" t="s">
        <v>78</v>
      </c>
      <c r="L972" s="72"/>
      <c r="M972" s="85">
        <f>O902</f>
        <v>4.8600000000000003</v>
      </c>
      <c r="N972" s="46">
        <f>VLOOKUP($F:$F,材料单价表!$B$3:$G$42,5,0)</f>
        <v>0</v>
      </c>
      <c r="O972" s="46">
        <f>N972*M972</f>
        <v>0</v>
      </c>
      <c r="P972" s="48"/>
      <c r="Q972" s="48"/>
      <c r="R972" s="72"/>
      <c r="S972" s="72"/>
      <c r="T972" s="462"/>
    </row>
    <row r="973" spans="1:23" x14ac:dyDescent="0.15">
      <c r="A973" s="302">
        <v>2</v>
      </c>
      <c r="B973" s="542"/>
      <c r="C973" s="543"/>
      <c r="D973" s="543"/>
      <c r="E973" s="544"/>
      <c r="F973" s="545" t="s">
        <v>79</v>
      </c>
      <c r="G973" s="547"/>
      <c r="H973" s="45"/>
      <c r="I973" s="207"/>
      <c r="J973" s="46"/>
      <c r="K973" s="45" t="s">
        <v>78</v>
      </c>
      <c r="L973" s="72"/>
      <c r="M973" s="85">
        <f>M972</f>
        <v>4.8600000000000003</v>
      </c>
      <c r="N973" s="46">
        <f>VLOOKUP($F:$F,材料单价表!$B$3:$G$42,5,0)</f>
        <v>0</v>
      </c>
      <c r="O973" s="46">
        <f>N973*M973</f>
        <v>0</v>
      </c>
      <c r="P973" s="48"/>
      <c r="Q973" s="48"/>
      <c r="R973" s="72"/>
      <c r="S973" s="72"/>
      <c r="T973" s="462"/>
    </row>
    <row r="974" spans="1:23" ht="24.75" customHeight="1" x14ac:dyDescent="0.15">
      <c r="A974" s="74"/>
      <c r="B974" s="552"/>
      <c r="C974" s="557"/>
      <c r="D974" s="557"/>
      <c r="E974" s="553"/>
      <c r="F974" s="552" t="s">
        <v>80</v>
      </c>
      <c r="G974" s="553"/>
      <c r="H974" s="299"/>
      <c r="I974" s="348"/>
      <c r="J974" s="554" t="s">
        <v>81</v>
      </c>
      <c r="K974" s="554"/>
      <c r="L974" s="554"/>
      <c r="M974" s="554"/>
      <c r="N974" s="87"/>
      <c r="O974" s="62">
        <f>O970+O972+O973</f>
        <v>0</v>
      </c>
      <c r="P974" s="63" t="s">
        <v>57</v>
      </c>
      <c r="Q974" s="337"/>
      <c r="R974" s="64"/>
      <c r="S974" s="64"/>
      <c r="T974" s="460"/>
    </row>
    <row r="975" spans="1:23" ht="24" customHeight="1" x14ac:dyDescent="0.15">
      <c r="A975" s="74"/>
      <c r="B975" s="552"/>
      <c r="C975" s="557"/>
      <c r="D975" s="557"/>
      <c r="E975" s="553"/>
      <c r="F975" s="555" t="s">
        <v>82</v>
      </c>
      <c r="G975" s="556"/>
      <c r="H975" s="301"/>
      <c r="I975" s="349"/>
      <c r="J975" s="552" t="s">
        <v>81</v>
      </c>
      <c r="K975" s="557"/>
      <c r="L975" s="557"/>
      <c r="M975" s="557"/>
      <c r="N975" s="62"/>
      <c r="O975" s="62">
        <f>O974/O902</f>
        <v>0</v>
      </c>
      <c r="P975" s="89" t="s">
        <v>57</v>
      </c>
      <c r="Q975" s="89"/>
      <c r="R975" s="90"/>
      <c r="S975" s="90"/>
      <c r="T975" s="466"/>
    </row>
    <row r="976" spans="1:23" ht="18.75" customHeight="1" x14ac:dyDescent="0.15">
      <c r="A976" s="549" t="s">
        <v>0</v>
      </c>
      <c r="B976" s="549"/>
      <c r="C976" s="549"/>
      <c r="D976" s="549"/>
      <c r="E976" s="549"/>
      <c r="F976" s="549"/>
      <c r="G976" s="549"/>
      <c r="H976" s="549"/>
      <c r="I976" s="549"/>
      <c r="J976" s="549"/>
      <c r="K976" s="549"/>
      <c r="L976" s="550"/>
      <c r="M976" s="549"/>
      <c r="N976" s="549"/>
      <c r="O976" s="549"/>
      <c r="P976" s="549"/>
      <c r="Q976" s="549"/>
      <c r="R976" s="551"/>
      <c r="S976" s="551"/>
      <c r="T976" s="415"/>
    </row>
    <row r="977" spans="1:37" ht="15" customHeight="1" x14ac:dyDescent="0.15">
      <c r="A977" s="2" t="s">
        <v>1</v>
      </c>
      <c r="B977" s="3" t="s">
        <v>1458</v>
      </c>
      <c r="C977" s="3">
        <v>3</v>
      </c>
      <c r="D977" s="3"/>
      <c r="E977" s="3"/>
      <c r="F977" s="4" t="s">
        <v>2</v>
      </c>
      <c r="G977" s="5">
        <v>55</v>
      </c>
      <c r="H977" s="106" t="s">
        <v>86</v>
      </c>
      <c r="I977" s="106"/>
      <c r="J977" s="4" t="s">
        <v>3</v>
      </c>
      <c r="K977" s="6">
        <f>L980</f>
        <v>3000</v>
      </c>
      <c r="L977" s="7" t="s">
        <v>83</v>
      </c>
      <c r="M977" s="6">
        <f>L979</f>
        <v>1800</v>
      </c>
      <c r="N977" s="8" t="s">
        <v>4</v>
      </c>
      <c r="O977" s="9">
        <f>M989</f>
        <v>5.4</v>
      </c>
      <c r="P977" s="10"/>
      <c r="Q977" s="10"/>
      <c r="R977" s="10" t="s">
        <v>5</v>
      </c>
      <c r="S977" s="11"/>
      <c r="T977" s="457"/>
    </row>
    <row r="978" spans="1:37" ht="15" customHeight="1" x14ac:dyDescent="0.2">
      <c r="A978" s="12"/>
      <c r="B978" s="13"/>
      <c r="C978" s="13"/>
      <c r="D978" s="13"/>
      <c r="E978" s="13"/>
      <c r="F978" s="14"/>
      <c r="G978" s="14"/>
      <c r="H978" s="15"/>
      <c r="I978" s="15"/>
      <c r="J978" s="16"/>
      <c r="K978" s="16" t="s">
        <v>6</v>
      </c>
      <c r="L978" s="17" t="s">
        <v>7</v>
      </c>
      <c r="M978" s="16" t="s">
        <v>8</v>
      </c>
      <c r="N978" s="18"/>
      <c r="O978" s="548" t="s">
        <v>940</v>
      </c>
      <c r="P978" s="548"/>
      <c r="Q978" s="16" t="s">
        <v>1018</v>
      </c>
      <c r="R978" s="529" t="s">
        <v>1187</v>
      </c>
      <c r="S978" s="530" t="s">
        <v>1592</v>
      </c>
      <c r="T978" s="468"/>
    </row>
    <row r="979" spans="1:37" ht="15" customHeight="1" x14ac:dyDescent="0.2">
      <c r="A979" s="398" t="s">
        <v>881</v>
      </c>
      <c r="B979" s="406" t="s">
        <v>987</v>
      </c>
      <c r="C979" s="362"/>
      <c r="D979" s="362"/>
      <c r="E979" s="362"/>
      <c r="F979" s="23"/>
      <c r="G979" s="23"/>
      <c r="H979" s="107"/>
      <c r="I979" s="107"/>
      <c r="J979" s="24" t="s">
        <v>9</v>
      </c>
      <c r="K979" s="16" t="s">
        <v>10</v>
      </c>
      <c r="L979" s="25">
        <v>1800</v>
      </c>
      <c r="M979" s="113">
        <f>L979-M988*2</f>
        <v>1700</v>
      </c>
      <c r="N979" s="18"/>
      <c r="O979" s="356" t="s">
        <v>941</v>
      </c>
      <c r="P979" s="357"/>
      <c r="Q979" s="16" t="s">
        <v>1019</v>
      </c>
      <c r="R979" s="529"/>
      <c r="S979" s="530"/>
      <c r="T979" s="468"/>
    </row>
    <row r="980" spans="1:37" ht="15" customHeight="1" x14ac:dyDescent="0.2">
      <c r="A980" s="21"/>
      <c r="B980" s="22"/>
      <c r="C980" s="22"/>
      <c r="D980" s="22"/>
      <c r="E980" s="22"/>
      <c r="F980" s="23"/>
      <c r="G980" s="23"/>
      <c r="H980" s="18"/>
      <c r="I980" s="18"/>
      <c r="J980" s="24" t="s">
        <v>11</v>
      </c>
      <c r="K980" s="16" t="s">
        <v>10</v>
      </c>
      <c r="L980" s="113">
        <v>3000</v>
      </c>
      <c r="M980" s="113">
        <f>L980-M988*2</f>
        <v>2900</v>
      </c>
      <c r="N980" s="18"/>
      <c r="O980" s="356" t="s">
        <v>924</v>
      </c>
      <c r="P980" s="357"/>
      <c r="Q980" s="16" t="s">
        <v>1020</v>
      </c>
      <c r="R980" s="529" t="s">
        <v>1188</v>
      </c>
      <c r="S980" s="530" t="s">
        <v>1086</v>
      </c>
      <c r="T980" s="468"/>
    </row>
    <row r="981" spans="1:37" ht="15" customHeight="1" x14ac:dyDescent="0.2">
      <c r="A981" s="21"/>
      <c r="B981" s="22"/>
      <c r="C981" s="22"/>
      <c r="D981" s="22"/>
      <c r="E981" s="22"/>
      <c r="F981" s="23"/>
      <c r="G981" s="23"/>
      <c r="H981" s="18"/>
      <c r="I981" s="18"/>
      <c r="J981" s="24" t="s">
        <v>12</v>
      </c>
      <c r="K981" s="16" t="s">
        <v>10</v>
      </c>
      <c r="L981" s="26"/>
      <c r="M981" s="113">
        <f>M979-M982</f>
        <v>1200</v>
      </c>
      <c r="N981" s="18"/>
      <c r="O981" s="356" t="s">
        <v>925</v>
      </c>
      <c r="P981" s="357"/>
      <c r="Q981" s="16" t="s">
        <v>1021</v>
      </c>
      <c r="R981" s="529"/>
      <c r="S981" s="530"/>
      <c r="T981" s="468"/>
    </row>
    <row r="982" spans="1:37" ht="15" customHeight="1" x14ac:dyDescent="0.2">
      <c r="A982" s="21"/>
      <c r="B982" s="22"/>
      <c r="C982" s="22"/>
      <c r="D982" s="22"/>
      <c r="E982" s="22"/>
      <c r="F982" s="23"/>
      <c r="G982" s="23"/>
      <c r="H982" s="18"/>
      <c r="I982" s="18"/>
      <c r="J982" s="24" t="s">
        <v>13</v>
      </c>
      <c r="K982" s="16" t="s">
        <v>10</v>
      </c>
      <c r="L982" s="26"/>
      <c r="M982" s="113">
        <v>500</v>
      </c>
      <c r="N982" s="18"/>
      <c r="O982" s="356" t="s">
        <v>926</v>
      </c>
      <c r="P982" s="357"/>
      <c r="Q982" s="16" t="s">
        <v>1022</v>
      </c>
      <c r="R982" s="27"/>
      <c r="S982" s="28"/>
      <c r="T982" s="27"/>
    </row>
    <row r="983" spans="1:37" ht="15" customHeight="1" x14ac:dyDescent="0.2">
      <c r="A983" s="21"/>
      <c r="B983" s="22"/>
      <c r="C983" s="22"/>
      <c r="D983" s="22"/>
      <c r="E983" s="22"/>
      <c r="F983" s="23"/>
      <c r="G983" s="23"/>
      <c r="H983" s="18"/>
      <c r="I983" s="18"/>
      <c r="J983" s="24" t="s">
        <v>14</v>
      </c>
      <c r="K983" s="16" t="s">
        <v>10</v>
      </c>
      <c r="L983" s="26"/>
      <c r="M983" s="113"/>
      <c r="N983" s="18"/>
      <c r="O983" s="356" t="s">
        <v>927</v>
      </c>
      <c r="P983" s="357"/>
      <c r="Q983" s="16" t="s">
        <v>1023</v>
      </c>
      <c r="R983" s="27"/>
      <c r="S983" s="28"/>
      <c r="T983" s="27"/>
    </row>
    <row r="984" spans="1:37" ht="15" customHeight="1" x14ac:dyDescent="0.2">
      <c r="A984" s="21"/>
      <c r="B984" s="22"/>
      <c r="C984" s="22"/>
      <c r="D984" s="22"/>
      <c r="E984" s="22"/>
      <c r="F984" s="23"/>
      <c r="G984" s="23"/>
      <c r="H984" s="18"/>
      <c r="I984" s="18"/>
      <c r="J984" s="24" t="s">
        <v>15</v>
      </c>
      <c r="K984" s="16" t="s">
        <v>10</v>
      </c>
      <c r="L984" s="26"/>
      <c r="M984" s="25">
        <v>700</v>
      </c>
      <c r="N984" s="112" t="s">
        <v>866</v>
      </c>
      <c r="O984" s="356" t="s">
        <v>928</v>
      </c>
      <c r="P984" s="357"/>
      <c r="Q984" s="16" t="s">
        <v>1005</v>
      </c>
      <c r="R984" s="27"/>
      <c r="S984" s="28"/>
      <c r="T984" s="27"/>
    </row>
    <row r="985" spans="1:37" ht="15" customHeight="1" x14ac:dyDescent="0.2">
      <c r="A985" s="21"/>
      <c r="B985" s="22"/>
      <c r="C985" s="22"/>
      <c r="D985" s="22"/>
      <c r="E985" s="22"/>
      <c r="F985" s="23"/>
      <c r="G985" s="23"/>
      <c r="H985" s="18"/>
      <c r="I985" s="18"/>
      <c r="J985" s="24" t="s">
        <v>16</v>
      </c>
      <c r="K985" s="16" t="s">
        <v>10</v>
      </c>
      <c r="L985" s="26"/>
      <c r="M985" s="113">
        <f>M980-M984-M986*2</f>
        <v>1200</v>
      </c>
      <c r="N985" s="18"/>
      <c r="O985" s="356" t="s">
        <v>929</v>
      </c>
      <c r="P985" s="357"/>
      <c r="Q985" s="16" t="s">
        <v>1024</v>
      </c>
      <c r="R985" s="27"/>
      <c r="S985" s="28"/>
      <c r="T985" s="27"/>
    </row>
    <row r="986" spans="1:37" ht="15" customHeight="1" x14ac:dyDescent="0.2">
      <c r="A986" s="21"/>
      <c r="B986" s="22"/>
      <c r="C986" s="22"/>
      <c r="D986" s="22"/>
      <c r="E986" s="22"/>
      <c r="F986" s="23"/>
      <c r="G986" s="23"/>
      <c r="H986" s="18"/>
      <c r="I986" s="18"/>
      <c r="J986" s="24" t="s">
        <v>17</v>
      </c>
      <c r="K986" s="16" t="s">
        <v>10</v>
      </c>
      <c r="L986" s="26"/>
      <c r="M986" s="113">
        <v>500</v>
      </c>
      <c r="N986" s="18"/>
      <c r="O986" s="356" t="s">
        <v>930</v>
      </c>
      <c r="P986" s="357"/>
      <c r="Q986" s="16" t="s">
        <v>931</v>
      </c>
      <c r="R986" s="27"/>
      <c r="S986" s="28"/>
      <c r="T986" s="27"/>
    </row>
    <row r="987" spans="1:37" ht="15" customHeight="1" x14ac:dyDescent="0.2">
      <c r="A987" s="21"/>
      <c r="B987" s="22"/>
      <c r="C987" s="22"/>
      <c r="D987" s="22"/>
      <c r="E987" s="22"/>
      <c r="F987" s="23"/>
      <c r="G987" s="23"/>
      <c r="H987" s="18"/>
      <c r="I987" s="18"/>
      <c r="J987" s="24" t="s">
        <v>18</v>
      </c>
      <c r="K987" s="16" t="s">
        <v>10</v>
      </c>
      <c r="L987" s="26"/>
      <c r="M987" s="113"/>
      <c r="N987" s="18"/>
      <c r="O987" s="356" t="s">
        <v>932</v>
      </c>
      <c r="P987" s="357"/>
      <c r="Q987" s="16" t="s">
        <v>933</v>
      </c>
      <c r="R987" s="27"/>
      <c r="S987" s="28"/>
      <c r="T987" s="27"/>
    </row>
    <row r="988" spans="1:37" ht="15" customHeight="1" x14ac:dyDescent="0.2">
      <c r="A988" s="21"/>
      <c r="B988" s="22"/>
      <c r="C988" s="22"/>
      <c r="D988" s="22"/>
      <c r="E988" s="22"/>
      <c r="F988" s="23"/>
      <c r="G988" s="23"/>
      <c r="H988" s="18"/>
      <c r="I988" s="18"/>
      <c r="J988" s="24" t="s">
        <v>19</v>
      </c>
      <c r="K988" s="16" t="s">
        <v>10</v>
      </c>
      <c r="L988" s="26"/>
      <c r="M988" s="25">
        <v>50</v>
      </c>
      <c r="N988" s="18"/>
      <c r="O988" s="356" t="s">
        <v>934</v>
      </c>
      <c r="P988" s="357"/>
      <c r="Q988" s="16" t="s">
        <v>935</v>
      </c>
      <c r="R988" s="27"/>
      <c r="S988" s="28"/>
      <c r="T988" s="27"/>
    </row>
    <row r="989" spans="1:37" ht="15" customHeight="1" x14ac:dyDescent="0.2">
      <c r="A989" s="21"/>
      <c r="B989" s="22"/>
      <c r="C989" s="22"/>
      <c r="D989" s="22"/>
      <c r="E989" s="22"/>
      <c r="F989" s="23"/>
      <c r="G989" s="23"/>
      <c r="H989" s="18"/>
      <c r="I989" s="18"/>
      <c r="J989" s="29" t="s">
        <v>20</v>
      </c>
      <c r="K989" s="16" t="s">
        <v>21</v>
      </c>
      <c r="L989" s="30"/>
      <c r="M989" s="31">
        <f>L979*L980/1000000</f>
        <v>5.4</v>
      </c>
      <c r="N989" s="18"/>
      <c r="O989" s="356" t="s">
        <v>936</v>
      </c>
      <c r="P989" s="357"/>
      <c r="Q989" s="16" t="s">
        <v>937</v>
      </c>
      <c r="R989" s="27"/>
      <c r="S989" s="28"/>
      <c r="T989" s="27"/>
    </row>
    <row r="990" spans="1:37" ht="15" customHeight="1" x14ac:dyDescent="0.2">
      <c r="A990" s="32"/>
      <c r="B990" s="33"/>
      <c r="C990" s="33"/>
      <c r="D990" s="33"/>
      <c r="E990" s="33"/>
      <c r="F990" s="34"/>
      <c r="G990" s="34"/>
      <c r="H990" s="35"/>
      <c r="I990" s="35"/>
      <c r="J990" s="29" t="s">
        <v>22</v>
      </c>
      <c r="K990" s="16" t="s">
        <v>23</v>
      </c>
      <c r="L990" s="30"/>
      <c r="M990" s="36">
        <f>(L980+L979)*2/1000</f>
        <v>9.6</v>
      </c>
      <c r="N990" s="35"/>
      <c r="O990" s="356" t="s">
        <v>938</v>
      </c>
      <c r="P990" s="357"/>
      <c r="Q990" s="16" t="s">
        <v>939</v>
      </c>
      <c r="R990" s="37"/>
      <c r="S990" s="38"/>
      <c r="T990" s="27"/>
    </row>
    <row r="991" spans="1:37" ht="48.75" customHeight="1" x14ac:dyDescent="0.15">
      <c r="A991" s="39" t="s">
        <v>24</v>
      </c>
      <c r="B991" s="560" t="s">
        <v>25</v>
      </c>
      <c r="C991" s="561"/>
      <c r="D991" s="561"/>
      <c r="E991" s="562"/>
      <c r="F991" s="40" t="s">
        <v>26</v>
      </c>
      <c r="G991" s="40" t="s">
        <v>27</v>
      </c>
      <c r="H991" s="40" t="s">
        <v>28</v>
      </c>
      <c r="I991" s="40" t="s">
        <v>911</v>
      </c>
      <c r="J991" s="40" t="s">
        <v>29</v>
      </c>
      <c r="K991" s="40" t="s">
        <v>30</v>
      </c>
      <c r="L991" s="41" t="s">
        <v>31</v>
      </c>
      <c r="M991" s="40" t="s">
        <v>32</v>
      </c>
      <c r="N991" s="40" t="s">
        <v>33</v>
      </c>
      <c r="O991" s="40" t="s">
        <v>34</v>
      </c>
      <c r="P991" s="42" t="s">
        <v>35</v>
      </c>
      <c r="Q991" s="359" t="s">
        <v>974</v>
      </c>
      <c r="R991" s="43" t="s">
        <v>36</v>
      </c>
      <c r="S991" s="43" t="s">
        <v>37</v>
      </c>
      <c r="T991" s="458"/>
      <c r="V991" s="261" t="s">
        <v>128</v>
      </c>
      <c r="W991" s="261"/>
      <c r="X991" s="262" t="s">
        <v>359</v>
      </c>
      <c r="Y991" s="263"/>
      <c r="Z991" s="262" t="s">
        <v>355</v>
      </c>
      <c r="AA991" s="263"/>
      <c r="AB991" s="262" t="s">
        <v>360</v>
      </c>
      <c r="AC991" s="263"/>
      <c r="AD991" s="262" t="s">
        <v>127</v>
      </c>
      <c r="AE991" s="263"/>
      <c r="AF991" s="262" t="s">
        <v>357</v>
      </c>
      <c r="AG991" s="263"/>
      <c r="AH991" s="262" t="s">
        <v>358</v>
      </c>
      <c r="AI991" s="263"/>
      <c r="AJ991" s="262" t="s">
        <v>840</v>
      </c>
      <c r="AK991" s="263"/>
    </row>
    <row r="992" spans="1:37" ht="13.5" customHeight="1" x14ac:dyDescent="0.15">
      <c r="A992" s="395">
        <v>1</v>
      </c>
      <c r="B992" s="531" t="s">
        <v>38</v>
      </c>
      <c r="C992" s="532"/>
      <c r="D992" s="532"/>
      <c r="E992" s="533"/>
      <c r="F992" s="47" t="str">
        <f>VLOOKUP($H:$H,型材表!$B$5:$I$448,2,0)</f>
        <v>边框</v>
      </c>
      <c r="G992" s="45" t="s">
        <v>39</v>
      </c>
      <c r="H992" s="45" t="str">
        <f>IF(G977=55,"SW55K001",IF(G977=551,"SW55BK001",IF(G977=60,"SW60K001",IF(G977=601,"SW60AK001",IF(G977=65,"SW65AK001",IF(G977=70,"SW70K001",IF(G977=75,"SW75K001",IF(G977=50,"SW50K002"))))))))</f>
        <v>SW55K001</v>
      </c>
      <c r="I992" s="207" t="s">
        <v>1169</v>
      </c>
      <c r="J992" s="46">
        <f>M979</f>
        <v>1700</v>
      </c>
      <c r="K992" s="45">
        <v>6</v>
      </c>
      <c r="L992" s="47">
        <f>VLOOKUP($H:$H,型材表!$B$5:$I$448,4,0)</f>
        <v>0.96699999999999997</v>
      </c>
      <c r="M992" s="46">
        <f>J992*K992*L992/1000</f>
        <v>9.8634000000000004</v>
      </c>
      <c r="N992" s="72">
        <f>VLOOKUP($H:$H,型材表!$B$5:$I$448,7,0)</f>
        <v>0</v>
      </c>
      <c r="O992" s="46">
        <f>N992*M992</f>
        <v>0</v>
      </c>
      <c r="P992" s="100">
        <f>VLOOKUP($H:$H,型材表!$B$5:$I$448,5,0)</f>
        <v>0.125</v>
      </c>
      <c r="Q992" s="100" t="str">
        <f>VLOOKUP($H:$H,型材表!$B$5:$I$448,6,0)</f>
        <v>断桥隔热铝型材</v>
      </c>
      <c r="R992" s="49"/>
      <c r="S992" s="50"/>
      <c r="T992" s="459"/>
      <c r="X992" s="264"/>
      <c r="Y992" s="265"/>
      <c r="Z992" s="264"/>
      <c r="AA992" s="265"/>
      <c r="AB992" s="264"/>
      <c r="AC992" s="265"/>
      <c r="AD992" s="264"/>
      <c r="AE992" s="265"/>
      <c r="AF992" s="264"/>
      <c r="AG992" s="265"/>
      <c r="AH992" s="264"/>
      <c r="AI992" s="265"/>
      <c r="AJ992" s="264"/>
      <c r="AK992" s="265"/>
    </row>
    <row r="993" spans="1:37" x14ac:dyDescent="0.15">
      <c r="A993" s="395">
        <v>2</v>
      </c>
      <c r="B993" s="534"/>
      <c r="C993" s="535"/>
      <c r="D993" s="535"/>
      <c r="E993" s="536"/>
      <c r="F993" s="47" t="str">
        <f>VLOOKUP($H:$H,型材表!$B$5:$I$448,2,0)</f>
        <v>边框</v>
      </c>
      <c r="G993" s="45" t="s">
        <v>40</v>
      </c>
      <c r="H993" s="45" t="str">
        <f>H992</f>
        <v>SW55K001</v>
      </c>
      <c r="I993" s="207" t="s">
        <v>1583</v>
      </c>
      <c r="J993" s="46">
        <f>IF(G977=55,M980-V993*2,IF(G977=551*2,M980-X993,IF(G977=60,M980-Z993*2,IF(G977=601,M980-AB993*2,IF(G977=65,M980-AD993*2,IF(G977=70,M980-AF993*2,IF(G977=75,M980-AH993*2,IF(G977=50,M980-AJ993*2))))))))</f>
        <v>2680</v>
      </c>
      <c r="K993" s="45">
        <v>2</v>
      </c>
      <c r="L993" s="47">
        <f>VLOOKUP($H:$H,型材表!$B$5:$I$448,4,0)</f>
        <v>0.96699999999999997</v>
      </c>
      <c r="M993" s="46">
        <f t="shared" ref="M993" si="188">J993*K993*L993/1000</f>
        <v>5.1831199999999997</v>
      </c>
      <c r="N993" s="72">
        <f>VLOOKUP($H:$H,型材表!$B$5:$I$448,7,0)</f>
        <v>0</v>
      </c>
      <c r="O993" s="46">
        <f t="shared" ref="O993" si="189">N993*M993</f>
        <v>0</v>
      </c>
      <c r="P993" s="100">
        <f>VLOOKUP($H:$H,型材表!$B$5:$I$448,5,0)</f>
        <v>0.125</v>
      </c>
      <c r="Q993" s="100" t="str">
        <f>VLOOKUP($H:$H,型材表!$B$5:$I$448,6,0)</f>
        <v>断桥隔热铝型材</v>
      </c>
      <c r="R993" s="49"/>
      <c r="S993" s="50"/>
      <c r="T993" s="459"/>
      <c r="U993" s="374" t="s">
        <v>1581</v>
      </c>
      <c r="V993" s="266">
        <f>55*2</f>
        <v>110</v>
      </c>
      <c r="W993" s="265"/>
      <c r="X993" s="264">
        <f>55*2</f>
        <v>110</v>
      </c>
      <c r="Y993" s="265"/>
      <c r="Z993" s="264">
        <f>60.2*2</f>
        <v>120.4</v>
      </c>
      <c r="AA993" s="265"/>
      <c r="AB993" s="264">
        <f>60.4*2</f>
        <v>120.8</v>
      </c>
      <c r="AC993" s="265"/>
      <c r="AD993" s="264">
        <f>64.2*2</f>
        <v>128.4</v>
      </c>
      <c r="AE993" s="265"/>
      <c r="AF993" s="264">
        <f>70.2*2</f>
        <v>140.4</v>
      </c>
      <c r="AG993" s="265"/>
      <c r="AH993" s="264">
        <f>74.2*2</f>
        <v>148.4</v>
      </c>
      <c r="AI993" s="265"/>
      <c r="AJ993" s="264">
        <f>50*2</f>
        <v>100</v>
      </c>
      <c r="AK993" s="265"/>
    </row>
    <row r="994" spans="1:37" x14ac:dyDescent="0.15">
      <c r="A994" s="395">
        <v>3</v>
      </c>
      <c r="B994" s="534"/>
      <c r="C994" s="535"/>
      <c r="D994" s="535"/>
      <c r="E994" s="536"/>
      <c r="F994" s="47"/>
      <c r="G994" s="207"/>
      <c r="H994" s="207"/>
      <c r="I994" s="207"/>
      <c r="J994" s="208"/>
      <c r="K994" s="207"/>
      <c r="L994" s="47"/>
      <c r="M994" s="46"/>
      <c r="N994" s="72"/>
      <c r="O994" s="46"/>
      <c r="P994" s="100"/>
      <c r="Q994" s="100"/>
      <c r="R994" s="210"/>
      <c r="S994" s="50"/>
      <c r="T994" s="459"/>
      <c r="X994" s="264"/>
      <c r="Y994" s="265"/>
      <c r="Z994" s="264"/>
      <c r="AA994" s="265"/>
      <c r="AB994" s="264"/>
      <c r="AC994" s="265"/>
      <c r="AD994" s="264"/>
      <c r="AE994" s="265"/>
      <c r="AF994" s="264"/>
      <c r="AG994" s="265"/>
      <c r="AH994" s="264"/>
      <c r="AI994" s="265"/>
      <c r="AJ994" s="264"/>
      <c r="AK994" s="265"/>
    </row>
    <row r="995" spans="1:37" s="229" customFormat="1" x14ac:dyDescent="0.15">
      <c r="A995" s="395">
        <v>4</v>
      </c>
      <c r="B995" s="537"/>
      <c r="C995" s="538"/>
      <c r="D995" s="538"/>
      <c r="E995" s="539"/>
      <c r="F995" s="221"/>
      <c r="G995" s="222"/>
      <c r="H995" s="222"/>
      <c r="I995" s="222"/>
      <c r="J995" s="223"/>
      <c r="K995" s="222"/>
      <c r="L995" s="221"/>
      <c r="M995" s="224"/>
      <c r="N995" s="225"/>
      <c r="O995" s="224"/>
      <c r="P995" s="226"/>
      <c r="Q995" s="100"/>
      <c r="R995" s="227"/>
      <c r="S995" s="228"/>
      <c r="T995" s="467"/>
      <c r="U995" s="375"/>
      <c r="V995" s="266"/>
      <c r="W995" s="266"/>
      <c r="X995" s="267"/>
      <c r="Y995" s="268"/>
      <c r="Z995" s="267"/>
      <c r="AA995" s="268"/>
      <c r="AB995" s="267"/>
      <c r="AC995" s="268"/>
      <c r="AD995" s="267"/>
      <c r="AE995" s="268"/>
      <c r="AF995" s="267"/>
      <c r="AG995" s="268"/>
      <c r="AH995" s="267"/>
      <c r="AI995" s="268"/>
      <c r="AJ995" s="267"/>
      <c r="AK995" s="268"/>
    </row>
    <row r="996" spans="1:37" ht="13.5" customHeight="1" x14ac:dyDescent="0.15">
      <c r="A996" s="395">
        <v>5</v>
      </c>
      <c r="B996" s="531" t="s">
        <v>41</v>
      </c>
      <c r="C996" s="532"/>
      <c r="D996" s="532"/>
      <c r="E996" s="533"/>
      <c r="F996" s="47" t="str">
        <f>VLOOKUP($H:$H,型材表!$B$5:$I$448,2,0)</f>
        <v>外开扇</v>
      </c>
      <c r="G996" s="45" t="s">
        <v>39</v>
      </c>
      <c r="H996" s="45" t="str">
        <f>IF(G977=55,"SW55S001",IF(G977=551,"SW55BS001",IF(G977=60,"SW60S001",IF(G977=601,"SW60AS001",IF(G977=65,"SW65AS001",IF(G977=70,"SW70S001",IF(G977=75,"SW75S001",IF(G977=50,"SW50S001"))))))))</f>
        <v>SW55S001</v>
      </c>
      <c r="I996" s="207" t="s">
        <v>1470</v>
      </c>
      <c r="J996" s="46">
        <f>IF(G977=55,M981-V996,IF(G977=551,M981-X996,IF(G977=60,M981-Z996,IF(G977=601,M981-AB996,IF(G977=65,M981-AD996,IF(G977=70,M981-AF996,IF(G977=75,M981-AH996,IF(G977=50,M981-AJ996))))))))</f>
        <v>1117.2</v>
      </c>
      <c r="K996" s="45">
        <v>2</v>
      </c>
      <c r="L996" s="47">
        <f>VLOOKUP($H:$H,型材表!$B$5:$I$448,4,0)</f>
        <v>1.4450000000000001</v>
      </c>
      <c r="M996" s="46">
        <f t="shared" ref="M996:M1001" si="190">J996*K996*L996/1000</f>
        <v>3.2287080000000001</v>
      </c>
      <c r="N996" s="72">
        <f>VLOOKUP($H:$H,型材表!$B$5:$I$448,7,0)</f>
        <v>0</v>
      </c>
      <c r="O996" s="46">
        <f t="shared" ref="O996:O1001" si="191">N996*M996</f>
        <v>0</v>
      </c>
      <c r="P996" s="100">
        <f>VLOOKUP($H:$H,型材表!$B$5:$I$448,5,0)</f>
        <v>0.125</v>
      </c>
      <c r="Q996" s="100" t="str">
        <f>VLOOKUP($H:$H,型材表!$B$5:$I$448,6,0)</f>
        <v>断桥隔热铝型材</v>
      </c>
      <c r="R996" s="49"/>
      <c r="S996" s="50"/>
      <c r="T996" s="459"/>
      <c r="U996" s="374" t="s">
        <v>1247</v>
      </c>
      <c r="V996" s="259">
        <f>48.9+33.9</f>
        <v>82.8</v>
      </c>
      <c r="X996" s="286">
        <f>48.9+33.9</f>
        <v>82.8</v>
      </c>
      <c r="Y996" s="265"/>
      <c r="Z996" s="286">
        <f>48.9+33.9</f>
        <v>82.8</v>
      </c>
      <c r="AA996" s="265"/>
      <c r="AB996" s="286">
        <f>48.9+33.9</f>
        <v>82.8</v>
      </c>
      <c r="AC996" s="265"/>
      <c r="AD996" s="286">
        <f>48.9+33.9</f>
        <v>82.8</v>
      </c>
      <c r="AE996" s="265"/>
      <c r="AF996" s="286">
        <f>50.9+35.9</f>
        <v>86.8</v>
      </c>
      <c r="AG996" s="265"/>
      <c r="AH996" s="286">
        <f>50.9+35.9</f>
        <v>86.8</v>
      </c>
      <c r="AI996" s="265"/>
      <c r="AJ996" s="264">
        <f>45.7+30.4</f>
        <v>76.099999999999994</v>
      </c>
      <c r="AK996" s="265"/>
    </row>
    <row r="997" spans="1:37" x14ac:dyDescent="0.15">
      <c r="A997" s="395">
        <v>6</v>
      </c>
      <c r="B997" s="534"/>
      <c r="C997" s="535"/>
      <c r="D997" s="535"/>
      <c r="E997" s="536"/>
      <c r="F997" s="47" t="str">
        <f>VLOOKUP($H:$H,型材表!$B$5:$I$448,2,0)</f>
        <v>外开扇</v>
      </c>
      <c r="G997" s="45" t="s">
        <v>40</v>
      </c>
      <c r="H997" s="207" t="str">
        <f>H996</f>
        <v>SW55S001</v>
      </c>
      <c r="I997" s="207" t="s">
        <v>1666</v>
      </c>
      <c r="J997" s="208">
        <f>IF(G977=55,M984-V997-V993/2,IF(G977=551,M984-X997-X993/2,IF(G977=60,M984-Z997-Z993/2,IF(G977=601,M984-AB997-AB993/2,IF(G977=65,M984-AD997-AD993/2,IF(G977=70,M984-AF997-AF993/2,IF(G977=75,M984-AH997-AH993/2,IF(G977=50,M984-AJ997-AJ993/2))))))))</f>
        <v>562.20000000000005</v>
      </c>
      <c r="K997" s="207">
        <v>2</v>
      </c>
      <c r="L997" s="47">
        <f>VLOOKUP($H:$H,型材表!$B$5:$I$448,4,0)</f>
        <v>1.4450000000000001</v>
      </c>
      <c r="M997" s="46">
        <f t="shared" si="190"/>
        <v>1.6247580000000004</v>
      </c>
      <c r="N997" s="72">
        <f>VLOOKUP($H:$H,型材表!$B$5:$I$448,7,0)</f>
        <v>0</v>
      </c>
      <c r="O997" s="46">
        <f t="shared" si="191"/>
        <v>0</v>
      </c>
      <c r="P997" s="100">
        <f>VLOOKUP($H:$H,型材表!$B$5:$I$448,5,0)</f>
        <v>0.125</v>
      </c>
      <c r="Q997" s="100" t="str">
        <f>VLOOKUP($H:$H,型材表!$B$5:$I$448,6,0)</f>
        <v>断桥隔热铝型材</v>
      </c>
      <c r="R997" s="210"/>
      <c r="S997" s="50"/>
      <c r="T997" s="459"/>
      <c r="U997" s="374" t="s">
        <v>1575</v>
      </c>
      <c r="V997" s="259">
        <f>48.9+33.9</f>
        <v>82.8</v>
      </c>
      <c r="X997" s="286">
        <f>48.9+33.9</f>
        <v>82.8</v>
      </c>
      <c r="Y997" s="265"/>
      <c r="Z997" s="286">
        <f>48.9+33.9</f>
        <v>82.8</v>
      </c>
      <c r="AA997" s="265"/>
      <c r="AB997" s="286">
        <f>48.9+33.9</f>
        <v>82.8</v>
      </c>
      <c r="AC997" s="265"/>
      <c r="AD997" s="286">
        <f>48.9+33.9</f>
        <v>82.8</v>
      </c>
      <c r="AE997" s="265"/>
      <c r="AF997" s="286">
        <f>50.9+35.9</f>
        <v>86.8</v>
      </c>
      <c r="AG997" s="265"/>
      <c r="AH997" s="286">
        <f>50.9+35.9</f>
        <v>86.8</v>
      </c>
      <c r="AI997" s="265"/>
      <c r="AJ997" s="264">
        <f>45.7+30.4</f>
        <v>76.099999999999994</v>
      </c>
      <c r="AK997" s="265"/>
    </row>
    <row r="998" spans="1:37" x14ac:dyDescent="0.15">
      <c r="A998" s="395">
        <v>7</v>
      </c>
      <c r="B998" s="534"/>
      <c r="C998" s="535"/>
      <c r="D998" s="535"/>
      <c r="E998" s="536"/>
      <c r="F998" s="47" t="str">
        <f>VLOOKUP($H:$H,型材表!$B$5:$I$448,2,0)</f>
        <v>中梃</v>
      </c>
      <c r="G998" s="45" t="s">
        <v>39</v>
      </c>
      <c r="H998" s="45" t="str">
        <f>IF(G977=55,"SW55T001",IF(G977=551,"SW55BT001",IF(G977=60,"SW60T001",IF(G977=601,"SW60AT001",IF(G977=65,"SW65AT001",IF(G977=70,"SW70T001",IF(G977=75,"SW75T001",IF(G977=50,"SW50Z001"))))))))</f>
        <v>SW55T001</v>
      </c>
      <c r="I998" s="207" t="s">
        <v>1237</v>
      </c>
      <c r="J998" s="46">
        <f>IF(G977=55,M979-V998,IF(G977=551,M979-X998,IF(G977=60,M979-Z998,IF(G977=601,M979-AB998,IF(G977=65,M979-AD998,IF(G977=70,M979-AF998,IF(G977=75,M979-AH998,IF(G977=50,M979-AJ998))))))))</f>
        <v>1654</v>
      </c>
      <c r="K998" s="45">
        <v>1</v>
      </c>
      <c r="L998" s="47">
        <f>VLOOKUP($H:$H,型材表!$B$5:$I$448,4,0)</f>
        <v>1.113</v>
      </c>
      <c r="M998" s="46">
        <f t="shared" si="190"/>
        <v>1.840902</v>
      </c>
      <c r="N998" s="72">
        <f>VLOOKUP($H:$H,型材表!$B$5:$I$448,7,0)</f>
        <v>0</v>
      </c>
      <c r="O998" s="46">
        <f t="shared" si="191"/>
        <v>0</v>
      </c>
      <c r="P998" s="100">
        <f>VLOOKUP($H:$H,型材表!$B$5:$I$448,5,0)</f>
        <v>0.125</v>
      </c>
      <c r="Q998" s="100" t="str">
        <f>VLOOKUP($H:$H,型材表!$B$5:$I$448,6,0)</f>
        <v>断桥隔热铝型材</v>
      </c>
      <c r="R998" s="49"/>
      <c r="S998" s="50"/>
      <c r="T998" s="459"/>
      <c r="U998" s="374" t="s">
        <v>1234</v>
      </c>
      <c r="V998" s="259">
        <f>23*2</f>
        <v>46</v>
      </c>
      <c r="X998" s="286">
        <f>23*2</f>
        <v>46</v>
      </c>
      <c r="Y998" s="265"/>
      <c r="Z998" s="286">
        <f>23*2</f>
        <v>46</v>
      </c>
      <c r="AA998" s="265"/>
      <c r="AB998" s="286">
        <f>23*2</f>
        <v>46</v>
      </c>
      <c r="AC998" s="265"/>
      <c r="AD998" s="286">
        <f>23*2</f>
        <v>46</v>
      </c>
      <c r="AE998" s="265"/>
      <c r="AF998" s="286">
        <f>23*2</f>
        <v>46</v>
      </c>
      <c r="AG998" s="265"/>
      <c r="AH998" s="286">
        <f>23*2</f>
        <v>46</v>
      </c>
      <c r="AI998" s="265"/>
      <c r="AJ998" s="264">
        <f>23.3*2</f>
        <v>46.6</v>
      </c>
      <c r="AK998" s="265"/>
    </row>
    <row r="999" spans="1:37" x14ac:dyDescent="0.15">
      <c r="A999" s="395">
        <v>8</v>
      </c>
      <c r="B999" s="534"/>
      <c r="C999" s="535"/>
      <c r="D999" s="535"/>
      <c r="E999" s="536"/>
      <c r="F999" s="47" t="str">
        <f>VLOOKUP($H:$H,型材表!$B$5:$I$448,2,0)</f>
        <v>中梃</v>
      </c>
      <c r="G999" s="45" t="s">
        <v>40</v>
      </c>
      <c r="H999" s="207" t="str">
        <f>IF(G977=55,"SW55T001",IF(G977=551,"SW55BT001",IF(G977=60,"SW60T001",IF(G977=601,"SW60AT001",IF(G977=65,"SW65AT001",IF(G977=70,"SW70T001",IF(G977=75,"SW75T001",IF(G977=50,"SW50Z001"))))))))</f>
        <v>SW55T001</v>
      </c>
      <c r="I999" s="207" t="s">
        <v>1660</v>
      </c>
      <c r="J999" s="208">
        <f>IF(G977=55,M984-V999-V993/2,IF(G977=551,M984-X999-X993/2,IF(G977=60,M984-Z999-Z993/2,IF(G977=601,M984-AB999-AB993/2,IF(G977=65,M984-AD999-AD993/2,IF(G977=70,M984-AF999-AF993/2,IF(G977=75,M984-AH999-AH993/2,IF(G977=50,M984-AJ999-AJ993/2))))))))</f>
        <v>614</v>
      </c>
      <c r="K999" s="207">
        <v>1</v>
      </c>
      <c r="L999" s="47">
        <f>VLOOKUP($H:$H,型材表!$B$5:$I$448,4,0)</f>
        <v>1.113</v>
      </c>
      <c r="M999" s="46">
        <f t="shared" si="190"/>
        <v>0.68338199999999993</v>
      </c>
      <c r="N999" s="72">
        <f>VLOOKUP($H:$H,型材表!$B$5:$I$448,7,0)</f>
        <v>0</v>
      </c>
      <c r="O999" s="46">
        <f t="shared" si="191"/>
        <v>0</v>
      </c>
      <c r="P999" s="100">
        <f>VLOOKUP($H:$H,型材表!$B$5:$I$448,5,0)</f>
        <v>0.125</v>
      </c>
      <c r="Q999" s="100" t="str">
        <f>VLOOKUP($H:$H,型材表!$B$5:$I$448,6,0)</f>
        <v>断桥隔热铝型材</v>
      </c>
      <c r="R999" s="210"/>
      <c r="S999" s="50"/>
      <c r="T999" s="459"/>
      <c r="U999" s="374" t="s">
        <v>1249</v>
      </c>
      <c r="V999" s="259">
        <f>23+8</f>
        <v>31</v>
      </c>
      <c r="X999" s="286">
        <f>23+8</f>
        <v>31</v>
      </c>
      <c r="Y999" s="265"/>
      <c r="Z999" s="286">
        <f>23+8</f>
        <v>31</v>
      </c>
      <c r="AA999" s="265"/>
      <c r="AB999" s="286">
        <f>23+8</f>
        <v>31</v>
      </c>
      <c r="AC999" s="265"/>
      <c r="AD999" s="286">
        <f>23+8</f>
        <v>31</v>
      </c>
      <c r="AE999" s="265"/>
      <c r="AF999" s="286">
        <f>23+8</f>
        <v>31</v>
      </c>
      <c r="AG999" s="265"/>
      <c r="AH999" s="286">
        <f>23+8</f>
        <v>31</v>
      </c>
      <c r="AI999" s="265"/>
      <c r="AJ999" s="264">
        <f>8+23.3</f>
        <v>31.3</v>
      </c>
      <c r="AK999" s="265"/>
    </row>
    <row r="1000" spans="1:37" s="315" customFormat="1" x14ac:dyDescent="0.15">
      <c r="A1000" s="395">
        <v>9</v>
      </c>
      <c r="B1000" s="534"/>
      <c r="C1000" s="535"/>
      <c r="D1000" s="535"/>
      <c r="E1000" s="536"/>
      <c r="F1000" s="310" t="str">
        <f>VLOOKUP($H:$H,型材表!$B$5:$I$448,2,0)</f>
        <v>转向框</v>
      </c>
      <c r="G1000" s="116" t="s">
        <v>39</v>
      </c>
      <c r="H1000" s="116" t="str">
        <f>IF(G977=55,"SW55K102",IF(G977=551,"SW55BK102",IF(G977=60,"SW60K102",IF(G977=601,"SW60AK102",IF(G977=65,"SW65AK102",IF(G977=70,"SW70K102",IF(G977=75,"SW75K102",IF(G977=50,"SW50K101"))))))))</f>
        <v>SW55K102</v>
      </c>
      <c r="I1000" s="207" t="s">
        <v>1240</v>
      </c>
      <c r="J1000" s="147">
        <f>IF(G977=55,M981-V1000,IF(G977=551,M981-X1000,IF(G977=60,M981-Z1000,IF(G977=601,M981-AB1000,IF(G977=65,M981-AD1000,IF(G977=70,M981-AF1000,IF(G977=75,M981-AH1000,IF(G977=50,M981-AJ1000))))))))</f>
        <v>1161.7</v>
      </c>
      <c r="K1000" s="116">
        <v>2</v>
      </c>
      <c r="L1000" s="310">
        <f>VLOOKUP($H:$H,型材表!$B$5:$I$448,4,0)</f>
        <v>0.92300000000000004</v>
      </c>
      <c r="M1000" s="147">
        <f t="shared" si="190"/>
        <v>2.1444982000000001</v>
      </c>
      <c r="N1000" s="311">
        <f>VLOOKUP($H:$H,型材表!$B$5:$I$448,7,0)</f>
        <v>0</v>
      </c>
      <c r="O1000" s="147">
        <f t="shared" si="191"/>
        <v>0</v>
      </c>
      <c r="P1000" s="312">
        <f>VLOOKUP($H:$H,型材表!$B$5:$I$448,5,0)</f>
        <v>0.125</v>
      </c>
      <c r="Q1000" s="100" t="str">
        <f>VLOOKUP($H:$H,型材表!$B$5:$I$448,6,0)</f>
        <v>断桥隔热铝型材</v>
      </c>
      <c r="R1000" s="313"/>
      <c r="S1000" s="314"/>
      <c r="T1000" s="469"/>
      <c r="U1000" s="376" t="s">
        <v>1250</v>
      </c>
      <c r="V1000" s="316">
        <f>25.3+13</f>
        <v>38.299999999999997</v>
      </c>
      <c r="W1000" s="316"/>
      <c r="X1000" s="317">
        <f>25.3+13</f>
        <v>38.299999999999997</v>
      </c>
      <c r="Y1000" s="318"/>
      <c r="Z1000" s="317">
        <f>25.3+13</f>
        <v>38.299999999999997</v>
      </c>
      <c r="AA1000" s="318"/>
      <c r="AB1000" s="317">
        <f>25.3+13</f>
        <v>38.299999999999997</v>
      </c>
      <c r="AC1000" s="318"/>
      <c r="AD1000" s="317">
        <f>25.3+13</f>
        <v>38.299999999999997</v>
      </c>
      <c r="AE1000" s="318"/>
      <c r="AF1000" s="317">
        <f>25.3+10.3</f>
        <v>35.6</v>
      </c>
      <c r="AG1000" s="318"/>
      <c r="AH1000" s="317">
        <f>25.3+10.3</f>
        <v>35.6</v>
      </c>
      <c r="AI1000" s="318"/>
      <c r="AJ1000" s="317">
        <f>10+25.3</f>
        <v>35.299999999999997</v>
      </c>
      <c r="AK1000" s="318"/>
    </row>
    <row r="1001" spans="1:37" s="315" customFormat="1" x14ac:dyDescent="0.15">
      <c r="A1001" s="395">
        <v>10</v>
      </c>
      <c r="B1001" s="534"/>
      <c r="C1001" s="535"/>
      <c r="D1001" s="535"/>
      <c r="E1001" s="536"/>
      <c r="F1001" s="310" t="str">
        <f>VLOOKUP($H:$H,型材表!$B$5:$I$448,2,0)</f>
        <v>转向框</v>
      </c>
      <c r="G1001" s="116" t="s">
        <v>40</v>
      </c>
      <c r="H1001" s="328" t="str">
        <f>H1000</f>
        <v>SW55K102</v>
      </c>
      <c r="I1001" s="207" t="s">
        <v>1580</v>
      </c>
      <c r="J1001" s="329">
        <f>IF(G977=55,M984-V1001-V993/2,IF(G977=551,M984-X1001-X993/2,IF(G977=60,M984-Z1001-Z993/2,IF(G977=601,M984-AB1001-AB993/2,IF(G977=65,M984-AD1001-AD993/2,IF(G977=70,M984-AF1001-AF993/2,IF(G977=75,M984-AH1001-AH993/2,IF(G977=50,M984-AJ1001-AJ993/2))))))))</f>
        <v>606.70000000000005</v>
      </c>
      <c r="K1001" s="328">
        <v>2</v>
      </c>
      <c r="L1001" s="310">
        <f>VLOOKUP($H:$H,型材表!$B$5:$I$448,4,0)</f>
        <v>0.92300000000000004</v>
      </c>
      <c r="M1001" s="147">
        <f t="shared" si="190"/>
        <v>1.1199682</v>
      </c>
      <c r="N1001" s="311">
        <f>VLOOKUP($H:$H,型材表!$B$5:$I$448,7,0)</f>
        <v>0</v>
      </c>
      <c r="O1001" s="147">
        <f t="shared" si="191"/>
        <v>0</v>
      </c>
      <c r="P1001" s="312">
        <f>VLOOKUP($H:$H,型材表!$B$5:$I$448,5,0)</f>
        <v>0.125</v>
      </c>
      <c r="Q1001" s="100" t="str">
        <f>VLOOKUP($H:$H,型材表!$B$5:$I$448,6,0)</f>
        <v>断桥隔热铝型材</v>
      </c>
      <c r="R1001" s="330"/>
      <c r="S1001" s="314"/>
      <c r="T1001" s="469"/>
      <c r="U1001" s="376" t="s">
        <v>1577</v>
      </c>
      <c r="V1001" s="316">
        <f>25.3+13</f>
        <v>38.299999999999997</v>
      </c>
      <c r="W1001" s="316"/>
      <c r="X1001" s="317">
        <f>25.3+13</f>
        <v>38.299999999999997</v>
      </c>
      <c r="Y1001" s="318"/>
      <c r="Z1001" s="317">
        <f>25.3+13</f>
        <v>38.299999999999997</v>
      </c>
      <c r="AA1001" s="318"/>
      <c r="AB1001" s="317">
        <f>25.3+13</f>
        <v>38.299999999999997</v>
      </c>
      <c r="AC1001" s="318"/>
      <c r="AD1001" s="317">
        <f>25.3+13</f>
        <v>38.299999999999997</v>
      </c>
      <c r="AE1001" s="318"/>
      <c r="AF1001" s="317">
        <f>25.3+10.3</f>
        <v>35.6</v>
      </c>
      <c r="AG1001" s="318"/>
      <c r="AH1001" s="317">
        <f>25.3+10.3</f>
        <v>35.6</v>
      </c>
      <c r="AI1001" s="318"/>
      <c r="AJ1001" s="317">
        <f>10+25.3</f>
        <v>35.299999999999997</v>
      </c>
      <c r="AK1001" s="318"/>
    </row>
    <row r="1002" spans="1:37" x14ac:dyDescent="0.15">
      <c r="A1002" s="395">
        <v>11</v>
      </c>
      <c r="B1002" s="537"/>
      <c r="C1002" s="538"/>
      <c r="D1002" s="538"/>
      <c r="E1002" s="539"/>
      <c r="F1002" s="47"/>
      <c r="G1002" s="45"/>
      <c r="H1002" s="45"/>
      <c r="I1002" s="207"/>
      <c r="J1002" s="46"/>
      <c r="K1002" s="45"/>
      <c r="L1002" s="47"/>
      <c r="M1002" s="46"/>
      <c r="N1002" s="72"/>
      <c r="O1002" s="46"/>
      <c r="P1002" s="100"/>
      <c r="Q1002" s="100"/>
      <c r="R1002" s="49"/>
      <c r="S1002" s="50"/>
      <c r="T1002" s="459"/>
      <c r="X1002" s="264"/>
      <c r="Y1002" s="265"/>
      <c r="Z1002" s="264"/>
      <c r="AA1002" s="265"/>
      <c r="AB1002" s="264"/>
      <c r="AC1002" s="265"/>
      <c r="AD1002" s="264"/>
      <c r="AE1002" s="265"/>
      <c r="AF1002" s="264"/>
      <c r="AG1002" s="265"/>
      <c r="AH1002" s="264"/>
      <c r="AI1002" s="265"/>
      <c r="AJ1002" s="264"/>
      <c r="AK1002" s="265"/>
    </row>
    <row r="1003" spans="1:37" x14ac:dyDescent="0.15">
      <c r="A1003" s="395">
        <v>12</v>
      </c>
      <c r="B1003" s="542" t="s">
        <v>150</v>
      </c>
      <c r="C1003" s="543"/>
      <c r="D1003" s="543"/>
      <c r="E1003" s="544"/>
      <c r="F1003" s="310" t="str">
        <f>VLOOKUP($H:$H,型材表!$B$5:$I$448,2,0)</f>
        <v>转角料</v>
      </c>
      <c r="G1003" s="207"/>
      <c r="H1003" s="207" t="str">
        <f>IF(G977=55,"SN55J001",IF(G977=551,"SN55BJ001",IF(G977=60,"SN60J001",IF(G977=601,"SN60AJ001",IF(G977=65,"SN65AJ001",IF(G977=70,"SN70J001",IF(G977=75,"SN75J001",IF(G977=50,"SW50F005"))))))))</f>
        <v>SN55J001</v>
      </c>
      <c r="I1003" s="207" t="s">
        <v>1169</v>
      </c>
      <c r="J1003" s="208">
        <f>M979</f>
        <v>1700</v>
      </c>
      <c r="K1003" s="207">
        <v>2</v>
      </c>
      <c r="L1003" s="310">
        <f>VLOOKUP($H:$H,型材表!$B$5:$I$448,4,0)</f>
        <v>1.2430000000000001</v>
      </c>
      <c r="M1003" s="147">
        <f t="shared" ref="M1003:M1014" si="192">J1003*K1003*L1003/1000</f>
        <v>4.2262000000000004</v>
      </c>
      <c r="N1003" s="311">
        <f>VLOOKUP($H:$H,型材表!$B$5:$I$448,7,0)</f>
        <v>0</v>
      </c>
      <c r="O1003" s="147">
        <f t="shared" ref="O1003:O1014" si="193">N1003*M1003</f>
        <v>0</v>
      </c>
      <c r="P1003" s="312">
        <f>VLOOKUP($H:$H,型材表!$B$5:$I$448,5,0)</f>
        <v>0.125</v>
      </c>
      <c r="Q1003" s="100" t="str">
        <f>VLOOKUP($H:$H,型材表!$B$5:$I$448,6,0)</f>
        <v>断桥隔热铝型材</v>
      </c>
      <c r="R1003" s="210"/>
      <c r="S1003" s="50"/>
      <c r="T1003" s="459"/>
      <c r="X1003" s="264"/>
      <c r="Y1003" s="265"/>
      <c r="Z1003" s="264"/>
      <c r="AA1003" s="265"/>
      <c r="AB1003" s="264"/>
      <c r="AC1003" s="265"/>
      <c r="AD1003" s="264"/>
      <c r="AE1003" s="265"/>
      <c r="AF1003" s="264"/>
      <c r="AG1003" s="265"/>
      <c r="AH1003" s="264"/>
      <c r="AI1003" s="265"/>
      <c r="AJ1003" s="264"/>
      <c r="AK1003" s="265"/>
    </row>
    <row r="1004" spans="1:37" ht="13.5" customHeight="1" x14ac:dyDescent="0.15">
      <c r="A1004" s="395">
        <v>13</v>
      </c>
      <c r="B1004" s="531" t="s">
        <v>44</v>
      </c>
      <c r="C1004" s="532"/>
      <c r="D1004" s="532"/>
      <c r="E1004" s="533"/>
      <c r="F1004" s="47" t="str">
        <f>VLOOKUP($H:$H,型材表!$B$5:$I$448,2,0)</f>
        <v>压线</v>
      </c>
      <c r="G1004" s="45" t="s">
        <v>39</v>
      </c>
      <c r="H1004" s="45" t="str">
        <f>IF(G977=55,"SN55Y001",IF(G977=551,"SW55BY001",IF(G977=60,"SN60Y001",IF(G977=601,"SW60AY001",IF(G977=65,"SN65AY001",IF(G977=70,"SN70Y001",IF(G977=75,"SN75Y001",IF(G977=50,"SW50Y001"))))))))</f>
        <v>SN55Y001</v>
      </c>
      <c r="I1004" s="207" t="s">
        <v>1241</v>
      </c>
      <c r="J1004" s="52">
        <f>IF(G977=55,M981-V1004,IF(G977=551,M981-X1004,IF(G977=60,M981-Z1004,IF(G977=601,M981-AB1004,IF(G977=65,M981-AD1004,IF(G977=70,M981-AF1004,IF(G977=75,M981-AH1004,IF(G977=50,M981-AJ1004))))))))</f>
        <v>1015.2</v>
      </c>
      <c r="K1004" s="45">
        <f>K997</f>
        <v>2</v>
      </c>
      <c r="L1004" s="47">
        <f>VLOOKUP($H:$H,型材表!$B$5:$I$448,4,0)</f>
        <v>0.214</v>
      </c>
      <c r="M1004" s="46">
        <f t="shared" si="192"/>
        <v>0.43450559999999999</v>
      </c>
      <c r="N1004" s="72">
        <f>VLOOKUP($H:$H,型材表!$B$5:$I$448,7,0)</f>
        <v>0</v>
      </c>
      <c r="O1004" s="46">
        <f t="shared" si="193"/>
        <v>0</v>
      </c>
      <c r="P1004" s="100">
        <f>VLOOKUP($H:$H,型材表!$B$5:$I$448,5,0)</f>
        <v>0.125</v>
      </c>
      <c r="Q1004" s="100" t="str">
        <f>VLOOKUP($H:$H,型材表!$B$5:$I$448,6,0)</f>
        <v>非断桥隔热铝型材</v>
      </c>
      <c r="R1004" s="49"/>
      <c r="S1004" s="50"/>
      <c r="T1004" s="459"/>
      <c r="U1004" s="374" t="s">
        <v>1251</v>
      </c>
      <c r="V1004" s="269">
        <f>99.9+84.9</f>
        <v>184.8</v>
      </c>
      <c r="X1004" s="279">
        <f>99.9+84.9</f>
        <v>184.8</v>
      </c>
      <c r="Y1004" s="265"/>
      <c r="Z1004" s="279">
        <f>99.9+84.9</f>
        <v>184.8</v>
      </c>
      <c r="AA1004" s="265"/>
      <c r="AB1004" s="279">
        <f>99.9+84.9</f>
        <v>184.8</v>
      </c>
      <c r="AC1004" s="265"/>
      <c r="AD1004" s="279">
        <f>99.9+84.9</f>
        <v>184.8</v>
      </c>
      <c r="AE1004" s="265"/>
      <c r="AF1004" s="279">
        <f>105.4+90.4</f>
        <v>195.8</v>
      </c>
      <c r="AG1004" s="265"/>
      <c r="AH1004" s="279">
        <f>105.4+90.4</f>
        <v>195.8</v>
      </c>
      <c r="AI1004" s="265"/>
      <c r="AJ1004" s="279">
        <f>90.4+75.1</f>
        <v>165.5</v>
      </c>
      <c r="AK1004" s="265"/>
    </row>
    <row r="1005" spans="1:37" ht="13.5" customHeight="1" x14ac:dyDescent="0.15">
      <c r="A1005" s="395">
        <v>14</v>
      </c>
      <c r="B1005" s="534"/>
      <c r="C1005" s="535"/>
      <c r="D1005" s="535"/>
      <c r="E1005" s="536"/>
      <c r="F1005" s="47" t="str">
        <f>VLOOKUP($H:$H,型材表!$B$5:$I$448,2,0)</f>
        <v>压线</v>
      </c>
      <c r="G1005" s="45" t="s">
        <v>39</v>
      </c>
      <c r="H1005" s="207" t="str">
        <f>H1004</f>
        <v>SN55Y001</v>
      </c>
      <c r="I1005" s="207" t="s">
        <v>1242</v>
      </c>
      <c r="J1005" s="214">
        <f>IF(G977=55,M982-V1005,IF(G977=551,M982-X1005,IF(G977=60,M982-Z1005,IF(G977=601,M982-AB1005,IF(G977=65,M982-AD1005,IF(G977=70,M982-AF1005,IF(G977=75,M982-AH1005,IF(G977=50,M982-AJ1005))))))))</f>
        <v>469</v>
      </c>
      <c r="K1005" s="207">
        <v>2</v>
      </c>
      <c r="L1005" s="47">
        <f>VLOOKUP($H:$H,型材表!$B$5:$I$448,4,0)</f>
        <v>0.214</v>
      </c>
      <c r="M1005" s="46">
        <f t="shared" si="192"/>
        <v>0.20073199999999999</v>
      </c>
      <c r="N1005" s="72">
        <f>VLOOKUP($H:$H,型材表!$B$5:$I$448,7,0)</f>
        <v>0</v>
      </c>
      <c r="O1005" s="46">
        <f t="shared" si="193"/>
        <v>0</v>
      </c>
      <c r="P1005" s="100">
        <f>VLOOKUP($H:$H,型材表!$B$5:$I$448,5,0)</f>
        <v>0.125</v>
      </c>
      <c r="Q1005" s="100" t="str">
        <f>VLOOKUP($H:$H,型材表!$B$5:$I$448,6,0)</f>
        <v>非断桥隔热铝型材</v>
      </c>
      <c r="R1005" s="210"/>
      <c r="S1005" s="50"/>
      <c r="T1005" s="459"/>
      <c r="U1005" s="374" t="s">
        <v>1252</v>
      </c>
      <c r="V1005" s="269">
        <f>8+23</f>
        <v>31</v>
      </c>
      <c r="X1005" s="279">
        <f>8+23</f>
        <v>31</v>
      </c>
      <c r="Y1005" s="265"/>
      <c r="Z1005" s="279">
        <f>8+23</f>
        <v>31</v>
      </c>
      <c r="AA1005" s="265"/>
      <c r="AB1005" s="279">
        <f>8+23</f>
        <v>31</v>
      </c>
      <c r="AC1005" s="265"/>
      <c r="AD1005" s="279">
        <f>8+23</f>
        <v>31</v>
      </c>
      <c r="AE1005" s="265"/>
      <c r="AF1005" s="279">
        <f>8+23</f>
        <v>31</v>
      </c>
      <c r="AG1005" s="265"/>
      <c r="AH1005" s="279">
        <f>8+23</f>
        <v>31</v>
      </c>
      <c r="AI1005" s="265"/>
      <c r="AJ1005" s="279">
        <f>8+23.3</f>
        <v>31.3</v>
      </c>
      <c r="AK1005" s="265"/>
    </row>
    <row r="1006" spans="1:37" ht="13.5" customHeight="1" x14ac:dyDescent="0.15">
      <c r="A1006" s="395">
        <v>15</v>
      </c>
      <c r="B1006" s="534"/>
      <c r="C1006" s="535"/>
      <c r="D1006" s="535"/>
      <c r="E1006" s="536"/>
      <c r="F1006" s="47" t="str">
        <f>VLOOKUP($H:$H,型材表!$B$5:$I$448,2,0)</f>
        <v>压线</v>
      </c>
      <c r="G1006" s="45" t="s">
        <v>39</v>
      </c>
      <c r="H1006" s="207" t="str">
        <f>H1005</f>
        <v>SN55Y001</v>
      </c>
      <c r="I1006" s="207" t="s">
        <v>1243</v>
      </c>
      <c r="J1006" s="214">
        <f>IF(G977=55,M979-V1006,IF(G977=551,M979-X1006,IF(G977=60,M979-Z1006,IF(G977=601,M979-AB1006,IF(G977=65,M979-AD1006,IF(G977=70,M979-AF1006,IF(G977=75,M979-AH1006,IF(G977=50,M979-AJ1006))))))))</f>
        <v>1654</v>
      </c>
      <c r="K1006" s="207">
        <v>6</v>
      </c>
      <c r="L1006" s="47">
        <f>VLOOKUP($H:$H,型材表!$B$5:$I$448,4,0)</f>
        <v>0.214</v>
      </c>
      <c r="M1006" s="46">
        <f t="shared" si="192"/>
        <v>2.1237360000000001</v>
      </c>
      <c r="N1006" s="72">
        <f>VLOOKUP($H:$H,型材表!$B$5:$I$448,7,0)</f>
        <v>0</v>
      </c>
      <c r="O1006" s="46">
        <f t="shared" si="193"/>
        <v>0</v>
      </c>
      <c r="P1006" s="100">
        <f>VLOOKUP($H:$H,型材表!$B$5:$I$448,5,0)</f>
        <v>0.125</v>
      </c>
      <c r="Q1006" s="100" t="str">
        <f>VLOOKUP($H:$H,型材表!$B$5:$I$448,6,0)</f>
        <v>非断桥隔热铝型材</v>
      </c>
      <c r="R1006" s="210"/>
      <c r="S1006" s="50"/>
      <c r="T1006" s="459"/>
      <c r="U1006" s="374" t="s">
        <v>1253</v>
      </c>
      <c r="V1006" s="269">
        <f>23*2</f>
        <v>46</v>
      </c>
      <c r="X1006" s="279">
        <f>23*2</f>
        <v>46</v>
      </c>
      <c r="Y1006" s="265"/>
      <c r="Z1006" s="279">
        <f>23*2</f>
        <v>46</v>
      </c>
      <c r="AA1006" s="265"/>
      <c r="AB1006" s="279">
        <f>23*2</f>
        <v>46</v>
      </c>
      <c r="AC1006" s="265"/>
      <c r="AD1006" s="279">
        <f>23*2</f>
        <v>46</v>
      </c>
      <c r="AE1006" s="265"/>
      <c r="AF1006" s="279">
        <f>23*2</f>
        <v>46</v>
      </c>
      <c r="AG1006" s="265"/>
      <c r="AH1006" s="279">
        <f>23*2</f>
        <v>46</v>
      </c>
      <c r="AI1006" s="265"/>
      <c r="AJ1006" s="279">
        <f>23.3*2</f>
        <v>46.6</v>
      </c>
      <c r="AK1006" s="265"/>
    </row>
    <row r="1007" spans="1:37" x14ac:dyDescent="0.15">
      <c r="A1007" s="395">
        <v>16</v>
      </c>
      <c r="B1007" s="534"/>
      <c r="C1007" s="535"/>
      <c r="D1007" s="535"/>
      <c r="E1007" s="536"/>
      <c r="F1007" s="47" t="str">
        <f>VLOOKUP($H:$H,型材表!$B$5:$I$448,2,0)</f>
        <v>压线</v>
      </c>
      <c r="G1007" s="45" t="s">
        <v>40</v>
      </c>
      <c r="H1007" s="207" t="str">
        <f t="shared" ref="H1007:H1010" si="194">H1006</f>
        <v>SN55Y001</v>
      </c>
      <c r="I1007" s="207" t="s">
        <v>1662</v>
      </c>
      <c r="J1007" s="214">
        <f>IF(G977=55,M984-V1007-V993/2,IF(G977=551,M984-X1007-X993/2,IF(G977=60,M984-Z1007-Z993/2,IF(G977=601,M984-AB1007-AB993/2,IF(G977=65,M984-AD1007-AD993/2,IF(G977=70,M984-AF1007-AF993/2,IF(G977=75,M984-AH1007-AH993/2,IF(G977=50,M984-AJ1007-AJ993/2))))))))</f>
        <v>460.20000000000005</v>
      </c>
      <c r="K1007" s="207">
        <v>2</v>
      </c>
      <c r="L1007" s="47">
        <f>VLOOKUP($H:$H,型材表!$B$5:$I$448,4,0)</f>
        <v>0.214</v>
      </c>
      <c r="M1007" s="46">
        <f t="shared" si="192"/>
        <v>0.19696560000000002</v>
      </c>
      <c r="N1007" s="72">
        <f>VLOOKUP($H:$H,型材表!$B$5:$I$448,7,0)</f>
        <v>0</v>
      </c>
      <c r="O1007" s="46">
        <f t="shared" si="193"/>
        <v>0</v>
      </c>
      <c r="P1007" s="100">
        <f>VLOOKUP($H:$H,型材表!$B$5:$I$448,5,0)</f>
        <v>0.125</v>
      </c>
      <c r="Q1007" s="100" t="str">
        <f>VLOOKUP($H:$H,型材表!$B$5:$I$448,6,0)</f>
        <v>非断桥隔热铝型材</v>
      </c>
      <c r="R1007" s="210"/>
      <c r="S1007" s="50"/>
      <c r="T1007" s="459"/>
      <c r="U1007" s="374" t="s">
        <v>1254</v>
      </c>
      <c r="V1007" s="269">
        <f>99.9+84.9</f>
        <v>184.8</v>
      </c>
      <c r="X1007" s="279">
        <f>99.9+84.9</f>
        <v>184.8</v>
      </c>
      <c r="Y1007" s="265"/>
      <c r="Z1007" s="279">
        <f>99.9+84.9</f>
        <v>184.8</v>
      </c>
      <c r="AA1007" s="265"/>
      <c r="AB1007" s="279">
        <f>99.9+84.9</f>
        <v>184.8</v>
      </c>
      <c r="AC1007" s="265"/>
      <c r="AD1007" s="279">
        <f>99.9+84.9</f>
        <v>184.8</v>
      </c>
      <c r="AE1007" s="265"/>
      <c r="AF1007" s="279">
        <f>105.4+90.4</f>
        <v>195.8</v>
      </c>
      <c r="AG1007" s="265"/>
      <c r="AH1007" s="279">
        <f>105.4+90.4</f>
        <v>195.8</v>
      </c>
      <c r="AI1007" s="265"/>
      <c r="AJ1007" s="279">
        <f>90.4+75.1</f>
        <v>165.5</v>
      </c>
      <c r="AK1007" s="265"/>
    </row>
    <row r="1008" spans="1:37" x14ac:dyDescent="0.15">
      <c r="A1008" s="395">
        <v>17</v>
      </c>
      <c r="B1008" s="534"/>
      <c r="C1008" s="535"/>
      <c r="D1008" s="535"/>
      <c r="E1008" s="536"/>
      <c r="F1008" s="47" t="str">
        <f>VLOOKUP($H:$H,型材表!$B$5:$I$448,2,0)</f>
        <v>压线</v>
      </c>
      <c r="G1008" s="45" t="s">
        <v>40</v>
      </c>
      <c r="H1008" s="207" t="str">
        <f t="shared" si="194"/>
        <v>SN55Y001</v>
      </c>
      <c r="I1008" s="207" t="s">
        <v>1663</v>
      </c>
      <c r="J1008" s="214">
        <f>IF(G977=55,M984-V1008-V993/2,IF(G977=551,M984-X1008-X993/2,IF(G977=60,M984-Z1008-Z993/2,IF(G977=601,M984-AB1008-AB993/2,IF(G977=65,M984-AD1008-AD993/2,IF(G977=70,M984-AF1008-AF993/2,IF(G977=75,M984-AH1008-AH993/2,IF(G977=50,M984-AJ1008-AJ993/2))))))))</f>
        <v>614</v>
      </c>
      <c r="K1008" s="207">
        <v>2</v>
      </c>
      <c r="L1008" s="47">
        <f>VLOOKUP($H:$H,型材表!$B$5:$I$448,4,0)</f>
        <v>0.214</v>
      </c>
      <c r="M1008" s="46">
        <f t="shared" si="192"/>
        <v>0.26279199999999997</v>
      </c>
      <c r="N1008" s="72">
        <f>VLOOKUP($H:$H,型材表!$B$5:$I$448,7,0)</f>
        <v>0</v>
      </c>
      <c r="O1008" s="46">
        <f t="shared" si="193"/>
        <v>0</v>
      </c>
      <c r="P1008" s="100">
        <f>VLOOKUP($H:$H,型材表!$B$5:$I$448,5,0)</f>
        <v>0.125</v>
      </c>
      <c r="Q1008" s="100" t="str">
        <f>VLOOKUP($H:$H,型材表!$B$5:$I$448,6,0)</f>
        <v>非断桥隔热铝型材</v>
      </c>
      <c r="R1008" s="210"/>
      <c r="S1008" s="50"/>
      <c r="T1008" s="459"/>
      <c r="U1008" s="374" t="s">
        <v>1255</v>
      </c>
      <c r="V1008" s="269">
        <f>8+23</f>
        <v>31</v>
      </c>
      <c r="X1008" s="279">
        <f>8+23</f>
        <v>31</v>
      </c>
      <c r="Y1008" s="265"/>
      <c r="Z1008" s="279">
        <f>8+23</f>
        <v>31</v>
      </c>
      <c r="AA1008" s="265"/>
      <c r="AB1008" s="279">
        <f>8+23</f>
        <v>31</v>
      </c>
      <c r="AC1008" s="265"/>
      <c r="AD1008" s="279">
        <f>8+23</f>
        <v>31</v>
      </c>
      <c r="AE1008" s="265"/>
      <c r="AF1008" s="279">
        <f>8+23</f>
        <v>31</v>
      </c>
      <c r="AG1008" s="265"/>
      <c r="AH1008" s="279">
        <f>8+23</f>
        <v>31</v>
      </c>
      <c r="AI1008" s="265"/>
      <c r="AJ1008" s="279">
        <f>23.3+8</f>
        <v>31.3</v>
      </c>
      <c r="AK1008" s="265"/>
    </row>
    <row r="1009" spans="1:37" x14ac:dyDescent="0.15">
      <c r="A1009" s="395">
        <v>18</v>
      </c>
      <c r="B1009" s="534"/>
      <c r="C1009" s="535"/>
      <c r="D1009" s="535"/>
      <c r="E1009" s="536"/>
      <c r="F1009" s="47" t="str">
        <f>VLOOKUP($H:$H,型材表!$B$5:$I$448,2,0)</f>
        <v>压线</v>
      </c>
      <c r="G1009" s="45" t="s">
        <v>40</v>
      </c>
      <c r="H1009" s="207" t="str">
        <f t="shared" si="194"/>
        <v>SN55Y001</v>
      </c>
      <c r="I1009" s="207" t="s">
        <v>1587</v>
      </c>
      <c r="J1009" s="214">
        <f>IF(G977=55,M985-V1009,IF(G977=551,M985-X1009,IF(G977=60,M985-Z1009,IF(G977=601,M985-AB1009,IF(G977=65,M985-AD1009,IF(G977=70,M985-AF1009,IF(G977=75,M985-AH1009,IF(G977=50,M985-AJ1009))))))))</f>
        <v>1114</v>
      </c>
      <c r="K1009" s="207">
        <v>2</v>
      </c>
      <c r="L1009" s="47">
        <f>VLOOKUP($H:$H,型材表!$B$5:$I$448,4,0)</f>
        <v>0.214</v>
      </c>
      <c r="M1009" s="46">
        <f t="shared" si="192"/>
        <v>0.47679199999999999</v>
      </c>
      <c r="N1009" s="72">
        <f>VLOOKUP($H:$H,型材表!$B$5:$I$448,7,0)</f>
        <v>0</v>
      </c>
      <c r="O1009" s="46">
        <f t="shared" si="193"/>
        <v>0</v>
      </c>
      <c r="P1009" s="100">
        <f>VLOOKUP($H:$H,型材表!$B$5:$I$448,5,0)</f>
        <v>0.125</v>
      </c>
      <c r="Q1009" s="100" t="str">
        <f>VLOOKUP($H:$H,型材表!$B$5:$I$448,6,0)</f>
        <v>非断桥隔热铝型材</v>
      </c>
      <c r="R1009" s="210"/>
      <c r="S1009" s="50"/>
      <c r="T1009" s="459"/>
      <c r="U1009" s="374" t="s">
        <v>1586</v>
      </c>
      <c r="V1009" s="259">
        <f>8+78</f>
        <v>86</v>
      </c>
      <c r="X1009" s="286">
        <f>8+78</f>
        <v>86</v>
      </c>
      <c r="Y1009" s="265"/>
      <c r="Z1009" s="264">
        <f>8+83.2</f>
        <v>91.2</v>
      </c>
      <c r="AA1009" s="265"/>
      <c r="AB1009" s="264">
        <f>8+83.4</f>
        <v>91.4</v>
      </c>
      <c r="AC1009" s="265"/>
      <c r="AD1009" s="264">
        <f>8+87.2</f>
        <v>95.2</v>
      </c>
      <c r="AE1009" s="265"/>
      <c r="AF1009" s="264">
        <f>93.2+8</f>
        <v>101.2</v>
      </c>
      <c r="AG1009" s="265"/>
      <c r="AH1009" s="264">
        <f>97.2+8</f>
        <v>105.2</v>
      </c>
      <c r="AI1009" s="265"/>
      <c r="AJ1009" s="264">
        <f>10.25+73.3</f>
        <v>83.55</v>
      </c>
      <c r="AK1009" s="265"/>
    </row>
    <row r="1010" spans="1:37" x14ac:dyDescent="0.15">
      <c r="A1010" s="395">
        <v>19</v>
      </c>
      <c r="B1010" s="534"/>
      <c r="C1010" s="535"/>
      <c r="D1010" s="535"/>
      <c r="E1010" s="536"/>
      <c r="F1010" s="47" t="str">
        <f>VLOOKUP($H:$H,型材表!$B$5:$I$448,2,0)</f>
        <v>压线</v>
      </c>
      <c r="G1010" s="45" t="s">
        <v>40</v>
      </c>
      <c r="H1010" s="207" t="str">
        <f t="shared" si="194"/>
        <v>SN55Y001</v>
      </c>
      <c r="I1010" s="207" t="s">
        <v>1589</v>
      </c>
      <c r="J1010" s="214">
        <f>IF(G977=55,M986-V1010,IF(G977=551,M986-X1010,IF(G977=60,M986-Z1010,IF(G977=601,M986-AB1010,IF(G977=65,M986-AD1010,IF(G977=70,M986-AF1010,IF(G977=75,M986-AH1010,IF(G977=50,M986-AJ1010))))))))</f>
        <v>399</v>
      </c>
      <c r="K1010" s="207">
        <v>4</v>
      </c>
      <c r="L1010" s="47">
        <f>VLOOKUP($H:$H,型材表!$B$5:$I$448,4,0)</f>
        <v>0.214</v>
      </c>
      <c r="M1010" s="46">
        <f t="shared" si="192"/>
        <v>0.34154399999999996</v>
      </c>
      <c r="N1010" s="72">
        <f>VLOOKUP($H:$H,型材表!$B$5:$I$448,7,0)</f>
        <v>0</v>
      </c>
      <c r="O1010" s="46">
        <f t="shared" si="193"/>
        <v>0</v>
      </c>
      <c r="P1010" s="100">
        <f>VLOOKUP($H:$H,型材表!$B$5:$I$448,5,0)</f>
        <v>0.125</v>
      </c>
      <c r="Q1010" s="100" t="str">
        <f>VLOOKUP($H:$H,型材表!$B$5:$I$448,6,0)</f>
        <v>非断桥隔热铝型材</v>
      </c>
      <c r="R1010" s="210"/>
      <c r="S1010" s="50"/>
      <c r="T1010" s="459"/>
      <c r="U1010" s="374" t="s">
        <v>1588</v>
      </c>
      <c r="V1010" s="259">
        <f>78+23</f>
        <v>101</v>
      </c>
      <c r="X1010" s="286">
        <f>78+23</f>
        <v>101</v>
      </c>
      <c r="Y1010" s="265"/>
      <c r="Z1010" s="264">
        <f>83.2+23</f>
        <v>106.2</v>
      </c>
      <c r="AA1010" s="265"/>
      <c r="AB1010" s="264">
        <f>83.4+23</f>
        <v>106.4</v>
      </c>
      <c r="AC1010" s="265"/>
      <c r="AD1010" s="264">
        <f>87.2+23</f>
        <v>110.2</v>
      </c>
      <c r="AE1010" s="265"/>
      <c r="AF1010" s="264">
        <f>93.2+23</f>
        <v>116.2</v>
      </c>
      <c r="AG1010" s="265"/>
      <c r="AH1010" s="264">
        <f>97.2+23</f>
        <v>120.2</v>
      </c>
      <c r="AI1010" s="265"/>
      <c r="AJ1010" s="264">
        <f>73.3+23.3</f>
        <v>96.6</v>
      </c>
      <c r="AK1010" s="265"/>
    </row>
    <row r="1011" spans="1:37" x14ac:dyDescent="0.15">
      <c r="A1011" s="395">
        <v>20</v>
      </c>
      <c r="B1011" s="534"/>
      <c r="C1011" s="535"/>
      <c r="D1011" s="535"/>
      <c r="E1011" s="536"/>
      <c r="F1011" s="47" t="str">
        <f>VLOOKUP($H:$H,型材表!$B$5:$I$448,2,0)</f>
        <v>角码</v>
      </c>
      <c r="G1011" s="213" t="s">
        <v>446</v>
      </c>
      <c r="H1011" s="207" t="str">
        <f>IF(G977=70,"SN55F003",IF(G977=75,"SN55F003",IF(G977=50,"SW50F002","SW55F001")))</f>
        <v>SW55F001</v>
      </c>
      <c r="I1011" s="207" t="s">
        <v>931</v>
      </c>
      <c r="J1011" s="214">
        <f>IF(G977=55,V1011,IF(G977=551,X1011,IF(G977=60,Z1011,IF(G977=601,AB1011,IF(G977=65,AD1011,IF(G977=70,AF1011,IF(G977=75,AH1011,IF(G977=50,AJ1011))))))))</f>
        <v>32.200000000000003</v>
      </c>
      <c r="K1011" s="207">
        <f>4*3</f>
        <v>12</v>
      </c>
      <c r="L1011" s="47">
        <f>VLOOKUP($H:$H,型材表!$B$5:$I$448,4,0)</f>
        <v>2.0950000000000002</v>
      </c>
      <c r="M1011" s="46">
        <f t="shared" si="192"/>
        <v>0.80950800000000012</v>
      </c>
      <c r="N1011" s="72">
        <f>VLOOKUP($H:$H,型材表!$B$5:$I$448,7,0)</f>
        <v>0</v>
      </c>
      <c r="O1011" s="46">
        <f t="shared" si="193"/>
        <v>0</v>
      </c>
      <c r="P1011" s="100">
        <f>VLOOKUP($H:$H,型材表!$B$5:$I$448,5,0)</f>
        <v>0.125</v>
      </c>
      <c r="Q1011" s="100" t="str">
        <f>VLOOKUP($H:$H,型材表!$B$5:$I$448,6,0)</f>
        <v>阳极氧化铝型材</v>
      </c>
      <c r="R1011" s="210"/>
      <c r="S1011" s="50"/>
      <c r="T1011" s="459"/>
      <c r="U1011" s="374" t="s">
        <v>931</v>
      </c>
      <c r="V1011" s="259">
        <f>19.5-1+14.7-1</f>
        <v>32.200000000000003</v>
      </c>
      <c r="X1011" s="264">
        <f>19.5-1+10.9-1</f>
        <v>28.4</v>
      </c>
      <c r="Y1011" s="265"/>
      <c r="Z1011" s="264">
        <f>19.5-1+14.7-1</f>
        <v>32.200000000000003</v>
      </c>
      <c r="AA1011" s="265"/>
      <c r="AB1011" s="264">
        <f>19.5-1+10.9-1</f>
        <v>28.4</v>
      </c>
      <c r="AC1011" s="265"/>
      <c r="AD1011" s="264">
        <f>19.5-1+14.7-1</f>
        <v>32.200000000000003</v>
      </c>
      <c r="AE1011" s="265"/>
      <c r="AF1011" s="264">
        <f>19.5-1+14.7-1</f>
        <v>32.200000000000003</v>
      </c>
      <c r="AG1011" s="265"/>
      <c r="AH1011" s="264">
        <f>19.5-1+14.7-1</f>
        <v>32.200000000000003</v>
      </c>
      <c r="AI1011" s="265"/>
      <c r="AJ1011" s="264">
        <f>15-1</f>
        <v>14</v>
      </c>
      <c r="AK1011" s="265"/>
    </row>
    <row r="1012" spans="1:37" s="229" customFormat="1" x14ac:dyDescent="0.15">
      <c r="A1012" s="395">
        <v>21</v>
      </c>
      <c r="B1012" s="534"/>
      <c r="C1012" s="535"/>
      <c r="D1012" s="535"/>
      <c r="E1012" s="536"/>
      <c r="F1012" s="47" t="str">
        <f>VLOOKUP($H:$H,型材表!$B$5:$I$448,2,0)</f>
        <v>角码</v>
      </c>
      <c r="G1012" s="230" t="s">
        <v>447</v>
      </c>
      <c r="H1012" s="222" t="str">
        <f>IF(G977=70,"SW70F001",IF(G977=75,"SW70F001",IF(G977=50,"SW50F003","SN55MF004")))</f>
        <v>SN55MF004</v>
      </c>
      <c r="I1012" s="207" t="s">
        <v>995</v>
      </c>
      <c r="J1012" s="214">
        <f>IF(G977=55,V1012,IF(G977=551,X1012,IF(G977=60,Z1012,IF(G977=601,AB1012,IF(G977=65,AD1012,IF(G977=70,AF1012,IF(G977=75,AH1012,IF(G977=50,AJ1012))))))))</f>
        <v>30.2</v>
      </c>
      <c r="K1012" s="207">
        <v>4</v>
      </c>
      <c r="L1012" s="47">
        <f>VLOOKUP($H:$H,型材表!$B$5:$I$448,4,0)</f>
        <v>2.996</v>
      </c>
      <c r="M1012" s="46">
        <f t="shared" si="192"/>
        <v>0.36191679999999998</v>
      </c>
      <c r="N1012" s="72">
        <f>VLOOKUP($H:$H,型材表!$B$5:$I$448,7,0)</f>
        <v>0</v>
      </c>
      <c r="O1012" s="46">
        <f t="shared" si="193"/>
        <v>0</v>
      </c>
      <c r="P1012" s="100">
        <f>VLOOKUP($H:$H,型材表!$B$5:$I$448,5,0)</f>
        <v>0.125</v>
      </c>
      <c r="Q1012" s="100" t="str">
        <f>VLOOKUP($H:$H,型材表!$B$5:$I$448,6,0)</f>
        <v>阳极氧化铝型材</v>
      </c>
      <c r="R1012" s="227"/>
      <c r="S1012" s="228"/>
      <c r="T1012" s="467"/>
      <c r="U1012" s="375" t="s">
        <v>933</v>
      </c>
      <c r="V1012" s="266">
        <f>8-1+24.2-1</f>
        <v>30.2</v>
      </c>
      <c r="W1012" s="266"/>
      <c r="X1012" s="267">
        <f>4.2-1+24.2-1</f>
        <v>26.4</v>
      </c>
      <c r="Y1012" s="268"/>
      <c r="Z1012" s="267">
        <f>8-1+24.2-1</f>
        <v>30.2</v>
      </c>
      <c r="AA1012" s="268"/>
      <c r="AB1012" s="267">
        <f>4.2-1+24.2-1</f>
        <v>26.4</v>
      </c>
      <c r="AC1012" s="268"/>
      <c r="AD1012" s="267">
        <f>8-1+24.2-1</f>
        <v>30.2</v>
      </c>
      <c r="AE1012" s="268"/>
      <c r="AF1012" s="267">
        <f>7.3-1+24-1</f>
        <v>29.3</v>
      </c>
      <c r="AG1012" s="268"/>
      <c r="AH1012" s="267">
        <f>7.3-1+24-1</f>
        <v>29.3</v>
      </c>
      <c r="AI1012" s="268"/>
      <c r="AJ1012" s="267">
        <f>18.9-1</f>
        <v>17.899999999999999</v>
      </c>
      <c r="AK1012" s="268"/>
    </row>
    <row r="1013" spans="1:37" x14ac:dyDescent="0.15">
      <c r="A1013" s="395">
        <v>22</v>
      </c>
      <c r="B1013" s="534"/>
      <c r="C1013" s="535"/>
      <c r="D1013" s="535"/>
      <c r="E1013" s="536"/>
      <c r="F1013" s="47" t="str">
        <f>VLOOKUP($H:$H,型材表!$B$5:$I$448,2,0)</f>
        <v>中梃角码</v>
      </c>
      <c r="G1013" s="51"/>
      <c r="H1013" s="45" t="str">
        <f>IF(G977=50,"SW50F004","SN55F001")</f>
        <v>SN55F001</v>
      </c>
      <c r="I1013" s="207" t="s">
        <v>937</v>
      </c>
      <c r="J1013" s="52">
        <f>IF(G977=55,V1013,IF(G977=551,X1013,IF(G977=60,Z1013,IF(G977=601,AB1013,IF(G977=65,AD1013,IF(G977=70,AF1013,IF(G977=75,AH1013,IF(G977=50,AJ1013))))))))</f>
        <v>18.5</v>
      </c>
      <c r="K1013" s="45">
        <v>4</v>
      </c>
      <c r="L1013" s="47">
        <f>VLOOKUP($H:$H,型材表!$B$5:$I$448,4,0)</f>
        <v>1.4730000000000001</v>
      </c>
      <c r="M1013" s="46">
        <f t="shared" si="192"/>
        <v>0.10900200000000002</v>
      </c>
      <c r="N1013" s="72">
        <f>VLOOKUP($H:$H,型材表!$B$5:$I$448,7,0)</f>
        <v>0</v>
      </c>
      <c r="O1013" s="46">
        <f t="shared" si="193"/>
        <v>0</v>
      </c>
      <c r="P1013" s="100">
        <f>VLOOKUP($H:$H,型材表!$B$5:$I$448,5,0)</f>
        <v>0.125</v>
      </c>
      <c r="Q1013" s="100" t="str">
        <f>VLOOKUP($H:$H,型材表!$B$5:$I$448,6,0)</f>
        <v>阳极氧化铝型材</v>
      </c>
      <c r="R1013" s="49"/>
      <c r="S1013" s="50"/>
      <c r="T1013" s="459"/>
      <c r="U1013" s="374" t="s">
        <v>937</v>
      </c>
      <c r="V1013" s="259">
        <f>19.5-1</f>
        <v>18.5</v>
      </c>
      <c r="X1013" s="264">
        <f>19.5-1</f>
        <v>18.5</v>
      </c>
      <c r="Y1013" s="265"/>
      <c r="Z1013" s="286">
        <f>19.5-1</f>
        <v>18.5</v>
      </c>
      <c r="AA1013" s="265"/>
      <c r="AB1013" s="264">
        <f>19.5-1</f>
        <v>18.5</v>
      </c>
      <c r="AC1013" s="265"/>
      <c r="AD1013" s="286">
        <f>19.5-1</f>
        <v>18.5</v>
      </c>
      <c r="AE1013" s="265"/>
      <c r="AF1013" s="286">
        <f>19.5-1</f>
        <v>18.5</v>
      </c>
      <c r="AG1013" s="265"/>
      <c r="AH1013" s="286">
        <f>19.5-1</f>
        <v>18.5</v>
      </c>
      <c r="AI1013" s="265"/>
      <c r="AJ1013" s="264">
        <f>13.2-1</f>
        <v>12.2</v>
      </c>
      <c r="AK1013" s="265"/>
    </row>
    <row r="1014" spans="1:37" x14ac:dyDescent="0.15">
      <c r="A1014" s="395">
        <v>23</v>
      </c>
      <c r="B1014" s="534"/>
      <c r="C1014" s="535"/>
      <c r="D1014" s="535"/>
      <c r="E1014" s="536"/>
      <c r="F1014" s="47" t="str">
        <f>VLOOKUP($H:$H,型材表!$B$5:$I$448,2,0)</f>
        <v>中梃角码</v>
      </c>
      <c r="G1014" s="213"/>
      <c r="H1014" s="207" t="str">
        <f>IF(G977=501,"SN55BF001",IF(G977=601,"SN55BF001",IF(G977=70,"SN70F001",IF(G977=75,"SN70F001","SN55F002"))))</f>
        <v>SN55F002</v>
      </c>
      <c r="I1014" s="207" t="s">
        <v>1196</v>
      </c>
      <c r="J1014" s="214">
        <f>IF(G977=55,V1014,IF(G977=551,X1014,IF(G977=60,Z1014,IF(G977=601,AB1014,IF(G977=65,AD1014,IF(G977=70,AF1014,IF(G977=75,AH1014,IF(G977=50,AJ1014))))))))</f>
        <v>13.5</v>
      </c>
      <c r="K1014" s="207">
        <v>4</v>
      </c>
      <c r="L1014" s="47">
        <f>VLOOKUP($H:$H,型材表!$B$5:$I$448,4,0)</f>
        <v>0.90400000000000003</v>
      </c>
      <c r="M1014" s="46">
        <f t="shared" si="192"/>
        <v>4.8816000000000005E-2</v>
      </c>
      <c r="N1014" s="72">
        <f>VLOOKUP($H:$H,型材表!$B$5:$I$448,7,0)</f>
        <v>0</v>
      </c>
      <c r="O1014" s="46">
        <f t="shared" si="193"/>
        <v>0</v>
      </c>
      <c r="P1014" s="100">
        <f>VLOOKUP($H:$H,型材表!$B$5:$I$448,5,0)</f>
        <v>0.125</v>
      </c>
      <c r="Q1014" s="100" t="str">
        <f>VLOOKUP($H:$H,型材表!$B$5:$I$448,6,0)</f>
        <v>阳极氧化铝型材</v>
      </c>
      <c r="R1014" s="210"/>
      <c r="S1014" s="50"/>
      <c r="T1014" s="459"/>
      <c r="U1014" s="374" t="s">
        <v>1196</v>
      </c>
      <c r="V1014" s="259">
        <f>14.5-1</f>
        <v>13.5</v>
      </c>
      <c r="X1014" s="264">
        <f>10.7-1</f>
        <v>9.6999999999999993</v>
      </c>
      <c r="Y1014" s="265"/>
      <c r="Z1014" s="286">
        <f>14.5-1</f>
        <v>13.5</v>
      </c>
      <c r="AA1014" s="265"/>
      <c r="AB1014" s="264">
        <f>10.7-1</f>
        <v>9.6999999999999993</v>
      </c>
      <c r="AC1014" s="265"/>
      <c r="AD1014" s="286">
        <f>14.5-1</f>
        <v>13.5</v>
      </c>
      <c r="AE1014" s="265"/>
      <c r="AF1014" s="286">
        <f>14.5-1</f>
        <v>13.5</v>
      </c>
      <c r="AG1014" s="265"/>
      <c r="AH1014" s="286">
        <f>14.5-1</f>
        <v>13.5</v>
      </c>
      <c r="AI1014" s="265"/>
      <c r="AJ1014" s="264"/>
      <c r="AK1014" s="265"/>
    </row>
    <row r="1015" spans="1:37" x14ac:dyDescent="0.15">
      <c r="A1015" s="395">
        <v>24</v>
      </c>
      <c r="B1015" s="534"/>
      <c r="C1015" s="535"/>
      <c r="D1015" s="535"/>
      <c r="E1015" s="536"/>
      <c r="F1015" s="306"/>
      <c r="G1015" s="213"/>
      <c r="H1015" s="207"/>
      <c r="I1015" s="207"/>
      <c r="J1015" s="214"/>
      <c r="K1015" s="207"/>
      <c r="L1015" s="306"/>
      <c r="M1015" s="208"/>
      <c r="N1015" s="209"/>
      <c r="O1015" s="208"/>
      <c r="P1015" s="307"/>
      <c r="Q1015" s="100"/>
      <c r="R1015" s="210"/>
      <c r="S1015" s="50"/>
      <c r="T1015" s="459"/>
      <c r="X1015" s="264"/>
      <c r="Y1015" s="265"/>
      <c r="Z1015" s="264"/>
      <c r="AA1015" s="265"/>
      <c r="AB1015" s="264"/>
      <c r="AC1015" s="265"/>
      <c r="AD1015" s="264"/>
      <c r="AE1015" s="265"/>
      <c r="AF1015" s="264"/>
      <c r="AG1015" s="265"/>
      <c r="AH1015" s="264"/>
      <c r="AI1015" s="265"/>
      <c r="AJ1015" s="264"/>
      <c r="AK1015" s="265"/>
    </row>
    <row r="1016" spans="1:37" x14ac:dyDescent="0.15">
      <c r="A1016" s="395">
        <v>25</v>
      </c>
      <c r="B1016" s="534"/>
      <c r="C1016" s="535"/>
      <c r="D1016" s="535"/>
      <c r="E1016" s="536"/>
      <c r="F1016" s="306"/>
      <c r="G1016" s="213"/>
      <c r="H1016" s="207"/>
      <c r="I1016" s="207"/>
      <c r="J1016" s="214"/>
      <c r="K1016" s="207"/>
      <c r="L1016" s="306"/>
      <c r="M1016" s="208"/>
      <c r="N1016" s="209"/>
      <c r="O1016" s="208"/>
      <c r="P1016" s="307"/>
      <c r="Q1016" s="100"/>
      <c r="R1016" s="210"/>
      <c r="S1016" s="50"/>
      <c r="T1016" s="459"/>
      <c r="X1016" s="264"/>
      <c r="Y1016" s="265"/>
      <c r="Z1016" s="264"/>
      <c r="AA1016" s="265"/>
      <c r="AB1016" s="264"/>
      <c r="AC1016" s="265"/>
      <c r="AD1016" s="264"/>
      <c r="AE1016" s="265"/>
      <c r="AF1016" s="264"/>
      <c r="AG1016" s="265"/>
      <c r="AH1016" s="264"/>
      <c r="AI1016" s="265"/>
      <c r="AJ1016" s="264"/>
      <c r="AK1016" s="265"/>
    </row>
    <row r="1017" spans="1:37" x14ac:dyDescent="0.15">
      <c r="A1017" s="395">
        <v>26</v>
      </c>
      <c r="B1017" s="534"/>
      <c r="C1017" s="535"/>
      <c r="D1017" s="535"/>
      <c r="E1017" s="536"/>
      <c r="F1017" s="306"/>
      <c r="G1017" s="213"/>
      <c r="H1017" s="207"/>
      <c r="I1017" s="207"/>
      <c r="J1017" s="214"/>
      <c r="K1017" s="207"/>
      <c r="L1017" s="306"/>
      <c r="M1017" s="208"/>
      <c r="N1017" s="209"/>
      <c r="O1017" s="208"/>
      <c r="P1017" s="307"/>
      <c r="Q1017" s="100"/>
      <c r="R1017" s="210"/>
      <c r="S1017" s="50"/>
      <c r="T1017" s="459"/>
      <c r="X1017" s="264"/>
      <c r="Y1017" s="265"/>
      <c r="Z1017" s="264"/>
      <c r="AA1017" s="265"/>
      <c r="AB1017" s="264"/>
      <c r="AC1017" s="265"/>
      <c r="AD1017" s="264"/>
      <c r="AE1017" s="265"/>
      <c r="AF1017" s="264"/>
      <c r="AG1017" s="265"/>
      <c r="AH1017" s="264"/>
      <c r="AI1017" s="265"/>
      <c r="AJ1017" s="264"/>
      <c r="AK1017" s="265"/>
    </row>
    <row r="1018" spans="1:37" x14ac:dyDescent="0.15">
      <c r="A1018" s="395">
        <v>27</v>
      </c>
      <c r="B1018" s="534"/>
      <c r="C1018" s="535"/>
      <c r="D1018" s="535"/>
      <c r="E1018" s="536"/>
      <c r="F1018" s="306"/>
      <c r="G1018" s="213"/>
      <c r="H1018" s="207"/>
      <c r="I1018" s="207"/>
      <c r="J1018" s="214"/>
      <c r="K1018" s="207"/>
      <c r="L1018" s="306"/>
      <c r="M1018" s="208"/>
      <c r="N1018" s="209"/>
      <c r="O1018" s="208"/>
      <c r="P1018" s="307"/>
      <c r="Q1018" s="100"/>
      <c r="R1018" s="210"/>
      <c r="S1018" s="50"/>
      <c r="T1018" s="459"/>
      <c r="X1018" s="264"/>
      <c r="Y1018" s="265"/>
      <c r="Z1018" s="264"/>
      <c r="AA1018" s="265"/>
      <c r="AB1018" s="264"/>
      <c r="AC1018" s="265"/>
      <c r="AD1018" s="264"/>
      <c r="AE1018" s="265"/>
      <c r="AF1018" s="264"/>
      <c r="AG1018" s="265"/>
      <c r="AH1018" s="264"/>
      <c r="AI1018" s="265"/>
      <c r="AJ1018" s="264"/>
      <c r="AK1018" s="265"/>
    </row>
    <row r="1019" spans="1:37" s="229" customFormat="1" ht="13.5" customHeight="1" x14ac:dyDescent="0.15">
      <c r="A1019" s="542" t="s">
        <v>110</v>
      </c>
      <c r="B1019" s="543"/>
      <c r="C1019" s="543"/>
      <c r="D1019" s="543"/>
      <c r="E1019" s="543"/>
      <c r="F1019" s="543"/>
      <c r="G1019" s="543"/>
      <c r="H1019" s="543"/>
      <c r="I1019" s="543"/>
      <c r="J1019" s="543"/>
      <c r="K1019" s="543"/>
      <c r="L1019" s="544"/>
      <c r="M1019" s="224">
        <f>SUMIF($Q$842:$Q$868,A1019,$M$842:$M$869)</f>
        <v>24.081471399999998</v>
      </c>
      <c r="N1019" s="353"/>
      <c r="O1019" s="224"/>
      <c r="P1019" s="354"/>
      <c r="Q1019" s="355"/>
      <c r="R1019" s="296"/>
      <c r="S1019" s="228"/>
      <c r="T1019" s="467"/>
      <c r="U1019" s="375"/>
      <c r="V1019" s="266"/>
      <c r="W1019" s="266"/>
      <c r="X1019" s="267"/>
      <c r="Y1019" s="268"/>
      <c r="Z1019" s="267"/>
      <c r="AA1019" s="268"/>
      <c r="AB1019" s="267"/>
      <c r="AC1019" s="268"/>
      <c r="AD1019" s="267"/>
      <c r="AE1019" s="268"/>
      <c r="AF1019" s="267"/>
      <c r="AG1019" s="268"/>
      <c r="AH1019" s="267"/>
      <c r="AI1019" s="268"/>
      <c r="AJ1019" s="267"/>
      <c r="AK1019" s="268"/>
    </row>
    <row r="1020" spans="1:37" s="229" customFormat="1" ht="13.5" customHeight="1" x14ac:dyDescent="0.15">
      <c r="A1020" s="542" t="s">
        <v>111</v>
      </c>
      <c r="B1020" s="543"/>
      <c r="C1020" s="543"/>
      <c r="D1020" s="543"/>
      <c r="E1020" s="543"/>
      <c r="F1020" s="543"/>
      <c r="G1020" s="543"/>
      <c r="H1020" s="543"/>
      <c r="I1020" s="543"/>
      <c r="J1020" s="543"/>
      <c r="K1020" s="543"/>
      <c r="L1020" s="544"/>
      <c r="M1020" s="224">
        <f>SUMIF($Q$842:$Q$868,A1020,$M$842:$M$869)</f>
        <v>3.2054631999999996</v>
      </c>
      <c r="N1020" s="353"/>
      <c r="O1020" s="224"/>
      <c r="P1020" s="354"/>
      <c r="Q1020" s="355"/>
      <c r="R1020" s="296"/>
      <c r="S1020" s="228"/>
      <c r="T1020" s="467"/>
      <c r="U1020" s="375"/>
      <c r="V1020" s="266"/>
      <c r="W1020" s="266"/>
      <c r="X1020" s="267"/>
      <c r="Y1020" s="268"/>
      <c r="Z1020" s="267"/>
      <c r="AA1020" s="268"/>
      <c r="AB1020" s="267"/>
      <c r="AC1020" s="268"/>
      <c r="AD1020" s="267"/>
      <c r="AE1020" s="268"/>
      <c r="AF1020" s="267"/>
      <c r="AG1020" s="268"/>
      <c r="AH1020" s="267"/>
      <c r="AI1020" s="268"/>
      <c r="AJ1020" s="267"/>
      <c r="AK1020" s="268"/>
    </row>
    <row r="1021" spans="1:37" s="229" customFormat="1" ht="13.5" customHeight="1" x14ac:dyDescent="0.15">
      <c r="A1021" s="542" t="s">
        <v>112</v>
      </c>
      <c r="B1021" s="543"/>
      <c r="C1021" s="543"/>
      <c r="D1021" s="543"/>
      <c r="E1021" s="543"/>
      <c r="F1021" s="543"/>
      <c r="G1021" s="543"/>
      <c r="H1021" s="543"/>
      <c r="I1021" s="543"/>
      <c r="J1021" s="543"/>
      <c r="K1021" s="543"/>
      <c r="L1021" s="544"/>
      <c r="M1021" s="224">
        <f>SUMIF($Q$842:$Q$868,A1021,$M$842:$M$869)</f>
        <v>1.0594068000000001</v>
      </c>
      <c r="N1021" s="353"/>
      <c r="O1021" s="224"/>
      <c r="P1021" s="354"/>
      <c r="Q1021" s="355"/>
      <c r="R1021" s="296"/>
      <c r="S1021" s="228"/>
      <c r="T1021" s="467"/>
      <c r="U1021" s="375"/>
      <c r="V1021" s="266"/>
      <c r="W1021" s="266"/>
      <c r="X1021" s="267"/>
      <c r="Y1021" s="268"/>
      <c r="Z1021" s="267"/>
      <c r="AA1021" s="268"/>
      <c r="AB1021" s="267"/>
      <c r="AC1021" s="268"/>
      <c r="AD1021" s="267"/>
      <c r="AE1021" s="268"/>
      <c r="AF1021" s="267"/>
      <c r="AG1021" s="268"/>
      <c r="AH1021" s="267"/>
      <c r="AI1021" s="268"/>
      <c r="AJ1021" s="267"/>
      <c r="AK1021" s="268"/>
    </row>
    <row r="1022" spans="1:37" ht="13.5" customHeight="1" x14ac:dyDescent="0.15">
      <c r="A1022" s="552"/>
      <c r="B1022" s="557"/>
      <c r="C1022" s="557"/>
      <c r="D1022" s="553"/>
      <c r="E1022" s="552" t="s">
        <v>48</v>
      </c>
      <c r="F1022" s="557"/>
      <c r="G1022" s="557"/>
      <c r="H1022" s="557"/>
      <c r="I1022" s="557"/>
      <c r="J1022" s="557"/>
      <c r="K1022" s="553"/>
      <c r="L1022" s="62"/>
      <c r="M1022" s="62">
        <f>SUM(M1019:M1021)</f>
        <v>28.3463414</v>
      </c>
      <c r="N1022" s="63"/>
      <c r="O1022" s="62">
        <f>SUM(O992:O1018)</f>
        <v>0</v>
      </c>
      <c r="P1022" s="63"/>
      <c r="Q1022" s="337"/>
      <c r="R1022" s="64"/>
      <c r="S1022" s="64"/>
      <c r="T1022" s="460"/>
      <c r="X1022" s="264"/>
      <c r="Y1022" s="265"/>
      <c r="Z1022" s="264"/>
      <c r="AA1022" s="265"/>
      <c r="AB1022" s="264"/>
      <c r="AC1022" s="265"/>
      <c r="AD1022" s="264"/>
      <c r="AE1022" s="265"/>
      <c r="AF1022" s="264"/>
      <c r="AG1022" s="265"/>
      <c r="AH1022" s="264"/>
      <c r="AI1022" s="265"/>
      <c r="AJ1022" s="264"/>
      <c r="AK1022" s="265"/>
    </row>
    <row r="1023" spans="1:37" ht="24" x14ac:dyDescent="0.15">
      <c r="A1023" s="65"/>
      <c r="B1023" s="560" t="s">
        <v>49</v>
      </c>
      <c r="C1023" s="561"/>
      <c r="D1023" s="561"/>
      <c r="E1023" s="562"/>
      <c r="F1023" s="565" t="s">
        <v>26</v>
      </c>
      <c r="G1023" s="566"/>
      <c r="H1023" s="66" t="s">
        <v>1167</v>
      </c>
      <c r="I1023" s="351" t="s">
        <v>1168</v>
      </c>
      <c r="J1023" s="66" t="s">
        <v>50</v>
      </c>
      <c r="K1023" s="66" t="s">
        <v>51</v>
      </c>
      <c r="L1023" s="67" t="s">
        <v>30</v>
      </c>
      <c r="M1023" s="66" t="s">
        <v>52</v>
      </c>
      <c r="N1023" s="68" t="s">
        <v>53</v>
      </c>
      <c r="O1023" s="68" t="s">
        <v>34</v>
      </c>
      <c r="P1023" s="69" t="s">
        <v>35</v>
      </c>
      <c r="Q1023" s="42"/>
      <c r="R1023" s="67"/>
      <c r="S1023" s="67"/>
      <c r="T1023" s="461"/>
      <c r="V1023" s="270" t="s">
        <v>352</v>
      </c>
      <c r="W1023" s="270" t="s">
        <v>353</v>
      </c>
      <c r="X1023" s="271" t="s">
        <v>352</v>
      </c>
      <c r="Y1023" s="272" t="s">
        <v>353</v>
      </c>
      <c r="Z1023" s="271" t="s">
        <v>352</v>
      </c>
      <c r="AA1023" s="272" t="s">
        <v>353</v>
      </c>
      <c r="AB1023" s="271" t="s">
        <v>352</v>
      </c>
      <c r="AC1023" s="272" t="s">
        <v>353</v>
      </c>
      <c r="AD1023" s="271" t="s">
        <v>352</v>
      </c>
      <c r="AE1023" s="272" t="s">
        <v>353</v>
      </c>
      <c r="AF1023" s="271" t="s">
        <v>352</v>
      </c>
      <c r="AG1023" s="272" t="s">
        <v>353</v>
      </c>
      <c r="AH1023" s="271" t="s">
        <v>352</v>
      </c>
      <c r="AI1023" s="272" t="s">
        <v>353</v>
      </c>
      <c r="AJ1023" s="271" t="s">
        <v>352</v>
      </c>
      <c r="AK1023" s="272" t="s">
        <v>353</v>
      </c>
    </row>
    <row r="1024" spans="1:37" x14ac:dyDescent="0.15">
      <c r="A1024" s="395">
        <v>1</v>
      </c>
      <c r="B1024" s="542" t="s">
        <v>133</v>
      </c>
      <c r="C1024" s="543"/>
      <c r="D1024" s="543"/>
      <c r="E1024" s="544"/>
      <c r="F1024" s="545" t="s">
        <v>55</v>
      </c>
      <c r="G1024" s="547"/>
      <c r="H1024" s="45" t="s">
        <v>1664</v>
      </c>
      <c r="I1024" s="207" t="s">
        <v>1261</v>
      </c>
      <c r="J1024" s="46">
        <f>IF(G977=55,M984-V1024-V993/2,IF(G977=551,M984-X1024-X993/2,IF(G977=60,M984-Z1024-Z993/2,IF(G977=601,M984-AB1024-AB993/2,IF(G977=65,M984-AD1024-AD993/2,IF(G977=70,M984-AF1024-AF993/2,IF(G977=75,M984-AH1024-AH993/2,IF(G977=50,M984-AJ1024-AJ993/2))))))))</f>
        <v>440.2</v>
      </c>
      <c r="K1024" s="70">
        <f>IF(G977=55,M981-W1024,IF(G977=551,M981-Y1024,IF(G977=60,M981-AA1024,IF(G977=601,M981-AC1024,IF(G977=65,M981-AE1024,IF(G977=70,M981-AG1024,IF(G977=75,M981-AI1024,IF(G977=50,M981-AK1024))))))))</f>
        <v>995.2</v>
      </c>
      <c r="L1024" s="70">
        <v>1</v>
      </c>
      <c r="M1024" s="46">
        <f>J1024*K1024*L1024/1000000</f>
        <v>0.43808704000000004</v>
      </c>
      <c r="N1024" s="46"/>
      <c r="O1024" s="46">
        <f>N1024*M1024</f>
        <v>0</v>
      </c>
      <c r="P1024" s="71"/>
      <c r="Q1024" s="71"/>
      <c r="R1024" s="72"/>
      <c r="S1024" s="72"/>
      <c r="T1024" s="462" t="s">
        <v>1621</v>
      </c>
      <c r="U1024" s="374" t="s">
        <v>1627</v>
      </c>
      <c r="V1024" s="259">
        <f t="shared" ref="V1024:AE1024" si="195">109.9+94.9</f>
        <v>204.8</v>
      </c>
      <c r="W1024" s="259">
        <f t="shared" si="195"/>
        <v>204.8</v>
      </c>
      <c r="X1024" s="286">
        <f t="shared" si="195"/>
        <v>204.8</v>
      </c>
      <c r="Y1024" s="304">
        <f t="shared" si="195"/>
        <v>204.8</v>
      </c>
      <c r="Z1024" s="286">
        <f t="shared" si="195"/>
        <v>204.8</v>
      </c>
      <c r="AA1024" s="304">
        <f t="shared" si="195"/>
        <v>204.8</v>
      </c>
      <c r="AB1024" s="286">
        <f t="shared" si="195"/>
        <v>204.8</v>
      </c>
      <c r="AC1024" s="304">
        <f t="shared" si="195"/>
        <v>204.8</v>
      </c>
      <c r="AD1024" s="286">
        <f t="shared" si="195"/>
        <v>204.8</v>
      </c>
      <c r="AE1024" s="304">
        <f t="shared" si="195"/>
        <v>204.8</v>
      </c>
      <c r="AF1024" s="286">
        <f>117.4+102.4</f>
        <v>219.8</v>
      </c>
      <c r="AG1024" s="304">
        <f>117.4+102.4</f>
        <v>219.8</v>
      </c>
      <c r="AH1024" s="286">
        <f>117.4+102.4</f>
        <v>219.8</v>
      </c>
      <c r="AI1024" s="304">
        <f>117.4+102.4</f>
        <v>219.8</v>
      </c>
      <c r="AJ1024" s="259">
        <f>98.4+83.1</f>
        <v>181.5</v>
      </c>
      <c r="AK1024" s="318">
        <f>98.4+83.1</f>
        <v>181.5</v>
      </c>
    </row>
    <row r="1025" spans="1:37" x14ac:dyDescent="0.15">
      <c r="A1025" s="396">
        <v>2</v>
      </c>
      <c r="B1025" s="542" t="s">
        <v>134</v>
      </c>
      <c r="C1025" s="543"/>
      <c r="D1025" s="543"/>
      <c r="E1025" s="544"/>
      <c r="F1025" s="545" t="s">
        <v>135</v>
      </c>
      <c r="G1025" s="547"/>
      <c r="H1025" s="45" t="s">
        <v>1665</v>
      </c>
      <c r="I1025" s="207" t="s">
        <v>1264</v>
      </c>
      <c r="J1025" s="208">
        <f>IF(G977=55,M984-V1025-V993/2,IF(G977=551,M984-X1025-X993/2,IF(G977=60,M984-Z1025-Z993/2,IF(G977=601,M984-AB1025-AB993/2,IF(G977=65,M984-AD1025-AD993/2,IF(G977=70,M984-AF1025-AF993/2,IF(G977=75,M984-AH1025-AH993/2,IF(G977=50,M984-AJ1025-AJ993/2))))))))</f>
        <v>592</v>
      </c>
      <c r="K1025" s="239">
        <f>IF(G977=55,M982-W1025,IF(G977=551,M982-Y1025,IF(G977=60,M982-AA1025,IF(G977=601,M982-AC1025,IF(G977=65,M982-AE1025,IF(G977=70,M982-AG1025,IF(G977=75,M982-AI1025,IF(G977=50,M982-AK1025))))))))</f>
        <v>447</v>
      </c>
      <c r="L1025" s="239">
        <v>1</v>
      </c>
      <c r="M1025" s="46">
        <f>J1025*K1025*L1025/1000000</f>
        <v>0.26462400000000003</v>
      </c>
      <c r="N1025" s="208"/>
      <c r="O1025" s="46">
        <f>N1025*M1025</f>
        <v>0</v>
      </c>
      <c r="P1025" s="240"/>
      <c r="Q1025" s="71"/>
      <c r="R1025" s="209"/>
      <c r="S1025" s="209"/>
      <c r="T1025" s="462" t="s">
        <v>1622</v>
      </c>
      <c r="U1025" s="374" t="s">
        <v>1628</v>
      </c>
      <c r="V1025" s="259">
        <f t="shared" ref="V1025:AE1025" si="196">18+35</f>
        <v>53</v>
      </c>
      <c r="W1025" s="259">
        <f t="shared" si="196"/>
        <v>53</v>
      </c>
      <c r="X1025" s="286">
        <f t="shared" si="196"/>
        <v>53</v>
      </c>
      <c r="Y1025" s="304">
        <f t="shared" si="196"/>
        <v>53</v>
      </c>
      <c r="Z1025" s="286">
        <f t="shared" si="196"/>
        <v>53</v>
      </c>
      <c r="AA1025" s="304">
        <f t="shared" si="196"/>
        <v>53</v>
      </c>
      <c r="AB1025" s="286">
        <f t="shared" si="196"/>
        <v>53</v>
      </c>
      <c r="AC1025" s="304">
        <f t="shared" si="196"/>
        <v>53</v>
      </c>
      <c r="AD1025" s="286">
        <f t="shared" si="196"/>
        <v>53</v>
      </c>
      <c r="AE1025" s="304">
        <f t="shared" si="196"/>
        <v>53</v>
      </c>
      <c r="AF1025" s="286">
        <f>20+35</f>
        <v>55</v>
      </c>
      <c r="AG1025" s="304">
        <f>20+35</f>
        <v>55</v>
      </c>
      <c r="AH1025" s="286">
        <f>20+35</f>
        <v>55</v>
      </c>
      <c r="AI1025" s="304">
        <f>20+35</f>
        <v>55</v>
      </c>
      <c r="AJ1025" s="264">
        <f>16+31.3</f>
        <v>47.3</v>
      </c>
      <c r="AK1025" s="318">
        <f>16+31.3</f>
        <v>47.3</v>
      </c>
    </row>
    <row r="1026" spans="1:37" x14ac:dyDescent="0.15">
      <c r="A1026" s="395">
        <v>3</v>
      </c>
      <c r="B1026" s="542" t="s">
        <v>134</v>
      </c>
      <c r="C1026" s="543"/>
      <c r="D1026" s="543"/>
      <c r="E1026" s="544"/>
      <c r="F1026" s="545" t="s">
        <v>145</v>
      </c>
      <c r="G1026" s="547"/>
      <c r="H1026" s="45" t="s">
        <v>1295</v>
      </c>
      <c r="I1026" s="207" t="s">
        <v>1265</v>
      </c>
      <c r="J1026" s="45">
        <f>IF(G977=55,M985-V1026,IF(G977=551,M985-X1026,IF(G977=60,M985-Z1026,IF(G977=601,M985-AB1026,IF(G977=65,M985-AD1026,IF(G977=70,M985-AF1026,IF(G977=75,M985-AH1026,IF(G977=50,M985-AJ1026))))))))</f>
        <v>1092</v>
      </c>
      <c r="K1026" s="45">
        <f>IF(G977=55,M979-W1026,IF(G977=551,M979-Y1026,IF(G977=60,M979-AA1026,IF(G977=601,M979-AC1026,IF(G977=65,M979-AE1026,IF(G977=70,M979-AG1026,IF(G977=75,M979-AI1026,IF(G977=50,M979-AK1026))))))))</f>
        <v>1630</v>
      </c>
      <c r="L1026" s="70">
        <v>1</v>
      </c>
      <c r="M1026" s="46">
        <f>J1026*K1026*L1026/1000000</f>
        <v>1.77996</v>
      </c>
      <c r="N1026" s="46"/>
      <c r="O1026" s="46">
        <f>N1026*M1026</f>
        <v>0</v>
      </c>
      <c r="P1026" s="71"/>
      <c r="Q1026" s="71"/>
      <c r="R1026" s="72"/>
      <c r="S1026" s="72"/>
      <c r="T1026" s="462" t="s">
        <v>1629</v>
      </c>
      <c r="U1026" s="374" t="s">
        <v>1623</v>
      </c>
      <c r="V1026" s="259">
        <f>18+90</f>
        <v>108</v>
      </c>
      <c r="W1026" s="259">
        <f>35*2</f>
        <v>70</v>
      </c>
      <c r="X1026" s="286">
        <f>18+90</f>
        <v>108</v>
      </c>
      <c r="Y1026" s="304">
        <f>35*2</f>
        <v>70</v>
      </c>
      <c r="Z1026" s="286">
        <f>18+95.2</f>
        <v>113.2</v>
      </c>
      <c r="AA1026" s="304">
        <f>35*2</f>
        <v>70</v>
      </c>
      <c r="AB1026" s="286">
        <f>18+95.4</f>
        <v>113.4</v>
      </c>
      <c r="AC1026" s="304">
        <f>35*2</f>
        <v>70</v>
      </c>
      <c r="AD1026" s="286">
        <f>18+97.2</f>
        <v>115.2</v>
      </c>
      <c r="AE1026" s="304">
        <f>35*2</f>
        <v>70</v>
      </c>
      <c r="AF1026" s="286">
        <f>20+105.2</f>
        <v>125.2</v>
      </c>
      <c r="AG1026" s="265">
        <f>35*2</f>
        <v>70</v>
      </c>
      <c r="AH1026" s="286">
        <f>20+109.2</f>
        <v>129.19999999999999</v>
      </c>
      <c r="AI1026" s="265">
        <f>35*2</f>
        <v>70</v>
      </c>
      <c r="AJ1026" s="264">
        <f>16+81.3</f>
        <v>97.3</v>
      </c>
      <c r="AK1026" s="265">
        <f>31.3*2</f>
        <v>62.6</v>
      </c>
    </row>
    <row r="1027" spans="1:37" x14ac:dyDescent="0.15">
      <c r="A1027" s="396">
        <v>4</v>
      </c>
      <c r="B1027" s="542" t="s">
        <v>134</v>
      </c>
      <c r="C1027" s="543"/>
      <c r="D1027" s="543"/>
      <c r="E1027" s="544"/>
      <c r="F1027" s="545" t="s">
        <v>147</v>
      </c>
      <c r="G1027" s="547"/>
      <c r="H1027" s="45" t="s">
        <v>1645</v>
      </c>
      <c r="I1027" s="207" t="s">
        <v>1265</v>
      </c>
      <c r="J1027" s="46">
        <f>IF(G977=55,M986-V1027,IF(G977=551,M986-X1027,IF(G977=60,M986-Z1027,IF(G977=601,M986-AB1027,IF(G977=65,M986-AD1027,IF(G977=70,M986-AF1027,IF(G977=75,M986-AH1027,IF(G977=50,M986-AJ1027))))))))</f>
        <v>375</v>
      </c>
      <c r="K1027" s="395">
        <f>IF(G977=55,M979-W1027,IF(G977=551,M979-Y1027,IF(G977=60,M979-AA1027,IF(G977=601,M979-AC1027,IF(G977=65,M979-AE1027,IF(G977=70,M979-AG1027,IF(G977=75,M979-AI1027,IF(G977=50,M979-AK1027))))))))</f>
        <v>1630</v>
      </c>
      <c r="L1027" s="239">
        <v>1</v>
      </c>
      <c r="M1027" s="46">
        <f>J1027*K1027*L1027/1000000</f>
        <v>0.61124999999999996</v>
      </c>
      <c r="N1027" s="46"/>
      <c r="O1027" s="46">
        <f>N1027*M1027</f>
        <v>0</v>
      </c>
      <c r="P1027" s="48"/>
      <c r="Q1027" s="48"/>
      <c r="R1027" s="73"/>
      <c r="S1027" s="73"/>
      <c r="T1027" s="463" t="s">
        <v>1644</v>
      </c>
      <c r="U1027" s="374" t="s">
        <v>1623</v>
      </c>
      <c r="V1027" s="259">
        <f>90+35</f>
        <v>125</v>
      </c>
      <c r="W1027" s="259">
        <f>35*2</f>
        <v>70</v>
      </c>
      <c r="X1027" s="286">
        <f>90+35</f>
        <v>125</v>
      </c>
      <c r="Y1027" s="304">
        <f>35*2</f>
        <v>70</v>
      </c>
      <c r="Z1027" s="286">
        <f>95.2+35</f>
        <v>130.19999999999999</v>
      </c>
      <c r="AA1027" s="304">
        <f>35*2</f>
        <v>70</v>
      </c>
      <c r="AB1027" s="286">
        <f>95.4+35</f>
        <v>130.4</v>
      </c>
      <c r="AC1027" s="304">
        <f>35*2</f>
        <v>70</v>
      </c>
      <c r="AD1027" s="286">
        <f>97.2+35</f>
        <v>132.19999999999999</v>
      </c>
      <c r="AE1027" s="304">
        <f>35*2</f>
        <v>70</v>
      </c>
      <c r="AF1027" s="286">
        <f>105.2+35</f>
        <v>140.19999999999999</v>
      </c>
      <c r="AG1027" s="265">
        <f>35*2</f>
        <v>70</v>
      </c>
      <c r="AH1027" s="286">
        <f>109.2+35</f>
        <v>144.19999999999999</v>
      </c>
      <c r="AI1027" s="265">
        <f>35*2</f>
        <v>70</v>
      </c>
      <c r="AJ1027" s="264">
        <f>81.3+31.3</f>
        <v>112.6</v>
      </c>
      <c r="AK1027" s="265">
        <f>31.3*2</f>
        <v>62.6</v>
      </c>
    </row>
    <row r="1028" spans="1:37" x14ac:dyDescent="0.15">
      <c r="A1028" s="414"/>
      <c r="B1028" s="446"/>
      <c r="C1028" s="447"/>
      <c r="D1028" s="447"/>
      <c r="E1028" s="448"/>
      <c r="F1028" s="434"/>
      <c r="G1028" s="436"/>
      <c r="H1028" s="207"/>
      <c r="I1028" s="207"/>
      <c r="J1028" s="208"/>
      <c r="K1028" s="414"/>
      <c r="L1028" s="239"/>
      <c r="M1028" s="208"/>
      <c r="N1028" s="208"/>
      <c r="O1028" s="208"/>
      <c r="P1028" s="437"/>
      <c r="Q1028" s="336"/>
      <c r="R1028" s="117"/>
      <c r="S1028" s="117"/>
      <c r="T1028" s="463"/>
      <c r="X1028" s="288"/>
      <c r="Y1028" s="288"/>
      <c r="Z1028" s="288"/>
      <c r="AA1028" s="288"/>
      <c r="AB1028" s="288"/>
      <c r="AC1028" s="288"/>
      <c r="AD1028" s="288"/>
      <c r="AE1028" s="288"/>
      <c r="AF1028" s="288"/>
      <c r="AG1028" s="265"/>
      <c r="AH1028" s="288"/>
      <c r="AI1028" s="265"/>
      <c r="AJ1028" s="265"/>
      <c r="AK1028" s="265"/>
    </row>
    <row r="1029" spans="1:37" x14ac:dyDescent="0.15">
      <c r="A1029" s="414"/>
      <c r="B1029" s="446"/>
      <c r="C1029" s="447"/>
      <c r="D1029" s="447"/>
      <c r="E1029" s="448"/>
      <c r="F1029" s="434"/>
      <c r="G1029" s="436"/>
      <c r="H1029" s="207"/>
      <c r="I1029" s="207"/>
      <c r="J1029" s="208"/>
      <c r="K1029" s="414"/>
      <c r="L1029" s="239"/>
      <c r="M1029" s="208"/>
      <c r="N1029" s="208"/>
      <c r="O1029" s="208"/>
      <c r="P1029" s="437"/>
      <c r="Q1029" s="336"/>
      <c r="R1029" s="117"/>
      <c r="S1029" s="117"/>
      <c r="T1029" s="463"/>
      <c r="X1029" s="288"/>
      <c r="Y1029" s="288"/>
      <c r="Z1029" s="288"/>
      <c r="AA1029" s="288"/>
      <c r="AB1029" s="288"/>
      <c r="AC1029" s="288"/>
      <c r="AD1029" s="288"/>
      <c r="AE1029" s="288"/>
      <c r="AF1029" s="288"/>
      <c r="AG1029" s="265"/>
      <c r="AH1029" s="288"/>
      <c r="AI1029" s="265"/>
      <c r="AJ1029" s="265"/>
      <c r="AK1029" s="265"/>
    </row>
    <row r="1030" spans="1:37" x14ac:dyDescent="0.15">
      <c r="A1030" s="74"/>
      <c r="B1030" s="552"/>
      <c r="C1030" s="557"/>
      <c r="D1030" s="557"/>
      <c r="E1030" s="553"/>
      <c r="F1030" s="554" t="s">
        <v>56</v>
      </c>
      <c r="G1030" s="554"/>
      <c r="H1030" s="554"/>
      <c r="I1030" s="579"/>
      <c r="J1030" s="570"/>
      <c r="K1030" s="570"/>
      <c r="L1030" s="554"/>
      <c r="M1030" s="62">
        <f>SUM(M1024:M1029)</f>
        <v>3.0939210400000001</v>
      </c>
      <c r="N1030" s="391"/>
      <c r="O1030" s="62">
        <f>SUM(O1024:O1029)</f>
        <v>0</v>
      </c>
      <c r="P1030" s="63" t="s">
        <v>57</v>
      </c>
      <c r="Q1030" s="337"/>
      <c r="R1030" s="64"/>
      <c r="S1030" s="64"/>
      <c r="T1030" s="460"/>
    </row>
    <row r="1031" spans="1:37" ht="24" x14ac:dyDescent="0.15">
      <c r="A1031" s="65"/>
      <c r="B1031" s="560" t="s">
        <v>58</v>
      </c>
      <c r="C1031" s="561"/>
      <c r="D1031" s="561"/>
      <c r="E1031" s="562"/>
      <c r="F1031" s="565" t="s">
        <v>26</v>
      </c>
      <c r="G1031" s="566"/>
      <c r="H1031" s="66" t="s">
        <v>59</v>
      </c>
      <c r="I1031" s="351"/>
      <c r="J1031" s="66" t="s">
        <v>60</v>
      </c>
      <c r="K1031" s="66" t="s">
        <v>6</v>
      </c>
      <c r="L1031" s="67" t="s">
        <v>61</v>
      </c>
      <c r="M1031" s="66" t="s">
        <v>30</v>
      </c>
      <c r="N1031" s="68" t="s">
        <v>62</v>
      </c>
      <c r="O1031" s="68" t="s">
        <v>34</v>
      </c>
      <c r="P1031" s="69" t="s">
        <v>57</v>
      </c>
      <c r="Q1031" s="42"/>
      <c r="R1031" s="67"/>
      <c r="S1031" s="67"/>
      <c r="T1031" s="461"/>
    </row>
    <row r="1032" spans="1:37" ht="25.5" customHeight="1" x14ac:dyDescent="0.15">
      <c r="A1032" s="395">
        <v>1</v>
      </c>
      <c r="B1032" s="542"/>
      <c r="C1032" s="543"/>
      <c r="D1032" s="543"/>
      <c r="E1032" s="544"/>
      <c r="F1032" s="545" t="s">
        <v>872</v>
      </c>
      <c r="G1032" s="547"/>
      <c r="H1032" s="45"/>
      <c r="I1032" s="207"/>
      <c r="J1032" s="45"/>
      <c r="K1032" s="46" t="str">
        <f>VLOOKUP($F:$F,材料单价表!$B$3:$G$42,4,0)</f>
        <v>套</v>
      </c>
      <c r="L1032" s="72"/>
      <c r="M1032" s="46">
        <v>1</v>
      </c>
      <c r="N1032" s="46">
        <f>VLOOKUP($F:$F,材料单价表!$B$3:$G$42,5,0)</f>
        <v>0</v>
      </c>
      <c r="O1032" s="46">
        <f t="shared" ref="O1032" si="197">N1032*M1032</f>
        <v>0</v>
      </c>
      <c r="P1032" s="48"/>
      <c r="Q1032" s="48"/>
      <c r="R1032" s="73"/>
      <c r="S1032" s="73"/>
      <c r="T1032" s="463"/>
    </row>
    <row r="1033" spans="1:37" x14ac:dyDescent="0.15">
      <c r="A1033" s="74"/>
      <c r="B1033" s="552"/>
      <c r="C1033" s="557"/>
      <c r="D1033" s="557"/>
      <c r="E1033" s="553"/>
      <c r="F1033" s="554" t="s">
        <v>64</v>
      </c>
      <c r="G1033" s="554"/>
      <c r="H1033" s="554"/>
      <c r="I1033" s="579"/>
      <c r="J1033" s="570"/>
      <c r="K1033" s="570"/>
      <c r="L1033" s="554"/>
      <c r="M1033" s="62">
        <f>M1032</f>
        <v>1</v>
      </c>
      <c r="N1033" s="391"/>
      <c r="O1033" s="62">
        <f>SUM(O1032:O1032)</f>
        <v>0</v>
      </c>
      <c r="P1033" s="63" t="s">
        <v>57</v>
      </c>
      <c r="Q1033" s="337"/>
      <c r="R1033" s="64"/>
      <c r="S1033" s="64"/>
      <c r="T1033" s="460"/>
    </row>
    <row r="1034" spans="1:37" ht="24" x14ac:dyDescent="0.15">
      <c r="A1034" s="65"/>
      <c r="B1034" s="560" t="s">
        <v>65</v>
      </c>
      <c r="C1034" s="561"/>
      <c r="D1034" s="561"/>
      <c r="E1034" s="562"/>
      <c r="F1034" s="565" t="s">
        <v>26</v>
      </c>
      <c r="G1034" s="566"/>
      <c r="H1034" s="66" t="s">
        <v>59</v>
      </c>
      <c r="I1034" s="351"/>
      <c r="J1034" s="66" t="s">
        <v>60</v>
      </c>
      <c r="K1034" s="66" t="s">
        <v>6</v>
      </c>
      <c r="L1034" s="67" t="s">
        <v>61</v>
      </c>
      <c r="M1034" s="66" t="s">
        <v>30</v>
      </c>
      <c r="N1034" s="68" t="s">
        <v>62</v>
      </c>
      <c r="O1034" s="68" t="s">
        <v>34</v>
      </c>
      <c r="P1034" s="69" t="s">
        <v>57</v>
      </c>
      <c r="Q1034" s="42"/>
      <c r="R1034" s="67"/>
      <c r="S1034" s="67"/>
      <c r="T1034" s="461"/>
    </row>
    <row r="1035" spans="1:37" ht="13.5" customHeight="1" x14ac:dyDescent="0.15">
      <c r="A1035" s="76">
        <v>1</v>
      </c>
      <c r="B1035" s="542"/>
      <c r="C1035" s="543"/>
      <c r="D1035" s="543"/>
      <c r="E1035" s="544"/>
      <c r="F1035" s="558" t="s">
        <v>66</v>
      </c>
      <c r="G1035" s="559"/>
      <c r="H1035" s="78"/>
      <c r="I1035" s="352"/>
      <c r="J1035" s="77"/>
      <c r="K1035" s="46" t="str">
        <f>VLOOKUP($F:$F,材料单价表!$B$3:$G$42,4,0)</f>
        <v>m</v>
      </c>
      <c r="L1035" s="46"/>
      <c r="M1035" s="80">
        <f>M990</f>
        <v>9.6</v>
      </c>
      <c r="N1035" s="46">
        <f>VLOOKUP($F:$F,材料单价表!$B$3:$G$42,5,0)</f>
        <v>0</v>
      </c>
      <c r="O1035" s="46">
        <f>N1035*M1035</f>
        <v>0</v>
      </c>
      <c r="P1035" s="48"/>
      <c r="Q1035" s="59"/>
      <c r="R1035" s="81"/>
      <c r="S1035" s="79"/>
      <c r="T1035" s="464"/>
    </row>
    <row r="1036" spans="1:37" ht="15.75" customHeight="1" x14ac:dyDescent="0.15">
      <c r="A1036" s="76">
        <v>2</v>
      </c>
      <c r="B1036" s="542"/>
      <c r="C1036" s="543"/>
      <c r="D1036" s="543"/>
      <c r="E1036" s="544"/>
      <c r="F1036" s="558" t="s">
        <v>68</v>
      </c>
      <c r="G1036" s="559"/>
      <c r="H1036" s="78" t="s">
        <v>67</v>
      </c>
      <c r="I1036" s="352"/>
      <c r="J1036" s="77"/>
      <c r="K1036" s="46" t="str">
        <f>VLOOKUP($F:$F,材料单价表!$B$3:$G$42,4,0)</f>
        <v>m</v>
      </c>
      <c r="L1036" s="46"/>
      <c r="M1036" s="80">
        <f>(J1004*K1004+J1007*K1007+J1005*K1005+J1006*K1006+J1008*K1008+J1009*K1009+J1010*K1010)/1000*2</f>
        <v>37.729599999999998</v>
      </c>
      <c r="N1036" s="46">
        <f>VLOOKUP($F:$F,材料单价表!$B$3:$G$42,5,0)</f>
        <v>0</v>
      </c>
      <c r="O1036" s="46">
        <f t="shared" ref="O1036:O1041" si="198">N1036*M1036</f>
        <v>0</v>
      </c>
      <c r="P1036" s="48"/>
      <c r="Q1036" s="59"/>
      <c r="R1036" s="81"/>
      <c r="S1036" s="79"/>
      <c r="T1036" s="464"/>
      <c r="V1036" s="104"/>
      <c r="W1036" s="104"/>
    </row>
    <row r="1037" spans="1:37" ht="13.5" customHeight="1" x14ac:dyDescent="0.15">
      <c r="A1037" s="76">
        <v>3</v>
      </c>
      <c r="B1037" s="542"/>
      <c r="C1037" s="543"/>
      <c r="D1037" s="543"/>
      <c r="E1037" s="544"/>
      <c r="F1037" s="558" t="s">
        <v>68</v>
      </c>
      <c r="G1037" s="559"/>
      <c r="H1037" s="78" t="s">
        <v>69</v>
      </c>
      <c r="I1037" s="352"/>
      <c r="J1037" s="77"/>
      <c r="K1037" s="46" t="str">
        <f>VLOOKUP($F:$F,材料单价表!$B$3:$G$42,4,0)</f>
        <v>m</v>
      </c>
      <c r="L1037" s="46"/>
      <c r="M1037" s="80">
        <f>M990</f>
        <v>9.6</v>
      </c>
      <c r="N1037" s="46">
        <f>VLOOKUP($F:$F,材料单价表!$B$3:$G$42,5,0)</f>
        <v>0</v>
      </c>
      <c r="O1037" s="46">
        <f t="shared" si="198"/>
        <v>0</v>
      </c>
      <c r="P1037" s="48"/>
      <c r="Q1037" s="59"/>
      <c r="R1037" s="81"/>
      <c r="S1037" s="79"/>
      <c r="T1037" s="464"/>
      <c r="V1037" s="104"/>
      <c r="W1037" s="104"/>
    </row>
    <row r="1038" spans="1:37" ht="13.5" customHeight="1" x14ac:dyDescent="0.15">
      <c r="A1038" s="76">
        <v>4</v>
      </c>
      <c r="B1038" s="542"/>
      <c r="C1038" s="543"/>
      <c r="D1038" s="543"/>
      <c r="E1038" s="544"/>
      <c r="F1038" s="558" t="s">
        <v>68</v>
      </c>
      <c r="G1038" s="559"/>
      <c r="H1038" s="78" t="s">
        <v>70</v>
      </c>
      <c r="I1038" s="352"/>
      <c r="J1038" s="77"/>
      <c r="K1038" s="46" t="str">
        <f>VLOOKUP($F:$F,材料单价表!$B$3:$G$42,4,0)</f>
        <v>m</v>
      </c>
      <c r="L1038" s="46"/>
      <c r="M1038" s="80">
        <f>M990</f>
        <v>9.6</v>
      </c>
      <c r="N1038" s="46">
        <f>VLOOKUP($F:$F,材料单价表!$B$3:$G$42,5,0)</f>
        <v>0</v>
      </c>
      <c r="O1038" s="46">
        <f t="shared" si="198"/>
        <v>0</v>
      </c>
      <c r="P1038" s="48"/>
      <c r="Q1038" s="59"/>
      <c r="R1038" s="81"/>
      <c r="S1038" s="79"/>
      <c r="T1038" s="464"/>
      <c r="V1038" s="104"/>
      <c r="W1038" s="104"/>
    </row>
    <row r="1039" spans="1:37" ht="13.5" customHeight="1" x14ac:dyDescent="0.15">
      <c r="A1039" s="76">
        <v>5</v>
      </c>
      <c r="B1039" s="542"/>
      <c r="C1039" s="543"/>
      <c r="D1039" s="543"/>
      <c r="E1039" s="544"/>
      <c r="F1039" s="558" t="s">
        <v>71</v>
      </c>
      <c r="G1039" s="559"/>
      <c r="H1039" s="78"/>
      <c r="I1039" s="352"/>
      <c r="J1039" s="77"/>
      <c r="K1039" s="46" t="str">
        <f>VLOOKUP($F:$F,材料单价表!$B$3:$G$42,4,0)</f>
        <v>个</v>
      </c>
      <c r="L1039" s="79"/>
      <c r="M1039" s="80">
        <f>SUM(K1011:K1013)</f>
        <v>20</v>
      </c>
      <c r="N1039" s="46">
        <f>VLOOKUP($F:$F,材料单价表!$B$3:$G$42,5,0)</f>
        <v>0</v>
      </c>
      <c r="O1039" s="46">
        <f t="shared" si="198"/>
        <v>0</v>
      </c>
      <c r="P1039" s="48"/>
      <c r="Q1039" s="59"/>
      <c r="R1039" s="81"/>
      <c r="S1039" s="79"/>
      <c r="T1039" s="464"/>
    </row>
    <row r="1040" spans="1:37" ht="13.5" customHeight="1" x14ac:dyDescent="0.15">
      <c r="A1040" s="76">
        <v>6</v>
      </c>
      <c r="B1040" s="542"/>
      <c r="C1040" s="543"/>
      <c r="D1040" s="543"/>
      <c r="E1040" s="544"/>
      <c r="F1040" s="558" t="s">
        <v>121</v>
      </c>
      <c r="G1040" s="559"/>
      <c r="H1040" s="78"/>
      <c r="I1040" s="352"/>
      <c r="J1040" s="77"/>
      <c r="K1040" s="46" t="str">
        <f>VLOOKUP($F:$F,材料单价表!$B$3:$G$42,4,0)</f>
        <v>m</v>
      </c>
      <c r="L1040" s="79"/>
      <c r="M1040" s="80">
        <f>(J996*K996+J997*K997)/1000*2</f>
        <v>6.7176</v>
      </c>
      <c r="N1040" s="46">
        <f>VLOOKUP($F:$F,材料单价表!$B$3:$G$42,5,0)</f>
        <v>0</v>
      </c>
      <c r="O1040" s="46">
        <f t="shared" si="198"/>
        <v>0</v>
      </c>
      <c r="P1040" s="48"/>
      <c r="Q1040" s="59"/>
      <c r="R1040" s="81"/>
      <c r="S1040" s="46"/>
      <c r="T1040" s="465"/>
    </row>
    <row r="1041" spans="1:20" x14ac:dyDescent="0.15">
      <c r="A1041" s="76">
        <v>7</v>
      </c>
      <c r="B1041" s="542"/>
      <c r="C1041" s="543"/>
      <c r="D1041" s="543"/>
      <c r="E1041" s="544"/>
      <c r="F1041" s="558" t="s">
        <v>72</v>
      </c>
      <c r="G1041" s="559"/>
      <c r="H1041" s="45"/>
      <c r="I1041" s="207"/>
      <c r="J1041" s="45"/>
      <c r="K1041" s="46" t="str">
        <f>VLOOKUP($F:$F,材料单价表!$B$3:$G$42,4,0)</f>
        <v>m2</v>
      </c>
      <c r="L1041" s="72"/>
      <c r="M1041" s="46">
        <f>M1047</f>
        <v>5.4</v>
      </c>
      <c r="N1041" s="46">
        <f>VLOOKUP($F:$F,材料单价表!$B$3:$G$42,5,0)</f>
        <v>0</v>
      </c>
      <c r="O1041" s="46">
        <f t="shared" si="198"/>
        <v>0</v>
      </c>
      <c r="P1041" s="48"/>
      <c r="Q1041" s="48"/>
      <c r="R1041" s="73"/>
      <c r="S1041" s="73"/>
      <c r="T1041" s="463"/>
    </row>
    <row r="1042" spans="1:20" x14ac:dyDescent="0.15">
      <c r="A1042" s="76">
        <v>8</v>
      </c>
      <c r="B1042" s="542"/>
      <c r="C1042" s="543"/>
      <c r="D1042" s="543"/>
      <c r="E1042" s="544"/>
      <c r="F1042" s="393"/>
      <c r="G1042" s="394"/>
      <c r="H1042" s="207"/>
      <c r="I1042" s="207"/>
      <c r="J1042" s="207"/>
      <c r="K1042" s="208"/>
      <c r="L1042" s="209"/>
      <c r="M1042" s="208"/>
      <c r="N1042" s="208"/>
      <c r="O1042" s="208"/>
      <c r="P1042" s="211"/>
      <c r="Q1042" s="48"/>
      <c r="R1042" s="212"/>
      <c r="S1042" s="212"/>
      <c r="T1042" s="463"/>
    </row>
    <row r="1043" spans="1:20" x14ac:dyDescent="0.15">
      <c r="A1043" s="76">
        <v>9</v>
      </c>
      <c r="B1043" s="542"/>
      <c r="C1043" s="543"/>
      <c r="D1043" s="543"/>
      <c r="E1043" s="544"/>
      <c r="F1043" s="558"/>
      <c r="G1043" s="559"/>
      <c r="H1043" s="45"/>
      <c r="I1043" s="207"/>
      <c r="J1043" s="45"/>
      <c r="K1043" s="45"/>
      <c r="L1043" s="72"/>
      <c r="M1043" s="46"/>
      <c r="N1043" s="46"/>
      <c r="O1043" s="82"/>
      <c r="P1043" s="48"/>
      <c r="Q1043" s="48"/>
      <c r="R1043" s="73"/>
      <c r="S1043" s="73"/>
      <c r="T1043" s="463"/>
    </row>
    <row r="1044" spans="1:20" x14ac:dyDescent="0.15">
      <c r="A1044" s="74"/>
      <c r="B1044" s="552"/>
      <c r="C1044" s="557"/>
      <c r="D1044" s="557"/>
      <c r="E1044" s="553"/>
      <c r="F1044" s="552" t="s">
        <v>73</v>
      </c>
      <c r="G1044" s="557"/>
      <c r="H1044" s="557"/>
      <c r="I1044" s="557"/>
      <c r="J1044" s="557"/>
      <c r="K1044" s="557"/>
      <c r="L1044" s="557"/>
      <c r="M1044" s="61"/>
      <c r="N1044" s="61"/>
      <c r="O1044" s="62">
        <f>SUM(O1035:O1043)</f>
        <v>0</v>
      </c>
      <c r="P1044" s="63" t="s">
        <v>57</v>
      </c>
      <c r="Q1044" s="337"/>
      <c r="R1044" s="64"/>
      <c r="S1044" s="64"/>
      <c r="T1044" s="460"/>
    </row>
    <row r="1045" spans="1:20" x14ac:dyDescent="0.15">
      <c r="A1045" s="74"/>
      <c r="B1045" s="552"/>
      <c r="C1045" s="557"/>
      <c r="D1045" s="557"/>
      <c r="E1045" s="553"/>
      <c r="F1045" s="552" t="s">
        <v>74</v>
      </c>
      <c r="G1045" s="557"/>
      <c r="H1045" s="557"/>
      <c r="I1045" s="557"/>
      <c r="J1045" s="557"/>
      <c r="K1045" s="557"/>
      <c r="L1045" s="557"/>
      <c r="M1045" s="557"/>
      <c r="N1045" s="553"/>
      <c r="O1045" s="62">
        <f>O1044+O1033+O1030+O1022</f>
        <v>0</v>
      </c>
      <c r="P1045" s="63" t="s">
        <v>57</v>
      </c>
      <c r="Q1045" s="337"/>
      <c r="R1045" s="64"/>
      <c r="S1045" s="64"/>
      <c r="T1045" s="460"/>
    </row>
    <row r="1046" spans="1:20" ht="24" x14ac:dyDescent="0.15">
      <c r="A1046" s="65"/>
      <c r="B1046" s="560" t="s">
        <v>75</v>
      </c>
      <c r="C1046" s="561"/>
      <c r="D1046" s="561"/>
      <c r="E1046" s="562"/>
      <c r="F1046" s="565" t="s">
        <v>26</v>
      </c>
      <c r="G1046" s="566"/>
      <c r="H1046" s="66"/>
      <c r="I1046" s="351"/>
      <c r="J1046" s="66"/>
      <c r="K1046" s="66" t="s">
        <v>6</v>
      </c>
      <c r="L1046" s="83" t="s">
        <v>61</v>
      </c>
      <c r="M1046" s="66" t="s">
        <v>76</v>
      </c>
      <c r="N1046" s="68" t="s">
        <v>62</v>
      </c>
      <c r="O1046" s="68" t="s">
        <v>34</v>
      </c>
      <c r="P1046" s="84" t="s">
        <v>57</v>
      </c>
      <c r="Q1046" s="84"/>
      <c r="R1046" s="67"/>
      <c r="S1046" s="67"/>
      <c r="T1046" s="461"/>
    </row>
    <row r="1047" spans="1:20" x14ac:dyDescent="0.15">
      <c r="A1047" s="395">
        <v>1</v>
      </c>
      <c r="B1047" s="542"/>
      <c r="C1047" s="543"/>
      <c r="D1047" s="543"/>
      <c r="E1047" s="544"/>
      <c r="F1047" s="545" t="s">
        <v>77</v>
      </c>
      <c r="G1047" s="547"/>
      <c r="H1047" s="45"/>
      <c r="I1047" s="207"/>
      <c r="J1047" s="46"/>
      <c r="K1047" s="45" t="s">
        <v>78</v>
      </c>
      <c r="L1047" s="72"/>
      <c r="M1047" s="85">
        <f>O977</f>
        <v>5.4</v>
      </c>
      <c r="N1047" s="46">
        <f>VLOOKUP($F:$F,材料单价表!$B$3:$G$42,5,0)</f>
        <v>0</v>
      </c>
      <c r="O1047" s="46">
        <f>N1047*M1047</f>
        <v>0</v>
      </c>
      <c r="P1047" s="48"/>
      <c r="Q1047" s="48"/>
      <c r="R1047" s="72"/>
      <c r="S1047" s="72"/>
      <c r="T1047" s="462"/>
    </row>
    <row r="1048" spans="1:20" x14ac:dyDescent="0.15">
      <c r="A1048" s="395">
        <v>2</v>
      </c>
      <c r="B1048" s="542"/>
      <c r="C1048" s="543"/>
      <c r="D1048" s="543"/>
      <c r="E1048" s="544"/>
      <c r="F1048" s="545" t="s">
        <v>79</v>
      </c>
      <c r="G1048" s="547"/>
      <c r="H1048" s="45"/>
      <c r="I1048" s="207"/>
      <c r="J1048" s="46"/>
      <c r="K1048" s="45" t="s">
        <v>78</v>
      </c>
      <c r="L1048" s="72"/>
      <c r="M1048" s="85">
        <f>M1047</f>
        <v>5.4</v>
      </c>
      <c r="N1048" s="46">
        <f>VLOOKUP($F:$F,材料单价表!$B$3:$G$42,5,0)</f>
        <v>0</v>
      </c>
      <c r="O1048" s="46">
        <f>N1048*M1048</f>
        <v>0</v>
      </c>
      <c r="P1048" s="48"/>
      <c r="Q1048" s="48"/>
      <c r="R1048" s="72"/>
      <c r="S1048" s="72"/>
      <c r="T1048" s="462"/>
    </row>
    <row r="1049" spans="1:20" ht="24.75" customHeight="1" x14ac:dyDescent="0.15">
      <c r="A1049" s="74"/>
      <c r="B1049" s="552"/>
      <c r="C1049" s="557"/>
      <c r="D1049" s="557"/>
      <c r="E1049" s="553"/>
      <c r="F1049" s="552" t="s">
        <v>80</v>
      </c>
      <c r="G1049" s="553"/>
      <c r="H1049" s="390"/>
      <c r="I1049" s="390"/>
      <c r="J1049" s="554" t="s">
        <v>81</v>
      </c>
      <c r="K1049" s="554"/>
      <c r="L1049" s="554"/>
      <c r="M1049" s="554"/>
      <c r="N1049" s="87"/>
      <c r="O1049" s="62">
        <f>O1045+O1047+O1048</f>
        <v>0</v>
      </c>
      <c r="P1049" s="63" t="s">
        <v>57</v>
      </c>
      <c r="Q1049" s="337"/>
      <c r="R1049" s="64"/>
      <c r="S1049" s="64"/>
      <c r="T1049" s="460"/>
    </row>
    <row r="1050" spans="1:20" ht="24" customHeight="1" x14ac:dyDescent="0.15">
      <c r="A1050" s="74"/>
      <c r="B1050" s="552"/>
      <c r="C1050" s="557"/>
      <c r="D1050" s="557"/>
      <c r="E1050" s="553"/>
      <c r="F1050" s="555" t="s">
        <v>82</v>
      </c>
      <c r="G1050" s="556"/>
      <c r="H1050" s="392"/>
      <c r="I1050" s="392"/>
      <c r="J1050" s="552" t="s">
        <v>81</v>
      </c>
      <c r="K1050" s="557"/>
      <c r="L1050" s="557"/>
      <c r="M1050" s="557"/>
      <c r="N1050" s="62"/>
      <c r="O1050" s="62">
        <f>O1049/O977</f>
        <v>0</v>
      </c>
      <c r="P1050" s="89" t="s">
        <v>57</v>
      </c>
      <c r="Q1050" s="89"/>
      <c r="R1050" s="90"/>
      <c r="S1050" s="90"/>
      <c r="T1050" s="466"/>
    </row>
    <row r="1051" spans="1:20" ht="18.75" customHeight="1" x14ac:dyDescent="0.15">
      <c r="A1051" s="549" t="s">
        <v>0</v>
      </c>
      <c r="B1051" s="549"/>
      <c r="C1051" s="549"/>
      <c r="D1051" s="549"/>
      <c r="E1051" s="549"/>
      <c r="F1051" s="549"/>
      <c r="G1051" s="549"/>
      <c r="H1051" s="549"/>
      <c r="I1051" s="549"/>
      <c r="J1051" s="549"/>
      <c r="K1051" s="549"/>
      <c r="L1051" s="550"/>
      <c r="M1051" s="549"/>
      <c r="N1051" s="549"/>
      <c r="O1051" s="549"/>
      <c r="P1051" s="549"/>
      <c r="Q1051" s="549"/>
      <c r="R1051" s="551"/>
      <c r="S1051" s="551"/>
      <c r="T1051" s="415"/>
    </row>
    <row r="1052" spans="1:20" ht="15" customHeight="1" x14ac:dyDescent="0.15">
      <c r="A1052" s="2" t="s">
        <v>1</v>
      </c>
      <c r="B1052" s="3" t="str">
        <f>$B$827</f>
        <v>WZC</v>
      </c>
      <c r="C1052" s="3">
        <v>4</v>
      </c>
      <c r="D1052" s="3"/>
      <c r="E1052" s="3"/>
      <c r="F1052" s="4" t="s">
        <v>2</v>
      </c>
      <c r="G1052" s="5">
        <v>55</v>
      </c>
      <c r="H1052" s="106" t="s">
        <v>86</v>
      </c>
      <c r="I1052" s="106"/>
      <c r="J1052" s="4" t="s">
        <v>3</v>
      </c>
      <c r="K1052" s="6">
        <f>L1055</f>
        <v>3200</v>
      </c>
      <c r="L1052" s="7" t="s">
        <v>83</v>
      </c>
      <c r="M1052" s="6">
        <f>L1054</f>
        <v>1800</v>
      </c>
      <c r="N1052" s="8" t="s">
        <v>4</v>
      </c>
      <c r="O1052" s="9">
        <f>M1064</f>
        <v>5.76</v>
      </c>
      <c r="P1052" s="10"/>
      <c r="Q1052" s="10"/>
      <c r="R1052" s="10" t="s">
        <v>5</v>
      </c>
      <c r="S1052" s="11"/>
      <c r="T1052" s="457"/>
    </row>
    <row r="1053" spans="1:20" ht="15" customHeight="1" x14ac:dyDescent="0.2">
      <c r="A1053" s="12"/>
      <c r="B1053" s="13"/>
      <c r="C1053" s="13"/>
      <c r="D1053" s="13"/>
      <c r="E1053" s="13"/>
      <c r="F1053" s="14"/>
      <c r="G1053" s="14"/>
      <c r="H1053" s="15"/>
      <c r="I1053" s="15"/>
      <c r="J1053" s="16"/>
      <c r="K1053" s="16" t="s">
        <v>6</v>
      </c>
      <c r="L1053" s="17" t="s">
        <v>7</v>
      </c>
      <c r="M1053" s="16" t="s">
        <v>8</v>
      </c>
      <c r="N1053" s="18"/>
      <c r="O1053" s="548" t="s">
        <v>940</v>
      </c>
      <c r="P1053" s="548"/>
      <c r="Q1053" s="16" t="s">
        <v>1018</v>
      </c>
      <c r="R1053" s="529" t="s">
        <v>1187</v>
      </c>
      <c r="S1053" s="530" t="s">
        <v>1592</v>
      </c>
      <c r="T1053" s="468"/>
    </row>
    <row r="1054" spans="1:20" ht="15" customHeight="1" x14ac:dyDescent="0.2">
      <c r="A1054" s="398" t="s">
        <v>881</v>
      </c>
      <c r="B1054" s="406" t="s">
        <v>988</v>
      </c>
      <c r="C1054" s="362"/>
      <c r="D1054" s="362"/>
      <c r="E1054" s="362"/>
      <c r="F1054" s="23"/>
      <c r="G1054" s="23"/>
      <c r="H1054" s="107"/>
      <c r="I1054" s="107"/>
      <c r="J1054" s="24" t="s">
        <v>9</v>
      </c>
      <c r="K1054" s="16" t="s">
        <v>10</v>
      </c>
      <c r="L1054" s="25">
        <v>1800</v>
      </c>
      <c r="M1054" s="113">
        <f>L1054-M1063*2</f>
        <v>1700</v>
      </c>
      <c r="N1054" s="18"/>
      <c r="O1054" s="356" t="s">
        <v>941</v>
      </c>
      <c r="P1054" s="357"/>
      <c r="Q1054" s="16" t="s">
        <v>1019</v>
      </c>
      <c r="R1054" s="529"/>
      <c r="S1054" s="530"/>
      <c r="T1054" s="468"/>
    </row>
    <row r="1055" spans="1:20" ht="15" customHeight="1" x14ac:dyDescent="0.2">
      <c r="A1055" s="21"/>
      <c r="B1055" s="22"/>
      <c r="C1055" s="22"/>
      <c r="D1055" s="22"/>
      <c r="E1055" s="22"/>
      <c r="F1055" s="23"/>
      <c r="G1055" s="23"/>
      <c r="H1055" s="18"/>
      <c r="I1055" s="18"/>
      <c r="J1055" s="24" t="s">
        <v>11</v>
      </c>
      <c r="K1055" s="16" t="s">
        <v>10</v>
      </c>
      <c r="L1055" s="25">
        <v>3200</v>
      </c>
      <c r="M1055" s="113">
        <f>L1055-M1063*2</f>
        <v>3100</v>
      </c>
      <c r="N1055" s="18"/>
      <c r="O1055" s="356" t="s">
        <v>924</v>
      </c>
      <c r="P1055" s="357"/>
      <c r="Q1055" s="16" t="s">
        <v>1020</v>
      </c>
      <c r="R1055" s="529" t="s">
        <v>1188</v>
      </c>
      <c r="S1055" s="530" t="s">
        <v>1086</v>
      </c>
      <c r="T1055" s="468"/>
    </row>
    <row r="1056" spans="1:20" ht="15" customHeight="1" x14ac:dyDescent="0.2">
      <c r="A1056" s="21"/>
      <c r="B1056" s="22"/>
      <c r="C1056" s="22"/>
      <c r="D1056" s="22"/>
      <c r="E1056" s="22"/>
      <c r="F1056" s="23"/>
      <c r="G1056" s="23"/>
      <c r="H1056" s="18"/>
      <c r="I1056" s="18"/>
      <c r="J1056" s="24" t="s">
        <v>12</v>
      </c>
      <c r="K1056" s="16" t="s">
        <v>10</v>
      </c>
      <c r="L1056" s="26"/>
      <c r="M1056" s="113">
        <f>M1054-M1057</f>
        <v>1200</v>
      </c>
      <c r="N1056" s="18"/>
      <c r="O1056" s="356" t="s">
        <v>925</v>
      </c>
      <c r="P1056" s="357"/>
      <c r="Q1056" s="16" t="s">
        <v>1021</v>
      </c>
      <c r="R1056" s="529"/>
      <c r="S1056" s="530"/>
      <c r="T1056" s="468"/>
    </row>
    <row r="1057" spans="1:37" ht="15" customHeight="1" x14ac:dyDescent="0.2">
      <c r="A1057" s="21"/>
      <c r="B1057" s="22"/>
      <c r="C1057" s="22"/>
      <c r="D1057" s="22"/>
      <c r="E1057" s="22"/>
      <c r="F1057" s="23"/>
      <c r="G1057" s="23"/>
      <c r="H1057" s="18"/>
      <c r="I1057" s="18"/>
      <c r="J1057" s="24" t="s">
        <v>13</v>
      </c>
      <c r="K1057" s="16" t="s">
        <v>10</v>
      </c>
      <c r="L1057" s="26"/>
      <c r="M1057" s="113">
        <v>500</v>
      </c>
      <c r="N1057" s="18"/>
      <c r="O1057" s="356" t="s">
        <v>926</v>
      </c>
      <c r="P1057" s="357"/>
      <c r="Q1057" s="16" t="s">
        <v>1022</v>
      </c>
      <c r="R1057" s="27"/>
      <c r="S1057" s="28"/>
      <c r="T1057" s="27"/>
    </row>
    <row r="1058" spans="1:37" ht="15" customHeight="1" x14ac:dyDescent="0.2">
      <c r="A1058" s="21"/>
      <c r="B1058" s="22"/>
      <c r="C1058" s="22"/>
      <c r="D1058" s="22"/>
      <c r="E1058" s="22"/>
      <c r="F1058" s="23"/>
      <c r="G1058" s="23"/>
      <c r="H1058" s="18"/>
      <c r="I1058" s="18"/>
      <c r="J1058" s="24" t="s">
        <v>14</v>
      </c>
      <c r="K1058" s="16" t="s">
        <v>10</v>
      </c>
      <c r="L1058" s="26"/>
      <c r="M1058" s="113"/>
      <c r="N1058" s="18"/>
      <c r="O1058" s="356" t="s">
        <v>927</v>
      </c>
      <c r="P1058" s="357"/>
      <c r="Q1058" s="16" t="s">
        <v>1023</v>
      </c>
      <c r="R1058" s="27"/>
      <c r="S1058" s="28"/>
      <c r="T1058" s="27"/>
    </row>
    <row r="1059" spans="1:37" ht="15" customHeight="1" x14ac:dyDescent="0.2">
      <c r="A1059" s="21"/>
      <c r="B1059" s="22"/>
      <c r="C1059" s="22"/>
      <c r="D1059" s="22"/>
      <c r="E1059" s="22"/>
      <c r="F1059" s="23"/>
      <c r="G1059" s="23"/>
      <c r="H1059" s="18"/>
      <c r="I1059" s="18"/>
      <c r="J1059" s="24" t="s">
        <v>15</v>
      </c>
      <c r="K1059" s="16" t="s">
        <v>10</v>
      </c>
      <c r="L1059" s="26"/>
      <c r="M1059" s="25">
        <v>700</v>
      </c>
      <c r="N1059" s="112" t="s">
        <v>866</v>
      </c>
      <c r="O1059" s="356" t="s">
        <v>928</v>
      </c>
      <c r="P1059" s="357"/>
      <c r="Q1059" s="16" t="s">
        <v>1005</v>
      </c>
      <c r="R1059" s="27"/>
      <c r="S1059" s="28"/>
      <c r="T1059" s="27"/>
    </row>
    <row r="1060" spans="1:37" ht="15" customHeight="1" x14ac:dyDescent="0.2">
      <c r="A1060" s="21"/>
      <c r="B1060" s="22"/>
      <c r="C1060" s="22"/>
      <c r="D1060" s="22"/>
      <c r="E1060" s="22"/>
      <c r="F1060" s="23"/>
      <c r="G1060" s="23"/>
      <c r="H1060" s="18"/>
      <c r="I1060" s="18"/>
      <c r="J1060" s="24" t="s">
        <v>16</v>
      </c>
      <c r="K1060" s="16" t="s">
        <v>10</v>
      </c>
      <c r="L1060" s="26"/>
      <c r="M1060" s="113">
        <f>M1055-M1059*2-M1061*2</f>
        <v>700</v>
      </c>
      <c r="N1060" s="18"/>
      <c r="O1060" s="356" t="s">
        <v>929</v>
      </c>
      <c r="P1060" s="357"/>
      <c r="Q1060" s="16" t="s">
        <v>1024</v>
      </c>
      <c r="R1060" s="27"/>
      <c r="S1060" s="28"/>
      <c r="T1060" s="27"/>
    </row>
    <row r="1061" spans="1:37" ht="15" customHeight="1" x14ac:dyDescent="0.2">
      <c r="A1061" s="21"/>
      <c r="B1061" s="22"/>
      <c r="C1061" s="22"/>
      <c r="D1061" s="22"/>
      <c r="E1061" s="22"/>
      <c r="F1061" s="23"/>
      <c r="G1061" s="23"/>
      <c r="H1061" s="18"/>
      <c r="I1061" s="18"/>
      <c r="J1061" s="24" t="s">
        <v>17</v>
      </c>
      <c r="K1061" s="16" t="s">
        <v>10</v>
      </c>
      <c r="L1061" s="26"/>
      <c r="M1061" s="113">
        <v>500</v>
      </c>
      <c r="N1061" s="18"/>
      <c r="O1061" s="356" t="s">
        <v>930</v>
      </c>
      <c r="P1061" s="357"/>
      <c r="Q1061" s="16" t="s">
        <v>931</v>
      </c>
      <c r="R1061" s="27"/>
      <c r="S1061" s="28"/>
      <c r="T1061" s="27"/>
    </row>
    <row r="1062" spans="1:37" ht="15" customHeight="1" x14ac:dyDescent="0.2">
      <c r="A1062" s="21"/>
      <c r="B1062" s="22"/>
      <c r="C1062" s="22"/>
      <c r="D1062" s="22"/>
      <c r="E1062" s="22"/>
      <c r="F1062" s="23"/>
      <c r="G1062" s="23"/>
      <c r="H1062" s="18"/>
      <c r="I1062" s="18"/>
      <c r="J1062" s="24" t="s">
        <v>18</v>
      </c>
      <c r="K1062" s="16" t="s">
        <v>10</v>
      </c>
      <c r="L1062" s="26"/>
      <c r="M1062" s="113"/>
      <c r="N1062" s="18"/>
      <c r="O1062" s="356" t="s">
        <v>932</v>
      </c>
      <c r="P1062" s="357"/>
      <c r="Q1062" s="16" t="s">
        <v>933</v>
      </c>
      <c r="R1062" s="27"/>
      <c r="S1062" s="28"/>
      <c r="T1062" s="27"/>
    </row>
    <row r="1063" spans="1:37" ht="15" customHeight="1" x14ac:dyDescent="0.2">
      <c r="A1063" s="21"/>
      <c r="B1063" s="22"/>
      <c r="C1063" s="22"/>
      <c r="D1063" s="22"/>
      <c r="E1063" s="22"/>
      <c r="F1063" s="23"/>
      <c r="G1063" s="23"/>
      <c r="H1063" s="18"/>
      <c r="I1063" s="18"/>
      <c r="J1063" s="24" t="s">
        <v>19</v>
      </c>
      <c r="K1063" s="16" t="s">
        <v>10</v>
      </c>
      <c r="L1063" s="26"/>
      <c r="M1063" s="25">
        <v>50</v>
      </c>
      <c r="N1063" s="18"/>
      <c r="O1063" s="356" t="s">
        <v>934</v>
      </c>
      <c r="P1063" s="357"/>
      <c r="Q1063" s="16" t="s">
        <v>935</v>
      </c>
      <c r="R1063" s="27"/>
      <c r="S1063" s="28"/>
      <c r="T1063" s="27"/>
    </row>
    <row r="1064" spans="1:37" ht="15" customHeight="1" x14ac:dyDescent="0.2">
      <c r="A1064" s="21"/>
      <c r="B1064" s="22"/>
      <c r="C1064" s="22"/>
      <c r="D1064" s="22"/>
      <c r="E1064" s="22"/>
      <c r="F1064" s="23"/>
      <c r="G1064" s="23"/>
      <c r="H1064" s="18"/>
      <c r="I1064" s="18"/>
      <c r="J1064" s="29" t="s">
        <v>20</v>
      </c>
      <c r="K1064" s="16" t="s">
        <v>21</v>
      </c>
      <c r="L1064" s="30"/>
      <c r="M1064" s="31">
        <f>L1054*L1055/1000000</f>
        <v>5.76</v>
      </c>
      <c r="N1064" s="18"/>
      <c r="O1064" s="356" t="s">
        <v>936</v>
      </c>
      <c r="P1064" s="357"/>
      <c r="Q1064" s="16" t="s">
        <v>937</v>
      </c>
      <c r="R1064" s="27"/>
      <c r="S1064" s="28"/>
      <c r="T1064" s="27"/>
    </row>
    <row r="1065" spans="1:37" ht="15" customHeight="1" x14ac:dyDescent="0.2">
      <c r="A1065" s="32"/>
      <c r="B1065" s="33"/>
      <c r="C1065" s="33"/>
      <c r="D1065" s="33"/>
      <c r="E1065" s="33"/>
      <c r="F1065" s="34"/>
      <c r="G1065" s="34"/>
      <c r="H1065" s="35"/>
      <c r="I1065" s="35"/>
      <c r="J1065" s="29" t="s">
        <v>22</v>
      </c>
      <c r="K1065" s="16" t="s">
        <v>23</v>
      </c>
      <c r="L1065" s="30"/>
      <c r="M1065" s="36">
        <f>(L1055+L1054)*2/1000</f>
        <v>10</v>
      </c>
      <c r="N1065" s="35"/>
      <c r="O1065" s="356" t="s">
        <v>938</v>
      </c>
      <c r="P1065" s="357"/>
      <c r="Q1065" s="16" t="s">
        <v>939</v>
      </c>
      <c r="R1065" s="37"/>
      <c r="S1065" s="38"/>
      <c r="T1065" s="27"/>
    </row>
    <row r="1066" spans="1:37" ht="48.75" customHeight="1" x14ac:dyDescent="0.15">
      <c r="A1066" s="39" t="s">
        <v>24</v>
      </c>
      <c r="B1066" s="560" t="s">
        <v>25</v>
      </c>
      <c r="C1066" s="561"/>
      <c r="D1066" s="561"/>
      <c r="E1066" s="562"/>
      <c r="F1066" s="40" t="s">
        <v>26</v>
      </c>
      <c r="G1066" s="40" t="s">
        <v>27</v>
      </c>
      <c r="H1066" s="40" t="s">
        <v>28</v>
      </c>
      <c r="I1066" s="40" t="s">
        <v>911</v>
      </c>
      <c r="J1066" s="40" t="s">
        <v>29</v>
      </c>
      <c r="K1066" s="40" t="s">
        <v>30</v>
      </c>
      <c r="L1066" s="41" t="s">
        <v>31</v>
      </c>
      <c r="M1066" s="40" t="s">
        <v>32</v>
      </c>
      <c r="N1066" s="40" t="s">
        <v>33</v>
      </c>
      <c r="O1066" s="40" t="s">
        <v>34</v>
      </c>
      <c r="P1066" s="42" t="s">
        <v>35</v>
      </c>
      <c r="Q1066" s="359" t="s">
        <v>974</v>
      </c>
      <c r="R1066" s="43" t="s">
        <v>36</v>
      </c>
      <c r="S1066" s="43" t="s">
        <v>37</v>
      </c>
      <c r="T1066" s="458"/>
      <c r="V1066" s="261" t="s">
        <v>128</v>
      </c>
      <c r="W1066" s="261"/>
      <c r="X1066" s="262" t="s">
        <v>359</v>
      </c>
      <c r="Y1066" s="263"/>
      <c r="Z1066" s="262" t="s">
        <v>355</v>
      </c>
      <c r="AA1066" s="263"/>
      <c r="AB1066" s="262" t="s">
        <v>360</v>
      </c>
      <c r="AC1066" s="263"/>
      <c r="AD1066" s="262" t="s">
        <v>127</v>
      </c>
      <c r="AE1066" s="263"/>
      <c r="AF1066" s="262" t="s">
        <v>357</v>
      </c>
      <c r="AG1066" s="263"/>
      <c r="AH1066" s="262" t="s">
        <v>358</v>
      </c>
      <c r="AI1066" s="263"/>
      <c r="AJ1066" s="262" t="s">
        <v>840</v>
      </c>
      <c r="AK1066" s="263"/>
    </row>
    <row r="1067" spans="1:37" ht="13.5" customHeight="1" x14ac:dyDescent="0.15">
      <c r="A1067" s="395">
        <v>1</v>
      </c>
      <c r="B1067" s="531" t="s">
        <v>38</v>
      </c>
      <c r="C1067" s="532"/>
      <c r="D1067" s="532"/>
      <c r="E1067" s="533"/>
      <c r="F1067" s="47" t="str">
        <f>VLOOKUP($H:$H,型材表!$B$5:$I$448,2,0)</f>
        <v>边框</v>
      </c>
      <c r="G1067" s="45" t="s">
        <v>39</v>
      </c>
      <c r="H1067" s="45" t="str">
        <f>IF(G1052=55,"SW55K001",IF(G1052=551,"SW55BK001",IF(G1052=60,"SW60K001",IF(G1052=601,"SW60AK001",IF(G1052=65,"SW65AK001",IF(G1052=70,"SW70K001",IF(G1052=75,"SW75K001",IF(G1052=50,"SW50K002"))))))))</f>
        <v>SW55K001</v>
      </c>
      <c r="I1067" s="207" t="s">
        <v>1169</v>
      </c>
      <c r="J1067" s="46">
        <f>M1054</f>
        <v>1700</v>
      </c>
      <c r="K1067" s="45">
        <v>6</v>
      </c>
      <c r="L1067" s="47">
        <f>VLOOKUP($H:$H,型材表!$B$5:$I$448,4,0)</f>
        <v>0.96699999999999997</v>
      </c>
      <c r="M1067" s="46">
        <f>J1067*K1067*L1067/1000</f>
        <v>9.8634000000000004</v>
      </c>
      <c r="N1067" s="72">
        <f>VLOOKUP($H:$H,型材表!$B$5:$I$448,7,0)</f>
        <v>0</v>
      </c>
      <c r="O1067" s="46">
        <f>N1067*M1067</f>
        <v>0</v>
      </c>
      <c r="P1067" s="100">
        <f>VLOOKUP($H:$H,型材表!$B$5:$I$448,5,0)</f>
        <v>0.125</v>
      </c>
      <c r="Q1067" s="100" t="str">
        <f>VLOOKUP($H:$H,型材表!$B$5:$I$448,6,0)</f>
        <v>断桥隔热铝型材</v>
      </c>
      <c r="R1067" s="49"/>
      <c r="S1067" s="50"/>
      <c r="T1067" s="459"/>
      <c r="X1067" s="264"/>
      <c r="Y1067" s="265"/>
      <c r="Z1067" s="264"/>
      <c r="AA1067" s="265"/>
      <c r="AB1067" s="264"/>
      <c r="AC1067" s="265"/>
      <c r="AD1067" s="264"/>
      <c r="AE1067" s="265"/>
      <c r="AF1067" s="264"/>
      <c r="AG1067" s="265"/>
      <c r="AH1067" s="264"/>
      <c r="AI1067" s="265"/>
      <c r="AJ1067" s="264"/>
      <c r="AK1067" s="265"/>
    </row>
    <row r="1068" spans="1:37" x14ac:dyDescent="0.15">
      <c r="A1068" s="395">
        <v>2</v>
      </c>
      <c r="B1068" s="534"/>
      <c r="C1068" s="535"/>
      <c r="D1068" s="535"/>
      <c r="E1068" s="536"/>
      <c r="F1068" s="47" t="str">
        <f>VLOOKUP($H:$H,型材表!$B$5:$I$448,2,0)</f>
        <v>边框</v>
      </c>
      <c r="G1068" s="45" t="s">
        <v>40</v>
      </c>
      <c r="H1068" s="45" t="str">
        <f>H1067</f>
        <v>SW55K001</v>
      </c>
      <c r="I1068" s="207" t="s">
        <v>1667</v>
      </c>
      <c r="J1068" s="46">
        <f>IF(G1052=55,M1055-V1068*2,IF(G1052=551,M1055-X1068*2,IF(G1052=60,M1055-Z1068*2,IF(G1052=601,M1055-AB1068*2,IF(G1052=65,M1055-AD1068*2,IF(G1052=70,M1055-AF1068*2,IF(G1052=75,M1055-AH1068*2,IF(G1052=50,M1055-AJ1068*2))))))))</f>
        <v>2880</v>
      </c>
      <c r="K1068" s="45">
        <v>2</v>
      </c>
      <c r="L1068" s="47">
        <f>VLOOKUP($H:$H,型材表!$B$5:$I$448,4,0)</f>
        <v>0.96699999999999997</v>
      </c>
      <c r="M1068" s="46">
        <f t="shared" ref="M1068" si="199">J1068*K1068*L1068/1000</f>
        <v>5.5699199999999998</v>
      </c>
      <c r="N1068" s="72">
        <f>VLOOKUP($H:$H,型材表!$B$5:$I$448,7,0)</f>
        <v>0</v>
      </c>
      <c r="O1068" s="46">
        <f t="shared" ref="O1068" si="200">N1068*M1068</f>
        <v>0</v>
      </c>
      <c r="P1068" s="100">
        <f>VLOOKUP($H:$H,型材表!$B$5:$I$448,5,0)</f>
        <v>0.125</v>
      </c>
      <c r="Q1068" s="100" t="str">
        <f>VLOOKUP($H:$H,型材表!$B$5:$I$448,6,0)</f>
        <v>断桥隔热铝型材</v>
      </c>
      <c r="R1068" s="49"/>
      <c r="S1068" s="50"/>
      <c r="T1068" s="459"/>
      <c r="U1068" s="374" t="s">
        <v>1581</v>
      </c>
      <c r="V1068" s="266">
        <f>55*2</f>
        <v>110</v>
      </c>
      <c r="W1068" s="265"/>
      <c r="X1068" s="264">
        <f>55*2</f>
        <v>110</v>
      </c>
      <c r="Y1068" s="265"/>
      <c r="Z1068" s="264">
        <f>60.2*2</f>
        <v>120.4</v>
      </c>
      <c r="AA1068" s="265"/>
      <c r="AB1068" s="264">
        <f>60.4*2</f>
        <v>120.8</v>
      </c>
      <c r="AC1068" s="265"/>
      <c r="AD1068" s="264">
        <f>64.2*2</f>
        <v>128.4</v>
      </c>
      <c r="AE1068" s="265"/>
      <c r="AF1068" s="264">
        <f>70.2*2</f>
        <v>140.4</v>
      </c>
      <c r="AG1068" s="265"/>
      <c r="AH1068" s="264">
        <f>74.2*2</f>
        <v>148.4</v>
      </c>
      <c r="AI1068" s="265"/>
      <c r="AJ1068" s="264">
        <f>50*2</f>
        <v>100</v>
      </c>
      <c r="AK1068" s="265"/>
    </row>
    <row r="1069" spans="1:37" x14ac:dyDescent="0.15">
      <c r="A1069" s="395">
        <v>3</v>
      </c>
      <c r="B1069" s="534"/>
      <c r="C1069" s="535"/>
      <c r="D1069" s="535"/>
      <c r="E1069" s="536"/>
      <c r="F1069" s="47"/>
      <c r="G1069" s="207"/>
      <c r="H1069" s="207"/>
      <c r="I1069" s="207"/>
      <c r="J1069" s="208"/>
      <c r="K1069" s="207"/>
      <c r="L1069" s="47"/>
      <c r="M1069" s="46"/>
      <c r="N1069" s="72"/>
      <c r="O1069" s="46"/>
      <c r="P1069" s="100"/>
      <c r="Q1069" s="100"/>
      <c r="R1069" s="210"/>
      <c r="S1069" s="50"/>
      <c r="T1069" s="459"/>
      <c r="X1069" s="264"/>
      <c r="Y1069" s="265"/>
      <c r="Z1069" s="264"/>
      <c r="AA1069" s="265"/>
      <c r="AB1069" s="264"/>
      <c r="AC1069" s="265"/>
      <c r="AD1069" s="264"/>
      <c r="AE1069" s="265"/>
      <c r="AF1069" s="264"/>
      <c r="AG1069" s="265"/>
      <c r="AH1069" s="264"/>
      <c r="AI1069" s="265"/>
      <c r="AJ1069" s="264"/>
      <c r="AK1069" s="265"/>
    </row>
    <row r="1070" spans="1:37" s="229" customFormat="1" x14ac:dyDescent="0.15">
      <c r="A1070" s="395">
        <v>4</v>
      </c>
      <c r="B1070" s="537"/>
      <c r="C1070" s="538"/>
      <c r="D1070" s="538"/>
      <c r="E1070" s="539"/>
      <c r="F1070" s="221"/>
      <c r="G1070" s="222"/>
      <c r="H1070" s="222"/>
      <c r="I1070" s="222"/>
      <c r="J1070" s="223"/>
      <c r="K1070" s="222"/>
      <c r="L1070" s="221"/>
      <c r="M1070" s="224"/>
      <c r="N1070" s="225"/>
      <c r="O1070" s="224"/>
      <c r="P1070" s="226"/>
      <c r="Q1070" s="100"/>
      <c r="R1070" s="227"/>
      <c r="S1070" s="228"/>
      <c r="T1070" s="467"/>
      <c r="U1070" s="375"/>
      <c r="V1070" s="266"/>
      <c r="W1070" s="266"/>
      <c r="X1070" s="267"/>
      <c r="Y1070" s="268"/>
      <c r="Z1070" s="267"/>
      <c r="AA1070" s="268"/>
      <c r="AB1070" s="267"/>
      <c r="AC1070" s="268"/>
      <c r="AD1070" s="267"/>
      <c r="AE1070" s="268"/>
      <c r="AF1070" s="267"/>
      <c r="AG1070" s="268"/>
      <c r="AH1070" s="267"/>
      <c r="AI1070" s="268"/>
      <c r="AJ1070" s="267"/>
      <c r="AK1070" s="268"/>
    </row>
    <row r="1071" spans="1:37" ht="13.5" customHeight="1" x14ac:dyDescent="0.15">
      <c r="A1071" s="395">
        <v>5</v>
      </c>
      <c r="B1071" s="580" t="s">
        <v>41</v>
      </c>
      <c r="C1071" s="580"/>
      <c r="D1071" s="580"/>
      <c r="E1071" s="580"/>
      <c r="F1071" s="47" t="str">
        <f>VLOOKUP($H:$H,型材表!$B$5:$I$448,2,0)</f>
        <v>外开扇</v>
      </c>
      <c r="G1071" s="45" t="s">
        <v>39</v>
      </c>
      <c r="H1071" s="45" t="str">
        <f>IF(G1052=55,"SW55S001",IF(G1052=551,"SW55BS001",IF(G1052=60,"SW60S001",IF(G1052=601,"SW60AS001",IF(G1052=65,"SW65AS001",IF(G1052=70,"SW70S001",IF(G1052=75,"SW75S001",IF(G1052=50,"SW50S001"))))))))</f>
        <v>SW55S001</v>
      </c>
      <c r="I1071" s="207" t="s">
        <v>1238</v>
      </c>
      <c r="J1071" s="46">
        <f>IF(G1052=55,M1056-V1071,IF(G1052=551,M1056-X1071,IF(G1052=60,M1056-Z1071,IF(G1052=601,M1056-AB1071,IF(G1052=65,M1056-AD1071,IF(G1052=70,M1056-AF1071,IF(G1052=75,M1056-AH1071,IF(G1052=50,M1056-AJ1071))))))))</f>
        <v>1117.2</v>
      </c>
      <c r="K1071" s="45">
        <v>4</v>
      </c>
      <c r="L1071" s="47">
        <f>VLOOKUP($H:$H,型材表!$B$5:$I$448,4,0)</f>
        <v>1.4450000000000001</v>
      </c>
      <c r="M1071" s="46">
        <f t="shared" ref="M1071:M1093" si="201">J1071*K1071*L1071/1000</f>
        <v>6.4574160000000003</v>
      </c>
      <c r="N1071" s="72">
        <f>VLOOKUP($H:$H,型材表!$B$5:$I$448,7,0)</f>
        <v>0</v>
      </c>
      <c r="O1071" s="46">
        <f t="shared" ref="O1071:O1093" si="202">N1071*M1071</f>
        <v>0</v>
      </c>
      <c r="P1071" s="100">
        <f>VLOOKUP($H:$H,型材表!$B$5:$I$448,5,0)</f>
        <v>0.125</v>
      </c>
      <c r="Q1071" s="100" t="str">
        <f>VLOOKUP($H:$H,型材表!$B$5:$I$448,6,0)</f>
        <v>断桥隔热铝型材</v>
      </c>
      <c r="R1071" s="49"/>
      <c r="S1071" s="50"/>
      <c r="T1071" s="459"/>
      <c r="U1071" s="374" t="s">
        <v>1247</v>
      </c>
      <c r="V1071" s="259">
        <f>48.9+33.9</f>
        <v>82.8</v>
      </c>
      <c r="X1071" s="286">
        <f>48.9+33.9</f>
        <v>82.8</v>
      </c>
      <c r="Y1071" s="265"/>
      <c r="Z1071" s="286">
        <f>48.9+33.9</f>
        <v>82.8</v>
      </c>
      <c r="AA1071" s="265"/>
      <c r="AB1071" s="286">
        <f>48.9+33.9</f>
        <v>82.8</v>
      </c>
      <c r="AC1071" s="265"/>
      <c r="AD1071" s="286">
        <f>48.9+33.9</f>
        <v>82.8</v>
      </c>
      <c r="AE1071" s="265"/>
      <c r="AF1071" s="286">
        <f>50.9+35.9</f>
        <v>86.8</v>
      </c>
      <c r="AG1071" s="265"/>
      <c r="AH1071" s="286">
        <f>50.9+35.9</f>
        <v>86.8</v>
      </c>
      <c r="AI1071" s="265"/>
      <c r="AJ1071" s="264">
        <f>45.7+30.4</f>
        <v>76.099999999999994</v>
      </c>
      <c r="AK1071" s="265"/>
    </row>
    <row r="1072" spans="1:37" x14ac:dyDescent="0.15">
      <c r="A1072" s="395">
        <v>6</v>
      </c>
      <c r="B1072" s="580"/>
      <c r="C1072" s="580"/>
      <c r="D1072" s="580"/>
      <c r="E1072" s="580"/>
      <c r="F1072" s="47"/>
      <c r="G1072" s="45"/>
      <c r="H1072" s="207"/>
      <c r="I1072" s="207"/>
      <c r="J1072" s="208"/>
      <c r="K1072" s="207"/>
      <c r="L1072" s="47"/>
      <c r="M1072" s="46"/>
      <c r="N1072" s="72"/>
      <c r="O1072" s="46"/>
      <c r="P1072" s="100"/>
      <c r="Q1072" s="100"/>
      <c r="R1072" s="210"/>
      <c r="S1072" s="50"/>
      <c r="T1072" s="459"/>
      <c r="U1072" s="374" t="s">
        <v>1575</v>
      </c>
      <c r="V1072" s="259">
        <f>48.9+33.9</f>
        <v>82.8</v>
      </c>
      <c r="X1072" s="286">
        <f>48.9+33.9</f>
        <v>82.8</v>
      </c>
      <c r="Y1072" s="265"/>
      <c r="Z1072" s="286">
        <f>48.9+33.9</f>
        <v>82.8</v>
      </c>
      <c r="AA1072" s="265"/>
      <c r="AB1072" s="286">
        <f>48.9+33.9</f>
        <v>82.8</v>
      </c>
      <c r="AC1072" s="265"/>
      <c r="AD1072" s="286">
        <f>48.9+33.9</f>
        <v>82.8</v>
      </c>
      <c r="AE1072" s="265"/>
      <c r="AF1072" s="286">
        <f>50.9+35.9</f>
        <v>86.8</v>
      </c>
      <c r="AG1072" s="265"/>
      <c r="AH1072" s="286">
        <f>50.9+35.9</f>
        <v>86.8</v>
      </c>
      <c r="AI1072" s="265"/>
      <c r="AJ1072" s="264">
        <f>45.7+30.4</f>
        <v>76.099999999999994</v>
      </c>
      <c r="AK1072" s="265"/>
    </row>
    <row r="1073" spans="1:37" x14ac:dyDescent="0.15">
      <c r="A1073" s="395">
        <v>7</v>
      </c>
      <c r="B1073" s="580"/>
      <c r="C1073" s="580"/>
      <c r="D1073" s="580"/>
      <c r="E1073" s="580"/>
      <c r="F1073" s="47" t="str">
        <f>VLOOKUP($H:$H,型材表!$B$5:$I$448,2,0)</f>
        <v>外开扇</v>
      </c>
      <c r="G1073" s="45" t="s">
        <v>40</v>
      </c>
      <c r="H1073" s="207" t="str">
        <f>H1071</f>
        <v>SW55S001</v>
      </c>
      <c r="I1073" s="207" t="s">
        <v>1659</v>
      </c>
      <c r="J1073" s="208">
        <f>IF(G1052=55,M1059-V1072-V1068/2,IF(G1052=551,M1059-X1072-X1068/2,IF(G1052=60,M1059-Z1072-Z1068/2,IF(G1052=601,M1059-AB1072-AB1068/2,IF(G1052=65,M1059-AD1072-AD1068/2,IF(G1052=70,M1059-AF1072-AF1068/2,IF(G1052=75,M1059-AH1072-AH1068/2,IF(G1052=50,M1059-AJ1072-AJ1068/2))))))))</f>
        <v>562.20000000000005</v>
      </c>
      <c r="K1073" s="207">
        <v>4</v>
      </c>
      <c r="L1073" s="47">
        <f>VLOOKUP($H:$H,型材表!$B$5:$I$448,4,0)</f>
        <v>1.4450000000000001</v>
      </c>
      <c r="M1073" s="46">
        <f t="shared" si="201"/>
        <v>3.2495160000000007</v>
      </c>
      <c r="N1073" s="72">
        <f>VLOOKUP($H:$H,型材表!$B$5:$I$448,7,0)</f>
        <v>0</v>
      </c>
      <c r="O1073" s="46">
        <f t="shared" si="202"/>
        <v>0</v>
      </c>
      <c r="P1073" s="100">
        <f>VLOOKUP($H:$H,型材表!$B$5:$I$448,5,0)</f>
        <v>0.125</v>
      </c>
      <c r="Q1073" s="100" t="str">
        <f>VLOOKUP($H:$H,型材表!$B$5:$I$448,6,0)</f>
        <v>断桥隔热铝型材</v>
      </c>
      <c r="R1073" s="210"/>
      <c r="S1073" s="50"/>
      <c r="T1073" s="459"/>
      <c r="X1073" s="286"/>
      <c r="Y1073" s="265"/>
      <c r="Z1073" s="286"/>
      <c r="AA1073" s="265"/>
      <c r="AB1073" s="286"/>
      <c r="AC1073" s="265"/>
      <c r="AD1073" s="286"/>
      <c r="AE1073" s="265"/>
      <c r="AF1073" s="286"/>
      <c r="AG1073" s="265"/>
      <c r="AH1073" s="286"/>
      <c r="AI1073" s="265"/>
      <c r="AJ1073" s="264"/>
      <c r="AK1073" s="265"/>
    </row>
    <row r="1074" spans="1:37" x14ac:dyDescent="0.15">
      <c r="A1074" s="395">
        <v>8</v>
      </c>
      <c r="B1074" s="580"/>
      <c r="C1074" s="580"/>
      <c r="D1074" s="580"/>
      <c r="E1074" s="580"/>
      <c r="F1074" s="47" t="str">
        <f>VLOOKUP($H:$H,型材表!$B$5:$I$448,2,0)</f>
        <v>中梃</v>
      </c>
      <c r="G1074" s="45" t="s">
        <v>39</v>
      </c>
      <c r="H1074" s="45" t="str">
        <f>IF(G1052=55,"SW55T001",IF(G1052=551,"SW55BT001",IF(G1052=60,"SW60T001",IF(G1052=601,"SW60AT001",IF(G1052=65,"SW65AT001",IF(G1052=70,"SW70T001",IF(G1052=75,"SW75T001",IF(G1052=50,"SW50Z001"))))))))</f>
        <v>SW55T001</v>
      </c>
      <c r="I1074" s="207" t="s">
        <v>1237</v>
      </c>
      <c r="J1074" s="46">
        <f>IF(G1052=55,M1054-V1074,IF(G1052=551,M1054-X1074,IF(G1052=60,M1054-Z1074,IF(G1052=601,M1054-AB1074,IF(G1052=65,M1054-AD1074,IF(G1052=70,M1054-AF1074,IF(G1052=75,M1054-AH1074,IF(G1052=50,M1054-AJ1074))))))))</f>
        <v>1654</v>
      </c>
      <c r="K1074" s="45">
        <v>2</v>
      </c>
      <c r="L1074" s="47">
        <f>VLOOKUP($H:$H,型材表!$B$5:$I$448,4,0)</f>
        <v>1.113</v>
      </c>
      <c r="M1074" s="46">
        <f t="shared" si="201"/>
        <v>3.6818040000000001</v>
      </c>
      <c r="N1074" s="72">
        <f>VLOOKUP($H:$H,型材表!$B$5:$I$448,7,0)</f>
        <v>0</v>
      </c>
      <c r="O1074" s="46">
        <f t="shared" si="202"/>
        <v>0</v>
      </c>
      <c r="P1074" s="100">
        <f>VLOOKUP($H:$H,型材表!$B$5:$I$448,5,0)</f>
        <v>0.125</v>
      </c>
      <c r="Q1074" s="100" t="str">
        <f>VLOOKUP($H:$H,型材表!$B$5:$I$448,6,0)</f>
        <v>断桥隔热铝型材</v>
      </c>
      <c r="R1074" s="49"/>
      <c r="S1074" s="50"/>
      <c r="T1074" s="459"/>
      <c r="U1074" s="374" t="s">
        <v>1234</v>
      </c>
      <c r="V1074" s="259">
        <f>23*2</f>
        <v>46</v>
      </c>
      <c r="X1074" s="286">
        <f>23*2</f>
        <v>46</v>
      </c>
      <c r="Y1074" s="265"/>
      <c r="Z1074" s="286">
        <f>23*2</f>
        <v>46</v>
      </c>
      <c r="AA1074" s="265"/>
      <c r="AB1074" s="286">
        <f>23*2</f>
        <v>46</v>
      </c>
      <c r="AC1074" s="265"/>
      <c r="AD1074" s="286">
        <f>23*2</f>
        <v>46</v>
      </c>
      <c r="AE1074" s="265"/>
      <c r="AF1074" s="286">
        <f>23*2</f>
        <v>46</v>
      </c>
      <c r="AG1074" s="265"/>
      <c r="AH1074" s="286">
        <f>23*2</f>
        <v>46</v>
      </c>
      <c r="AI1074" s="265"/>
      <c r="AJ1074" s="264">
        <f>23.3*2</f>
        <v>46.6</v>
      </c>
      <c r="AK1074" s="265"/>
    </row>
    <row r="1075" spans="1:37" s="315" customFormat="1" x14ac:dyDescent="0.15">
      <c r="A1075" s="395">
        <v>9</v>
      </c>
      <c r="B1075" s="580"/>
      <c r="C1075" s="580"/>
      <c r="D1075" s="580"/>
      <c r="E1075" s="580"/>
      <c r="F1075" s="47"/>
      <c r="G1075" s="45"/>
      <c r="H1075" s="207"/>
      <c r="I1075" s="207"/>
      <c r="J1075" s="208"/>
      <c r="K1075" s="207"/>
      <c r="L1075" s="310"/>
      <c r="M1075" s="147"/>
      <c r="N1075" s="311"/>
      <c r="O1075" s="147"/>
      <c r="P1075" s="312"/>
      <c r="Q1075" s="100"/>
      <c r="R1075" s="313"/>
      <c r="S1075" s="314"/>
      <c r="T1075" s="469"/>
      <c r="U1075" s="374" t="s">
        <v>1249</v>
      </c>
      <c r="V1075" s="259">
        <f>23+8</f>
        <v>31</v>
      </c>
      <c r="W1075" s="259"/>
      <c r="X1075" s="286">
        <f>23+8</f>
        <v>31</v>
      </c>
      <c r="Y1075" s="265"/>
      <c r="Z1075" s="286">
        <f>23+8</f>
        <v>31</v>
      </c>
      <c r="AA1075" s="265"/>
      <c r="AB1075" s="286">
        <f>23+8</f>
        <v>31</v>
      </c>
      <c r="AC1075" s="265"/>
      <c r="AD1075" s="286">
        <f>23+8</f>
        <v>31</v>
      </c>
      <c r="AE1075" s="265"/>
      <c r="AF1075" s="286">
        <f>23+8</f>
        <v>31</v>
      </c>
      <c r="AG1075" s="265"/>
      <c r="AH1075" s="286">
        <f>23+8</f>
        <v>31</v>
      </c>
      <c r="AI1075" s="265"/>
      <c r="AJ1075" s="264">
        <f>8+23.3</f>
        <v>31.3</v>
      </c>
      <c r="AK1075" s="318"/>
    </row>
    <row r="1076" spans="1:37" s="315" customFormat="1" x14ac:dyDescent="0.15">
      <c r="A1076" s="395">
        <v>10</v>
      </c>
      <c r="B1076" s="580"/>
      <c r="C1076" s="580"/>
      <c r="D1076" s="580"/>
      <c r="E1076" s="580"/>
      <c r="F1076" s="47" t="str">
        <f>VLOOKUP($H:$H,型材表!$B$5:$I$448,2,0)</f>
        <v>中梃</v>
      </c>
      <c r="G1076" s="45" t="s">
        <v>40</v>
      </c>
      <c r="H1076" s="207" t="str">
        <f>IF(G1052=55,"SW55T001",IF(G1052=551,"SW55BT001",IF(G1052=60,"SW60T001",IF(G1052=601,"SW60AT001",IF(G1052=65,"SW65AT001",IF(G1052=70,"SW70T001",IF(G1052=75,"SW75T001",IF(G1052=50,"SW50Z001"))))))))</f>
        <v>SW55T001</v>
      </c>
      <c r="I1076" s="207" t="s">
        <v>1660</v>
      </c>
      <c r="J1076" s="208">
        <f>IF(G1052=55,M1059-V1075-V1068/2,IF(G1052=551,M1059-X1075-X1068/2,IF(G1052=60,M1059-Z1075-Z1068/2,IF(G1052=601,M1059-AB1075-AB1068/2,IF(G1052=65,M1059-AD1075-AD1068/2,IF(G1052=70,M1059-AF1075-AF1068/2,IF(G1052=75,M1059-AH1075-AH1068/2,IF(G1052=50,M1059-AJ1075-AJ1068/2))))))))</f>
        <v>614</v>
      </c>
      <c r="K1076" s="207">
        <v>1</v>
      </c>
      <c r="L1076" s="310">
        <f>VLOOKUP($H:$H,型材表!$B$5:$I$448,4,0)</f>
        <v>1.113</v>
      </c>
      <c r="M1076" s="147">
        <f t="shared" si="201"/>
        <v>0.68338199999999993</v>
      </c>
      <c r="N1076" s="311">
        <f>VLOOKUP($H:$H,型材表!$B$5:$I$448,7,0)</f>
        <v>0</v>
      </c>
      <c r="O1076" s="147">
        <f t="shared" si="202"/>
        <v>0</v>
      </c>
      <c r="P1076" s="312">
        <f>VLOOKUP($H:$H,型材表!$B$5:$I$448,5,0)</f>
        <v>0.125</v>
      </c>
      <c r="Q1076" s="100" t="str">
        <f>VLOOKUP($H:$H,型材表!$B$5:$I$448,6,0)</f>
        <v>断桥隔热铝型材</v>
      </c>
      <c r="R1076" s="330"/>
      <c r="S1076" s="314"/>
      <c r="T1076" s="469"/>
      <c r="U1076" s="376"/>
      <c r="V1076" s="316"/>
      <c r="W1076" s="316"/>
      <c r="X1076" s="317"/>
      <c r="Y1076" s="318"/>
      <c r="Z1076" s="317"/>
      <c r="AA1076" s="318"/>
      <c r="AB1076" s="317"/>
      <c r="AC1076" s="318"/>
      <c r="AD1076" s="317"/>
      <c r="AE1076" s="318"/>
      <c r="AF1076" s="317"/>
      <c r="AG1076" s="318"/>
      <c r="AH1076" s="317"/>
      <c r="AI1076" s="318"/>
      <c r="AJ1076" s="317"/>
      <c r="AK1076" s="318"/>
    </row>
    <row r="1077" spans="1:37" s="315" customFormat="1" x14ac:dyDescent="0.15">
      <c r="A1077" s="395">
        <v>11</v>
      </c>
      <c r="B1077" s="580"/>
      <c r="C1077" s="580"/>
      <c r="D1077" s="580"/>
      <c r="E1077" s="580"/>
      <c r="F1077" s="47" t="str">
        <f>VLOOKUP($H:$H,型材表!$B$5:$I$448,2,0)</f>
        <v>转向框</v>
      </c>
      <c r="G1077" s="116" t="s">
        <v>39</v>
      </c>
      <c r="H1077" s="116" t="str">
        <f>IF(G1052=55,"SW55K102",IF(G1052=551,"SW55BK102",IF(G1052=60,"SW60K102",IF(G1052=601,"SW60AK102",IF(G1052=65,"SW65AK102",IF(G1052=70,"SW70K102",IF(G1052=75,"SW75K102",IF(G1052=50,"SW50K101"))))))))</f>
        <v>SW55K102</v>
      </c>
      <c r="I1077" s="207" t="s">
        <v>1240</v>
      </c>
      <c r="J1077" s="147">
        <f>IF(G1052=55,M1057-V1077,IF(G1052=551,M1057-X1077,IF(G1052=60,M1057-Z1077,IF(G1052=601,M1057-AB1077,IF(G1052=65,M1057-AD1077,IF(G1052=70,M1057-AF1077,IF(G1052=75,M1057-AH1077,IF(G1052=50,M1057-AJ1077))))))))</f>
        <v>461.7</v>
      </c>
      <c r="K1077" s="116">
        <v>4</v>
      </c>
      <c r="L1077" s="310">
        <f>VLOOKUP($H:$H,型材表!$B$5:$I$448,4,0)</f>
        <v>0.92300000000000004</v>
      </c>
      <c r="M1077" s="147">
        <f t="shared" si="201"/>
        <v>1.7045964000000002</v>
      </c>
      <c r="N1077" s="311">
        <f>VLOOKUP($H:$H,型材表!$B$5:$I$448,7,0)</f>
        <v>0</v>
      </c>
      <c r="O1077" s="147">
        <f t="shared" si="202"/>
        <v>0</v>
      </c>
      <c r="P1077" s="312">
        <f>VLOOKUP($H:$H,型材表!$B$5:$I$448,5,0)</f>
        <v>0.125</v>
      </c>
      <c r="Q1077" s="100" t="str">
        <f>VLOOKUP($H:$H,型材表!$B$5:$I$448,6,0)</f>
        <v>断桥隔热铝型材</v>
      </c>
      <c r="R1077" s="330"/>
      <c r="S1077" s="314"/>
      <c r="T1077" s="469"/>
      <c r="U1077" s="376" t="s">
        <v>1250</v>
      </c>
      <c r="V1077" s="316">
        <f>25.3+13</f>
        <v>38.299999999999997</v>
      </c>
      <c r="W1077" s="316"/>
      <c r="X1077" s="317">
        <f>25.3+13</f>
        <v>38.299999999999997</v>
      </c>
      <c r="Y1077" s="318"/>
      <c r="Z1077" s="317">
        <f>25.3+13</f>
        <v>38.299999999999997</v>
      </c>
      <c r="AA1077" s="318"/>
      <c r="AB1077" s="317">
        <f>25.3+13</f>
        <v>38.299999999999997</v>
      </c>
      <c r="AC1077" s="318"/>
      <c r="AD1077" s="317">
        <f>25.3+13</f>
        <v>38.299999999999997</v>
      </c>
      <c r="AE1077" s="318"/>
      <c r="AF1077" s="317">
        <f>25.3+10.3</f>
        <v>35.6</v>
      </c>
      <c r="AG1077" s="318"/>
      <c r="AH1077" s="317">
        <f>25.3+10.3</f>
        <v>35.6</v>
      </c>
      <c r="AI1077" s="318"/>
      <c r="AJ1077" s="317">
        <f>10+25.3</f>
        <v>35.299999999999997</v>
      </c>
      <c r="AK1077" s="318"/>
    </row>
    <row r="1078" spans="1:37" x14ac:dyDescent="0.15">
      <c r="A1078" s="395">
        <v>12</v>
      </c>
      <c r="B1078" s="580"/>
      <c r="C1078" s="580"/>
      <c r="D1078" s="580"/>
      <c r="E1078" s="580"/>
      <c r="F1078" s="47"/>
      <c r="G1078" s="116"/>
      <c r="H1078" s="328"/>
      <c r="I1078" s="207"/>
      <c r="J1078" s="329"/>
      <c r="K1078" s="328"/>
      <c r="L1078" s="310"/>
      <c r="M1078" s="147"/>
      <c r="N1078" s="311"/>
      <c r="O1078" s="147"/>
      <c r="P1078" s="312"/>
      <c r="Q1078" s="100"/>
      <c r="R1078" s="49"/>
      <c r="S1078" s="50"/>
      <c r="T1078" s="459"/>
      <c r="U1078" s="376" t="s">
        <v>1577</v>
      </c>
      <c r="V1078" s="316">
        <f>25.3+13</f>
        <v>38.299999999999997</v>
      </c>
      <c r="W1078" s="316"/>
      <c r="X1078" s="317">
        <f>25.3+13</f>
        <v>38.299999999999997</v>
      </c>
      <c r="Y1078" s="318"/>
      <c r="Z1078" s="317">
        <f>25.3+13</f>
        <v>38.299999999999997</v>
      </c>
      <c r="AA1078" s="318"/>
      <c r="AB1078" s="317">
        <f>25.3+13</f>
        <v>38.299999999999997</v>
      </c>
      <c r="AC1078" s="318"/>
      <c r="AD1078" s="317">
        <f>25.3+13</f>
        <v>38.299999999999997</v>
      </c>
      <c r="AE1078" s="318"/>
      <c r="AF1078" s="317">
        <f>25.3+10.3</f>
        <v>35.6</v>
      </c>
      <c r="AG1078" s="318"/>
      <c r="AH1078" s="317">
        <f>25.3+10.3</f>
        <v>35.6</v>
      </c>
      <c r="AI1078" s="318"/>
      <c r="AJ1078" s="317">
        <f>10+25.3</f>
        <v>35.299999999999997</v>
      </c>
      <c r="AK1078" s="265"/>
    </row>
    <row r="1079" spans="1:37" x14ac:dyDescent="0.15">
      <c r="A1079" s="395">
        <v>13</v>
      </c>
      <c r="B1079" s="580"/>
      <c r="C1079" s="580"/>
      <c r="D1079" s="580"/>
      <c r="E1079" s="580"/>
      <c r="F1079" s="47" t="str">
        <f>VLOOKUP($H:$H,型材表!$B$5:$I$448,2,0)</f>
        <v>转向框</v>
      </c>
      <c r="G1079" s="116" t="s">
        <v>40</v>
      </c>
      <c r="H1079" s="45" t="str">
        <f>H1077</f>
        <v>SW55K102</v>
      </c>
      <c r="I1079" s="207" t="s">
        <v>1661</v>
      </c>
      <c r="J1079" s="46">
        <f>IF(G1052=55,M1059-V1078-V1068/2,IF(G1052=551,M1059-X1078-X1068/2,IF(G1052=60,M1059-Z1078-Z1068/2,IF(G1052=601,M1059-AB1078-AB1068/2,IF(G1052=65,M1059-AD1078-AD1068/2,IF(G1052=70,M1059-AF1078-AF1068/2,IF(G1052=75,M1059-AH1078-AH1068/2,IF(G1052=50,M1059-AJ1078-AJ1068/2))))))))</f>
        <v>606.70000000000005</v>
      </c>
      <c r="K1079" s="45">
        <v>4</v>
      </c>
      <c r="L1079" s="310">
        <f>VLOOKUP($H:$H,型材表!$B$5:$I$448,4,0)</f>
        <v>0.92300000000000004</v>
      </c>
      <c r="M1079" s="147">
        <f t="shared" si="201"/>
        <v>2.2399363999999999</v>
      </c>
      <c r="N1079" s="311">
        <f>VLOOKUP($H:$H,型材表!$B$5:$I$448,7,0)</f>
        <v>0</v>
      </c>
      <c r="O1079" s="147">
        <f t="shared" si="202"/>
        <v>0</v>
      </c>
      <c r="P1079" s="312">
        <f>VLOOKUP($H:$H,型材表!$B$5:$I$448,5,0)</f>
        <v>0.125</v>
      </c>
      <c r="Q1079" s="100" t="str">
        <f>VLOOKUP($H:$H,型材表!$B$5:$I$448,6,0)</f>
        <v>断桥隔热铝型材</v>
      </c>
      <c r="R1079" s="210"/>
      <c r="S1079" s="50"/>
      <c r="T1079" s="459"/>
      <c r="X1079" s="264"/>
      <c r="Y1079" s="265"/>
      <c r="Z1079" s="264"/>
      <c r="AA1079" s="265"/>
      <c r="AB1079" s="264"/>
      <c r="AC1079" s="265"/>
      <c r="AD1079" s="264"/>
      <c r="AE1079" s="265"/>
      <c r="AF1079" s="264"/>
      <c r="AG1079" s="265"/>
      <c r="AH1079" s="264"/>
      <c r="AI1079" s="265"/>
      <c r="AJ1079" s="264"/>
      <c r="AK1079" s="265"/>
    </row>
    <row r="1080" spans="1:37" x14ac:dyDescent="0.15">
      <c r="A1080" s="395">
        <v>14</v>
      </c>
      <c r="B1080" s="580" t="s">
        <v>150</v>
      </c>
      <c r="C1080" s="580"/>
      <c r="D1080" s="580"/>
      <c r="E1080" s="580"/>
      <c r="F1080" s="310" t="str">
        <f>VLOOKUP($H:$H,型材表!$B$5:$I$448,2,0)</f>
        <v>转角料</v>
      </c>
      <c r="G1080" s="207"/>
      <c r="H1080" s="207" t="str">
        <f>IF(G1052=55,"SN55J001",IF(G1052=551,"SN55BJ001",IF(G1052=60,"SN60J001",IF(G1052=601,"SN60AJ001",IF(G1052=65,"SN65AJ001",IF(G1052=70,"SN70J001",IF(G1052=75,"SN75J001",IF(G1052=50,"SW50F005"))))))))</f>
        <v>SN55J001</v>
      </c>
      <c r="I1080" s="207" t="s">
        <v>1169</v>
      </c>
      <c r="J1080" s="208">
        <f>M1054</f>
        <v>1700</v>
      </c>
      <c r="K1080" s="207">
        <v>2</v>
      </c>
      <c r="L1080" s="310">
        <f>VLOOKUP($H:$H,型材表!$B$5:$I$448,4,0)</f>
        <v>1.2430000000000001</v>
      </c>
      <c r="M1080" s="147">
        <f t="shared" si="201"/>
        <v>4.2262000000000004</v>
      </c>
      <c r="N1080" s="311">
        <f>VLOOKUP($H:$H,型材表!$B$5:$I$448,7,0)</f>
        <v>0</v>
      </c>
      <c r="O1080" s="147">
        <f t="shared" si="202"/>
        <v>0</v>
      </c>
      <c r="P1080" s="312">
        <f>VLOOKUP($H:$H,型材表!$B$5:$I$448,5,0)</f>
        <v>0.125</v>
      </c>
      <c r="Q1080" s="100" t="str">
        <f>VLOOKUP($H:$H,型材表!$B$5:$I$448,6,0)</f>
        <v>断桥隔热铝型材</v>
      </c>
      <c r="R1080" s="210"/>
      <c r="S1080" s="50"/>
      <c r="T1080" s="459"/>
      <c r="X1080" s="264"/>
      <c r="Y1080" s="265"/>
      <c r="Z1080" s="264"/>
      <c r="AA1080" s="265"/>
      <c r="AB1080" s="264"/>
      <c r="AC1080" s="265"/>
      <c r="AD1080" s="264"/>
      <c r="AE1080" s="265"/>
      <c r="AF1080" s="264"/>
      <c r="AG1080" s="265"/>
      <c r="AH1080" s="264"/>
      <c r="AI1080" s="265"/>
      <c r="AJ1080" s="264"/>
      <c r="AK1080" s="265"/>
    </row>
    <row r="1081" spans="1:37" x14ac:dyDescent="0.15">
      <c r="A1081" s="395">
        <v>15</v>
      </c>
      <c r="B1081" s="580" t="s">
        <v>44</v>
      </c>
      <c r="C1081" s="580"/>
      <c r="D1081" s="580"/>
      <c r="E1081" s="580"/>
      <c r="F1081" s="47" t="str">
        <f>VLOOKUP($H:$H,型材表!$B$5:$I$448,2,0)</f>
        <v>压线</v>
      </c>
      <c r="G1081" s="45" t="s">
        <v>39</v>
      </c>
      <c r="H1081" s="45" t="str">
        <f>IF(G1052=55,"SN55Y001",IF(G1052=551,"SW55BY001",IF(G1052=60,"SN60Y001",IF(G1052=601,"SW60AY001",IF(G1052=65,"SN65AY001",IF(G1052=70,"SN70Y001",IF(G1052=75,"SN75Y001",IF(G1052=50,"SW50Y001"))))))))</f>
        <v>SN55Y001</v>
      </c>
      <c r="I1081" s="207" t="s">
        <v>1241</v>
      </c>
      <c r="J1081" s="52">
        <f>IF(G1052=55,M1056-V1081,IF(G1052=551,M1056-X1081,IF(G1052=60,M1056-Z1081,IF(G1052=601,M1056-AB1081,IF(G1052=65,M1056-AD1081,IF(G1052=70,M1056-AF1081,IF(G1052=75,M1056-AH1081,IF(G1052=50,M1056-AJ1081))))))))</f>
        <v>1015.2</v>
      </c>
      <c r="K1081" s="45">
        <v>4</v>
      </c>
      <c r="L1081" s="310">
        <f>VLOOKUP($H:$H,型材表!$B$5:$I$448,4,0)</f>
        <v>0.214</v>
      </c>
      <c r="M1081" s="147">
        <f t="shared" si="201"/>
        <v>0.86901119999999998</v>
      </c>
      <c r="N1081" s="311">
        <f>VLOOKUP($H:$H,型材表!$B$5:$I$448,7,0)</f>
        <v>0</v>
      </c>
      <c r="O1081" s="147">
        <f t="shared" si="202"/>
        <v>0</v>
      </c>
      <c r="P1081" s="312">
        <f>VLOOKUP($H:$H,型材表!$B$5:$I$448,5,0)</f>
        <v>0.125</v>
      </c>
      <c r="Q1081" s="100" t="str">
        <f>VLOOKUP($H:$H,型材表!$B$5:$I$448,6,0)</f>
        <v>非断桥隔热铝型材</v>
      </c>
      <c r="R1081" s="210"/>
      <c r="S1081" s="50"/>
      <c r="T1081" s="459"/>
      <c r="U1081" s="374" t="s">
        <v>1251</v>
      </c>
      <c r="V1081" s="269">
        <f>99.9+84.9</f>
        <v>184.8</v>
      </c>
      <c r="X1081" s="279">
        <f>99.9+84.9</f>
        <v>184.8</v>
      </c>
      <c r="Y1081" s="265"/>
      <c r="Z1081" s="279">
        <f>99.9+84.9</f>
        <v>184.8</v>
      </c>
      <c r="AA1081" s="265"/>
      <c r="AB1081" s="279">
        <f>99.9+84.9</f>
        <v>184.8</v>
      </c>
      <c r="AC1081" s="265"/>
      <c r="AD1081" s="279">
        <f>99.9+84.9</f>
        <v>184.8</v>
      </c>
      <c r="AE1081" s="265"/>
      <c r="AF1081" s="279">
        <f>105.4+90.4</f>
        <v>195.8</v>
      </c>
      <c r="AG1081" s="265"/>
      <c r="AH1081" s="279">
        <f>105.4+90.4</f>
        <v>195.8</v>
      </c>
      <c r="AI1081" s="265"/>
      <c r="AJ1081" s="279">
        <f>90.4+75.1</f>
        <v>165.5</v>
      </c>
      <c r="AK1081" s="265"/>
    </row>
    <row r="1082" spans="1:37" x14ac:dyDescent="0.15">
      <c r="A1082" s="395">
        <v>16</v>
      </c>
      <c r="B1082" s="580"/>
      <c r="C1082" s="580"/>
      <c r="D1082" s="580"/>
      <c r="E1082" s="580"/>
      <c r="F1082" s="47" t="str">
        <f>VLOOKUP($H:$H,型材表!$B$5:$I$448,2,0)</f>
        <v>压线</v>
      </c>
      <c r="G1082" s="45" t="s">
        <v>39</v>
      </c>
      <c r="H1082" s="207" t="str">
        <f>H1081</f>
        <v>SN55Y001</v>
      </c>
      <c r="I1082" s="207" t="s">
        <v>1242</v>
      </c>
      <c r="J1082" s="214">
        <f>IF(G1052=55,M1057-V1082,IF(G1052=551,M1057-X1082,IF(G1052=60,M1057-Z1082,IF(G1052=601,M1057-AB1082,IF(G1052=65,M1057-AD1082,IF(G1052=70,M1057-AF1082,IF(G1052=75,M1057-AH1082,IF(G1052=50,M1057-AJ1082))))))))</f>
        <v>469</v>
      </c>
      <c r="K1082" s="207">
        <v>4</v>
      </c>
      <c r="L1082" s="310">
        <f>VLOOKUP($H:$H,型材表!$B$5:$I$448,4,0)</f>
        <v>0.214</v>
      </c>
      <c r="M1082" s="147">
        <f t="shared" si="201"/>
        <v>0.40146399999999999</v>
      </c>
      <c r="N1082" s="311">
        <f>VLOOKUP($H:$H,型材表!$B$5:$I$448,7,0)</f>
        <v>0</v>
      </c>
      <c r="O1082" s="147">
        <f t="shared" si="202"/>
        <v>0</v>
      </c>
      <c r="P1082" s="312">
        <f>VLOOKUP($H:$H,型材表!$B$5:$I$448,5,0)</f>
        <v>0.125</v>
      </c>
      <c r="Q1082" s="100" t="str">
        <f>VLOOKUP($H:$H,型材表!$B$5:$I$448,6,0)</f>
        <v>非断桥隔热铝型材</v>
      </c>
      <c r="R1082" s="210"/>
      <c r="S1082" s="50"/>
      <c r="T1082" s="459"/>
      <c r="U1082" s="374" t="s">
        <v>1252</v>
      </c>
      <c r="V1082" s="269">
        <f>8+23</f>
        <v>31</v>
      </c>
      <c r="X1082" s="279">
        <f>8+23</f>
        <v>31</v>
      </c>
      <c r="Y1082" s="265"/>
      <c r="Z1082" s="279">
        <f>8+23</f>
        <v>31</v>
      </c>
      <c r="AA1082" s="265"/>
      <c r="AB1082" s="279">
        <f>8+23</f>
        <v>31</v>
      </c>
      <c r="AC1082" s="265"/>
      <c r="AD1082" s="279">
        <f>8+23</f>
        <v>31</v>
      </c>
      <c r="AE1082" s="265"/>
      <c r="AF1082" s="279">
        <f>8+23</f>
        <v>31</v>
      </c>
      <c r="AG1082" s="265"/>
      <c r="AH1082" s="279">
        <f>8+23</f>
        <v>31</v>
      </c>
      <c r="AI1082" s="265"/>
      <c r="AJ1082" s="279">
        <f>8+23.3</f>
        <v>31.3</v>
      </c>
      <c r="AK1082" s="265"/>
    </row>
    <row r="1083" spans="1:37" x14ac:dyDescent="0.15">
      <c r="A1083" s="395">
        <v>17</v>
      </c>
      <c r="B1083" s="580"/>
      <c r="C1083" s="580"/>
      <c r="D1083" s="580"/>
      <c r="E1083" s="580"/>
      <c r="F1083" s="47" t="str">
        <f>VLOOKUP($H:$H,型材表!$B$5:$I$448,2,0)</f>
        <v>压线</v>
      </c>
      <c r="G1083" s="45" t="s">
        <v>39</v>
      </c>
      <c r="H1083" s="207" t="str">
        <f>H1082</f>
        <v>SN55Y001</v>
      </c>
      <c r="I1083" s="207" t="s">
        <v>1243</v>
      </c>
      <c r="J1083" s="214">
        <f>IF(G1052=55,M1054-V1083,IF(G1052=551,M1054-X1083,IF(G1052=60,M1054-Z1083,IF(G1052=601,M1054-AB1083,IF(G1052=65,M1054-AD1083,IF(G1052=70,M1054-AF1083,IF(G1052=75,M1054-AH1083,IF(G1052=50,M1054-AJ1083))))))))</f>
        <v>1654</v>
      </c>
      <c r="K1083" s="207">
        <v>4</v>
      </c>
      <c r="L1083" s="310">
        <f>VLOOKUP($H:$H,型材表!$B$5:$I$448,4,0)</f>
        <v>0.214</v>
      </c>
      <c r="M1083" s="147">
        <f t="shared" si="201"/>
        <v>1.415824</v>
      </c>
      <c r="N1083" s="311">
        <f>VLOOKUP($H:$H,型材表!$B$5:$I$448,7,0)</f>
        <v>0</v>
      </c>
      <c r="O1083" s="147">
        <f t="shared" si="202"/>
        <v>0</v>
      </c>
      <c r="P1083" s="312">
        <f>VLOOKUP($H:$H,型材表!$B$5:$I$448,5,0)</f>
        <v>0.125</v>
      </c>
      <c r="Q1083" s="100" t="str">
        <f>VLOOKUP($H:$H,型材表!$B$5:$I$448,6,0)</f>
        <v>非断桥隔热铝型材</v>
      </c>
      <c r="R1083" s="210"/>
      <c r="S1083" s="50"/>
      <c r="T1083" s="459"/>
      <c r="U1083" s="374" t="s">
        <v>1253</v>
      </c>
      <c r="V1083" s="269">
        <f>23*2</f>
        <v>46</v>
      </c>
      <c r="X1083" s="279">
        <f>23*2</f>
        <v>46</v>
      </c>
      <c r="Y1083" s="265"/>
      <c r="Z1083" s="279">
        <f>23*2</f>
        <v>46</v>
      </c>
      <c r="AA1083" s="265"/>
      <c r="AB1083" s="279">
        <f>23*2</f>
        <v>46</v>
      </c>
      <c r="AC1083" s="265"/>
      <c r="AD1083" s="279">
        <f>23*2</f>
        <v>46</v>
      </c>
      <c r="AE1083" s="265"/>
      <c r="AF1083" s="279">
        <f>23*2</f>
        <v>46</v>
      </c>
      <c r="AG1083" s="265"/>
      <c r="AH1083" s="279">
        <f>23*2</f>
        <v>46</v>
      </c>
      <c r="AI1083" s="265"/>
      <c r="AJ1083" s="279">
        <f>23.3*2</f>
        <v>46.6</v>
      </c>
      <c r="AK1083" s="265"/>
    </row>
    <row r="1084" spans="1:37" x14ac:dyDescent="0.15">
      <c r="A1084" s="395">
        <v>18</v>
      </c>
      <c r="B1084" s="580"/>
      <c r="C1084" s="580"/>
      <c r="D1084" s="580"/>
      <c r="E1084" s="580"/>
      <c r="F1084" s="47"/>
      <c r="G1084" s="45"/>
      <c r="H1084" s="207"/>
      <c r="I1084" s="207"/>
      <c r="J1084" s="214"/>
      <c r="K1084" s="207"/>
      <c r="L1084" s="310"/>
      <c r="M1084" s="147"/>
      <c r="N1084" s="311"/>
      <c r="O1084" s="147"/>
      <c r="P1084" s="312"/>
      <c r="Q1084" s="100"/>
      <c r="R1084" s="210"/>
      <c r="S1084" s="50"/>
      <c r="T1084" s="459"/>
      <c r="U1084" s="374" t="s">
        <v>1254</v>
      </c>
      <c r="V1084" s="269">
        <f>99.9+84.9</f>
        <v>184.8</v>
      </c>
      <c r="X1084" s="279">
        <f>99.9+84.9</f>
        <v>184.8</v>
      </c>
      <c r="Y1084" s="265"/>
      <c r="Z1084" s="279">
        <f>99.9+84.9</f>
        <v>184.8</v>
      </c>
      <c r="AA1084" s="265"/>
      <c r="AB1084" s="279">
        <f>99.9+84.9</f>
        <v>184.8</v>
      </c>
      <c r="AC1084" s="265"/>
      <c r="AD1084" s="279">
        <f>99.9+84.9</f>
        <v>184.8</v>
      </c>
      <c r="AE1084" s="265"/>
      <c r="AF1084" s="279">
        <f>105.4+90.4</f>
        <v>195.8</v>
      </c>
      <c r="AG1084" s="265"/>
      <c r="AH1084" s="279">
        <f>105.4+90.4</f>
        <v>195.8</v>
      </c>
      <c r="AI1084" s="265"/>
      <c r="AJ1084" s="279">
        <f>90.4+75.1</f>
        <v>165.5</v>
      </c>
      <c r="AK1084" s="265"/>
    </row>
    <row r="1085" spans="1:37" x14ac:dyDescent="0.15">
      <c r="A1085" s="395">
        <v>19</v>
      </c>
      <c r="B1085" s="580"/>
      <c r="C1085" s="580"/>
      <c r="D1085" s="580"/>
      <c r="E1085" s="580"/>
      <c r="F1085" s="47" t="str">
        <f>VLOOKUP($H:$H,型材表!$B$5:$I$448,2,0)</f>
        <v>压线</v>
      </c>
      <c r="G1085" s="45" t="s">
        <v>40</v>
      </c>
      <c r="H1085" s="207" t="str">
        <f>H1083</f>
        <v>SN55Y001</v>
      </c>
      <c r="I1085" s="207" t="s">
        <v>1662</v>
      </c>
      <c r="J1085" s="214">
        <f>IF(G1052=55,M1059-V1084-V1068/2,IF(G1052=551,M1059-X1084-X1068/2,IF(G1052=60,M1059-Z1084-Z1068/2,IF(G1052=601,M1059-AB1084-AB1068/2,IF(G1052=65,M1059-AD1084-AD1068/2,IF(G1052=70,M1059-AF1084-AF1068/2,IF(G1052=75,M1059-AH1084-AH1068/2,IF(G1052=50,M1059-AJ1084-AJ1068/2))))))))</f>
        <v>460.20000000000005</v>
      </c>
      <c r="K1085" s="207">
        <v>4</v>
      </c>
      <c r="L1085" s="310">
        <f>VLOOKUP($H:$H,型材表!$B$5:$I$448,4,0)</f>
        <v>0.214</v>
      </c>
      <c r="M1085" s="147">
        <f t="shared" si="201"/>
        <v>0.39393120000000004</v>
      </c>
      <c r="N1085" s="311">
        <f>VLOOKUP($H:$H,型材表!$B$5:$I$448,7,0)</f>
        <v>0</v>
      </c>
      <c r="O1085" s="147">
        <f t="shared" si="202"/>
        <v>0</v>
      </c>
      <c r="P1085" s="312">
        <f>VLOOKUP($H:$H,型材表!$B$5:$I$448,5,0)</f>
        <v>0.125</v>
      </c>
      <c r="Q1085" s="100" t="str">
        <f>VLOOKUP($H:$H,型材表!$B$5:$I$448,6,0)</f>
        <v>非断桥隔热铝型材</v>
      </c>
      <c r="R1085" s="210"/>
      <c r="S1085" s="50"/>
      <c r="T1085" s="459"/>
      <c r="V1085" s="269"/>
      <c r="X1085" s="279"/>
      <c r="Y1085" s="265"/>
      <c r="Z1085" s="279"/>
      <c r="AA1085" s="265"/>
      <c r="AB1085" s="279"/>
      <c r="AC1085" s="265"/>
      <c r="AD1085" s="279"/>
      <c r="AE1085" s="265"/>
      <c r="AF1085" s="279"/>
      <c r="AG1085" s="265"/>
      <c r="AH1085" s="279"/>
      <c r="AI1085" s="265"/>
      <c r="AJ1085" s="279"/>
      <c r="AK1085" s="265"/>
    </row>
    <row r="1086" spans="1:37" x14ac:dyDescent="0.15">
      <c r="A1086" s="395">
        <v>20</v>
      </c>
      <c r="B1086" s="580"/>
      <c r="C1086" s="580"/>
      <c r="D1086" s="580"/>
      <c r="E1086" s="580"/>
      <c r="F1086" s="47"/>
      <c r="G1086" s="45"/>
      <c r="H1086" s="207"/>
      <c r="I1086" s="207"/>
      <c r="J1086" s="214"/>
      <c r="K1086" s="207"/>
      <c r="L1086" s="310"/>
      <c r="M1086" s="147"/>
      <c r="N1086" s="311"/>
      <c r="O1086" s="147"/>
      <c r="P1086" s="312"/>
      <c r="Q1086" s="100"/>
      <c r="R1086" s="210"/>
      <c r="S1086" s="50"/>
      <c r="T1086" s="459"/>
      <c r="U1086" s="374" t="s">
        <v>1255</v>
      </c>
      <c r="V1086" s="269">
        <f>8+23</f>
        <v>31</v>
      </c>
      <c r="X1086" s="279">
        <f>8+23</f>
        <v>31</v>
      </c>
      <c r="Y1086" s="265"/>
      <c r="Z1086" s="279">
        <f>8+23</f>
        <v>31</v>
      </c>
      <c r="AA1086" s="265"/>
      <c r="AB1086" s="279">
        <f>8+23</f>
        <v>31</v>
      </c>
      <c r="AC1086" s="265"/>
      <c r="AD1086" s="279">
        <f>8+23</f>
        <v>31</v>
      </c>
      <c r="AE1086" s="265"/>
      <c r="AF1086" s="279">
        <f>8+23</f>
        <v>31</v>
      </c>
      <c r="AG1086" s="265"/>
      <c r="AH1086" s="279">
        <f>8+23</f>
        <v>31</v>
      </c>
      <c r="AI1086" s="265"/>
      <c r="AJ1086" s="279">
        <f>23.3+8</f>
        <v>31.3</v>
      </c>
      <c r="AK1086" s="265"/>
    </row>
    <row r="1087" spans="1:37" x14ac:dyDescent="0.15">
      <c r="A1087" s="395">
        <v>21</v>
      </c>
      <c r="B1087" s="580"/>
      <c r="C1087" s="580"/>
      <c r="D1087" s="580"/>
      <c r="E1087" s="580"/>
      <c r="F1087" s="47" t="str">
        <f>VLOOKUP($H:$H,型材表!$B$5:$I$448,2,0)</f>
        <v>压线</v>
      </c>
      <c r="G1087" s="45" t="s">
        <v>40</v>
      </c>
      <c r="H1087" s="207" t="str">
        <f>H1085</f>
        <v>SN55Y001</v>
      </c>
      <c r="I1087" s="207" t="s">
        <v>1663</v>
      </c>
      <c r="J1087" s="214">
        <f>IF(G1052=55,M1059-V1086-V1068/2,IF(G1052=551,M1059-X1086-X1068/2,IF(G1052=60,M1059-Z1086-Z1068/2,IF(G1052=601,M1059-AB1086-AB1068/2,IF(G1052=65,M1059-AD1086-AD1068/2,IF(G1052=70,M1059-AF1086-AF1068/2,IF(G1052=75,M1059-AH1086-AH1068/2,IF(G1052=50,M1059-AJ1086-AJ1068/2))))))))</f>
        <v>614</v>
      </c>
      <c r="K1087" s="207">
        <v>4</v>
      </c>
      <c r="L1087" s="310">
        <f>VLOOKUP($H:$H,型材表!$B$5:$I$448,4,0)</f>
        <v>0.214</v>
      </c>
      <c r="M1087" s="147">
        <f t="shared" si="201"/>
        <v>0.52558399999999994</v>
      </c>
      <c r="N1087" s="311">
        <f>VLOOKUP($H:$H,型材表!$B$5:$I$448,7,0)</f>
        <v>0</v>
      </c>
      <c r="O1087" s="147">
        <f t="shared" si="202"/>
        <v>0</v>
      </c>
      <c r="P1087" s="312">
        <f>VLOOKUP($H:$H,型材表!$B$5:$I$448,5,0)</f>
        <v>0.125</v>
      </c>
      <c r="Q1087" s="100" t="str">
        <f>VLOOKUP($H:$H,型材表!$B$5:$I$448,6,0)</f>
        <v>非断桥隔热铝型材</v>
      </c>
      <c r="R1087" s="210"/>
      <c r="S1087" s="50"/>
      <c r="T1087" s="459"/>
      <c r="V1087" s="269"/>
      <c r="X1087" s="279"/>
      <c r="Y1087" s="265"/>
      <c r="Z1087" s="279"/>
      <c r="AA1087" s="265"/>
      <c r="AB1087" s="279"/>
      <c r="AC1087" s="265"/>
      <c r="AD1087" s="279"/>
      <c r="AE1087" s="265"/>
      <c r="AF1087" s="279"/>
      <c r="AG1087" s="265"/>
      <c r="AH1087" s="279"/>
      <c r="AI1087" s="265"/>
      <c r="AJ1087" s="279"/>
      <c r="AK1087" s="265"/>
    </row>
    <row r="1088" spans="1:37" ht="13.5" customHeight="1" x14ac:dyDescent="0.15">
      <c r="A1088" s="395">
        <v>22</v>
      </c>
      <c r="B1088" s="580"/>
      <c r="C1088" s="580"/>
      <c r="D1088" s="580"/>
      <c r="E1088" s="580"/>
      <c r="F1088" s="47" t="str">
        <f>VLOOKUP($H:$H,型材表!$B$5:$I$448,2,0)</f>
        <v>压线</v>
      </c>
      <c r="G1088" s="45" t="s">
        <v>40</v>
      </c>
      <c r="H1088" s="207" t="str">
        <f>H1087</f>
        <v>SN55Y001</v>
      </c>
      <c r="I1088" s="207" t="s">
        <v>1289</v>
      </c>
      <c r="J1088" s="214">
        <f>IF(G1052=55,M1060-V1088,IF(G1052=551,M1060-X1088,IF(G1052=60,M1060-Z1088,IF(G1052=601,M1060-AB1088,IF(G1052=65,M1060-AD1088,IF(G1052=70,M1060-AF1088,IF(G1052=75,M1060-AH1088,IF(G1052=50,M1060-AJ1088))))))))</f>
        <v>684</v>
      </c>
      <c r="K1088" s="207">
        <v>2</v>
      </c>
      <c r="L1088" s="47">
        <f>VLOOKUP($H:$H,型材表!$B$5:$I$448,4,0)</f>
        <v>0.214</v>
      </c>
      <c r="M1088" s="46">
        <f t="shared" si="201"/>
        <v>0.29275200000000001</v>
      </c>
      <c r="N1088" s="72">
        <f>VLOOKUP($H:$H,型材表!$B$5:$I$448,7,0)</f>
        <v>0</v>
      </c>
      <c r="O1088" s="46">
        <f t="shared" si="202"/>
        <v>0</v>
      </c>
      <c r="P1088" s="100">
        <f>VLOOKUP($H:$H,型材表!$B$5:$I$448,5,0)</f>
        <v>0.125</v>
      </c>
      <c r="Q1088" s="100" t="str">
        <f>VLOOKUP($H:$H,型材表!$B$5:$I$448,6,0)</f>
        <v>非断桥隔热铝型材</v>
      </c>
      <c r="R1088" s="49"/>
      <c r="S1088" s="50"/>
      <c r="T1088" s="459"/>
      <c r="U1088" s="374" t="s">
        <v>1290</v>
      </c>
      <c r="V1088" s="259">
        <f>8*2</f>
        <v>16</v>
      </c>
      <c r="X1088" s="286">
        <f>8*2</f>
        <v>16</v>
      </c>
      <c r="Y1088" s="265"/>
      <c r="Z1088" s="264">
        <f>8*2</f>
        <v>16</v>
      </c>
      <c r="AA1088" s="265"/>
      <c r="AB1088" s="286">
        <f>8*2</f>
        <v>16</v>
      </c>
      <c r="AC1088" s="265"/>
      <c r="AD1088" s="264">
        <f>8*2</f>
        <v>16</v>
      </c>
      <c r="AE1088" s="265"/>
      <c r="AF1088" s="286">
        <f>8*2</f>
        <v>16</v>
      </c>
      <c r="AG1088" s="265"/>
      <c r="AH1088" s="264">
        <f>8*2</f>
        <v>16</v>
      </c>
      <c r="AI1088" s="265"/>
      <c r="AJ1088" s="264">
        <f>10.25*2</f>
        <v>20.5</v>
      </c>
      <c r="AK1088" s="265"/>
    </row>
    <row r="1089" spans="1:37" x14ac:dyDescent="0.15">
      <c r="A1089" s="395">
        <v>23</v>
      </c>
      <c r="B1089" s="580"/>
      <c r="C1089" s="580"/>
      <c r="D1089" s="580"/>
      <c r="E1089" s="580"/>
      <c r="F1089" s="47" t="str">
        <f>VLOOKUP($H:$H,型材表!$B$5:$I$448,2,0)</f>
        <v>压线</v>
      </c>
      <c r="G1089" s="45" t="s">
        <v>40</v>
      </c>
      <c r="H1089" s="207" t="str">
        <f t="shared" ref="H1089" si="203">H1088</f>
        <v>SN55Y001</v>
      </c>
      <c r="I1089" s="207" t="s">
        <v>1589</v>
      </c>
      <c r="J1089" s="214">
        <f>IF(G1052=55,M1061-V1089,IF(G1052=551,M1061-X1089,IF(G1052=60,M1061-Z1089,IF(G1052=601,M1061-AB1089,IF(G1052=65,M1061-AD1089,IF(G1052=70,M1061-AF1089,IF(G1052=75,M1061-AH1089,IF(G1052=50,M1061-AJ1089))))))))</f>
        <v>399</v>
      </c>
      <c r="K1089" s="207">
        <v>4</v>
      </c>
      <c r="L1089" s="47">
        <f>VLOOKUP($H:$H,型材表!$B$5:$I$448,4,0)</f>
        <v>0.214</v>
      </c>
      <c r="M1089" s="46">
        <f t="shared" si="201"/>
        <v>0.34154399999999996</v>
      </c>
      <c r="N1089" s="72">
        <f>VLOOKUP($H:$H,型材表!$B$5:$I$448,7,0)</f>
        <v>0</v>
      </c>
      <c r="O1089" s="46">
        <f t="shared" si="202"/>
        <v>0</v>
      </c>
      <c r="P1089" s="100">
        <f>VLOOKUP($H:$H,型材表!$B$5:$I$448,5,0)</f>
        <v>0.125</v>
      </c>
      <c r="Q1089" s="100" t="str">
        <f>VLOOKUP($H:$H,型材表!$B$5:$I$448,6,0)</f>
        <v>非断桥隔热铝型材</v>
      </c>
      <c r="R1089" s="210"/>
      <c r="S1089" s="50"/>
      <c r="T1089" s="459"/>
      <c r="U1089" s="374" t="s">
        <v>1588</v>
      </c>
      <c r="V1089" s="259">
        <f>78+23</f>
        <v>101</v>
      </c>
      <c r="X1089" s="286">
        <f>78+23</f>
        <v>101</v>
      </c>
      <c r="Y1089" s="265"/>
      <c r="Z1089" s="264">
        <f>83.2+23</f>
        <v>106.2</v>
      </c>
      <c r="AA1089" s="265"/>
      <c r="AB1089" s="264">
        <f>83.4+23</f>
        <v>106.4</v>
      </c>
      <c r="AC1089" s="265"/>
      <c r="AD1089" s="264">
        <f>87.2+23</f>
        <v>110.2</v>
      </c>
      <c r="AE1089" s="265"/>
      <c r="AF1089" s="264">
        <f>93.2+23</f>
        <v>116.2</v>
      </c>
      <c r="AG1089" s="265"/>
      <c r="AH1089" s="264">
        <f>97.2+23</f>
        <v>120.2</v>
      </c>
      <c r="AI1089" s="265"/>
      <c r="AJ1089" s="264">
        <f>73.3+23.3</f>
        <v>96.6</v>
      </c>
      <c r="AK1089" s="265"/>
    </row>
    <row r="1090" spans="1:37" x14ac:dyDescent="0.15">
      <c r="A1090" s="395">
        <v>24</v>
      </c>
      <c r="B1090" s="580"/>
      <c r="C1090" s="580"/>
      <c r="D1090" s="580"/>
      <c r="E1090" s="580"/>
      <c r="F1090" s="47" t="str">
        <f>VLOOKUP($H:$H,型材表!$B$5:$I$448,2,0)</f>
        <v>角码</v>
      </c>
      <c r="G1090" s="213" t="s">
        <v>446</v>
      </c>
      <c r="H1090" s="207" t="str">
        <f>IF(G1052=70,"SN55F003",IF(G1052=75,"SN55F003",IF(G1052=50,"SW50F002","SW55F001")))</f>
        <v>SW55F001</v>
      </c>
      <c r="I1090" s="207" t="s">
        <v>931</v>
      </c>
      <c r="J1090" s="214">
        <f>IF(G1052=55,V1090,IF(G1052=551,X1090,IF(G1052=60,Z1090,IF(G1052=601,AB1090,IF(G1052=65,AD1090,IF(G1052=70,AF1090,IF(G1052=75,AH1090,IF(G1052=50,AJ1090))))))))</f>
        <v>32.200000000000003</v>
      </c>
      <c r="K1090" s="207">
        <f>4*3</f>
        <v>12</v>
      </c>
      <c r="L1090" s="47">
        <f>VLOOKUP($H:$H,型材表!$B$5:$I$448,4,0)</f>
        <v>2.0950000000000002</v>
      </c>
      <c r="M1090" s="46">
        <f t="shared" si="201"/>
        <v>0.80950800000000012</v>
      </c>
      <c r="N1090" s="72">
        <f>VLOOKUP($H:$H,型材表!$B$5:$I$448,7,0)</f>
        <v>0</v>
      </c>
      <c r="O1090" s="46">
        <f t="shared" si="202"/>
        <v>0</v>
      </c>
      <c r="P1090" s="100">
        <f>VLOOKUP($H:$H,型材表!$B$5:$I$448,5,0)</f>
        <v>0.125</v>
      </c>
      <c r="Q1090" s="100" t="str">
        <f>VLOOKUP($H:$H,型材表!$B$5:$I$448,6,0)</f>
        <v>阳极氧化铝型材</v>
      </c>
      <c r="R1090" s="210"/>
      <c r="S1090" s="50"/>
      <c r="T1090" s="459"/>
      <c r="U1090" s="374" t="s">
        <v>931</v>
      </c>
      <c r="V1090" s="259">
        <f>19.5-1+14.7-1</f>
        <v>32.200000000000003</v>
      </c>
      <c r="X1090" s="264">
        <f>19.5-1+10.9-1</f>
        <v>28.4</v>
      </c>
      <c r="Y1090" s="265"/>
      <c r="Z1090" s="264">
        <f>19.5-1+14.7-1</f>
        <v>32.200000000000003</v>
      </c>
      <c r="AA1090" s="265"/>
      <c r="AB1090" s="264">
        <f>19.5-1+10.9-1</f>
        <v>28.4</v>
      </c>
      <c r="AC1090" s="265"/>
      <c r="AD1090" s="264">
        <f>19.5-1+14.7-1</f>
        <v>32.200000000000003</v>
      </c>
      <c r="AE1090" s="265"/>
      <c r="AF1090" s="264">
        <f>19.5-1+14.7-1</f>
        <v>32.200000000000003</v>
      </c>
      <c r="AG1090" s="265"/>
      <c r="AH1090" s="264">
        <f>19.5-1+14.7-1</f>
        <v>32.200000000000003</v>
      </c>
      <c r="AI1090" s="265"/>
      <c r="AJ1090" s="264">
        <f>15-1</f>
        <v>14</v>
      </c>
      <c r="AK1090" s="265"/>
    </row>
    <row r="1091" spans="1:37" s="229" customFormat="1" x14ac:dyDescent="0.15">
      <c r="A1091" s="395">
        <v>25</v>
      </c>
      <c r="B1091" s="580"/>
      <c r="C1091" s="580"/>
      <c r="D1091" s="580"/>
      <c r="E1091" s="580"/>
      <c r="F1091" s="47" t="str">
        <f>VLOOKUP($H:$H,型材表!$B$5:$I$448,2,0)</f>
        <v>角码</v>
      </c>
      <c r="G1091" s="230" t="s">
        <v>447</v>
      </c>
      <c r="H1091" s="222" t="str">
        <f>IF(G1052=70,"SW70F001",IF(G1052=75,"SW70F001",IF(G1052=50,"SW50F003","SN55MF004")))</f>
        <v>SN55MF004</v>
      </c>
      <c r="I1091" s="222" t="s">
        <v>933</v>
      </c>
      <c r="J1091" s="214">
        <f>IF(G1052=55,V1091,IF(G1052=551,X1091,IF(G1052=60,Z1091,IF(G1052=601,AB1091,IF(G1052=65,AD1091,IF(G1052=70,AF1091,IF(G1052=75,AH1091,IF(G1052=50,AJ1091))))))))</f>
        <v>30.2</v>
      </c>
      <c r="K1091" s="207">
        <f>4*2</f>
        <v>8</v>
      </c>
      <c r="L1091" s="47">
        <f>VLOOKUP($H:$H,型材表!$B$5:$I$448,4,0)</f>
        <v>2.996</v>
      </c>
      <c r="M1091" s="46">
        <f t="shared" si="201"/>
        <v>0.72383359999999997</v>
      </c>
      <c r="N1091" s="72">
        <f>VLOOKUP($H:$H,型材表!$B$5:$I$448,7,0)</f>
        <v>0</v>
      </c>
      <c r="O1091" s="46">
        <f t="shared" si="202"/>
        <v>0</v>
      </c>
      <c r="P1091" s="100">
        <f>VLOOKUP($H:$H,型材表!$B$5:$I$448,5,0)</f>
        <v>0.125</v>
      </c>
      <c r="Q1091" s="100" t="str">
        <f>VLOOKUP($H:$H,型材表!$B$5:$I$448,6,0)</f>
        <v>阳极氧化铝型材</v>
      </c>
      <c r="R1091" s="227"/>
      <c r="S1091" s="228"/>
      <c r="T1091" s="467"/>
      <c r="U1091" s="375" t="s">
        <v>933</v>
      </c>
      <c r="V1091" s="266">
        <f>8-1+24.2-1</f>
        <v>30.2</v>
      </c>
      <c r="W1091" s="266"/>
      <c r="X1091" s="267">
        <f>4.2-1+24.2-1</f>
        <v>26.4</v>
      </c>
      <c r="Y1091" s="268"/>
      <c r="Z1091" s="267">
        <f>8-1+24.2-1</f>
        <v>30.2</v>
      </c>
      <c r="AA1091" s="268"/>
      <c r="AB1091" s="267">
        <f>4.2-1+24.2-1</f>
        <v>26.4</v>
      </c>
      <c r="AC1091" s="268"/>
      <c r="AD1091" s="267">
        <f>8-1+24.2-1</f>
        <v>30.2</v>
      </c>
      <c r="AE1091" s="268"/>
      <c r="AF1091" s="267">
        <f>7.3-1+24-1</f>
        <v>29.3</v>
      </c>
      <c r="AG1091" s="268"/>
      <c r="AH1091" s="267">
        <f>7.3-1+24-1</f>
        <v>29.3</v>
      </c>
      <c r="AI1091" s="268"/>
      <c r="AJ1091" s="267">
        <f>18.9-1</f>
        <v>17.899999999999999</v>
      </c>
      <c r="AK1091" s="268"/>
    </row>
    <row r="1092" spans="1:37" x14ac:dyDescent="0.15">
      <c r="A1092" s="395">
        <v>26</v>
      </c>
      <c r="B1092" s="580"/>
      <c r="C1092" s="580"/>
      <c r="D1092" s="580"/>
      <c r="E1092" s="580"/>
      <c r="F1092" s="47" t="str">
        <f>VLOOKUP($H:$H,型材表!$B$5:$I$448,2,0)</f>
        <v>中梃角码</v>
      </c>
      <c r="G1092" s="51"/>
      <c r="H1092" s="45" t="str">
        <f>IF(G1052=50,"SW50F004","SN55F001")</f>
        <v>SN55F001</v>
      </c>
      <c r="I1092" s="207" t="s">
        <v>937</v>
      </c>
      <c r="J1092" s="52">
        <f>IF(G1052=55,V1092,IF(G1052=551,X1092,IF(G1052=60,Z1092,IF(G1052=601,AB1092,IF(G1052=65,AD1092,IF(G1052=70,AF1092,IF(G1052=75,AH1092,IF(G1052=50,AJ1092))))))))</f>
        <v>18.5</v>
      </c>
      <c r="K1092" s="45">
        <f>2*4</f>
        <v>8</v>
      </c>
      <c r="L1092" s="47">
        <f>VLOOKUP($H:$H,型材表!$B$5:$I$448,4,0)</f>
        <v>1.4730000000000001</v>
      </c>
      <c r="M1092" s="46">
        <f t="shared" si="201"/>
        <v>0.21800400000000003</v>
      </c>
      <c r="N1092" s="72">
        <f>VLOOKUP($H:$H,型材表!$B$5:$I$448,7,0)</f>
        <v>0</v>
      </c>
      <c r="O1092" s="46">
        <f t="shared" si="202"/>
        <v>0</v>
      </c>
      <c r="P1092" s="100">
        <f>VLOOKUP($H:$H,型材表!$B$5:$I$448,5,0)</f>
        <v>0.125</v>
      </c>
      <c r="Q1092" s="100" t="str">
        <f>VLOOKUP($H:$H,型材表!$B$5:$I$448,6,0)</f>
        <v>阳极氧化铝型材</v>
      </c>
      <c r="R1092" s="49"/>
      <c r="S1092" s="50"/>
      <c r="T1092" s="459"/>
      <c r="U1092" s="374" t="s">
        <v>937</v>
      </c>
      <c r="V1092" s="259">
        <f>19.5-1</f>
        <v>18.5</v>
      </c>
      <c r="X1092" s="264">
        <f>19.5-1</f>
        <v>18.5</v>
      </c>
      <c r="Y1092" s="265"/>
      <c r="Z1092" s="286">
        <f>19.5-1</f>
        <v>18.5</v>
      </c>
      <c r="AA1092" s="265"/>
      <c r="AB1092" s="264">
        <f>19.5-1</f>
        <v>18.5</v>
      </c>
      <c r="AC1092" s="265"/>
      <c r="AD1092" s="286">
        <f>19.5-1</f>
        <v>18.5</v>
      </c>
      <c r="AE1092" s="265"/>
      <c r="AF1092" s="286">
        <f>19.5-1</f>
        <v>18.5</v>
      </c>
      <c r="AG1092" s="265"/>
      <c r="AH1092" s="286">
        <f>19.5-1</f>
        <v>18.5</v>
      </c>
      <c r="AI1092" s="265"/>
      <c r="AJ1092" s="264">
        <f>13.2-1</f>
        <v>12.2</v>
      </c>
      <c r="AK1092" s="265"/>
    </row>
    <row r="1093" spans="1:37" x14ac:dyDescent="0.15">
      <c r="A1093" s="395">
        <v>27</v>
      </c>
      <c r="B1093" s="580"/>
      <c r="C1093" s="580"/>
      <c r="D1093" s="580"/>
      <c r="E1093" s="580"/>
      <c r="F1093" s="47" t="str">
        <f>VLOOKUP($H:$H,型材表!$B$5:$I$448,2,0)</f>
        <v>中梃角码</v>
      </c>
      <c r="G1093" s="213"/>
      <c r="H1093" s="207" t="str">
        <f>IF(G1052=501,"SN55BF001",IF(G1052=601,"SN55BF001",IF(G1052=70,"SN70F001",IF(G1052=75,"SN70F001","SN55F002"))))</f>
        <v>SN55F002</v>
      </c>
      <c r="I1093" s="207" t="s">
        <v>1196</v>
      </c>
      <c r="J1093" s="214">
        <f>IF(G1052=55,V1093,IF(G1052=551,X1093,IF(G1052=60,Z1093,IF(G1052=601,AB1093,IF(G1052=65,AD1093,IF(G1052=70,AF1093,IF(G1052=75,AH1093,IF(G1052=50,AJ1093))))))))</f>
        <v>13.5</v>
      </c>
      <c r="K1093" s="207">
        <f>K1092</f>
        <v>8</v>
      </c>
      <c r="L1093" s="47">
        <f>VLOOKUP($H:$H,型材表!$B$5:$I$448,4,0)</f>
        <v>0.90400000000000003</v>
      </c>
      <c r="M1093" s="46">
        <f t="shared" si="201"/>
        <v>9.763200000000001E-2</v>
      </c>
      <c r="N1093" s="72">
        <f>VLOOKUP($H:$H,型材表!$B$5:$I$448,7,0)</f>
        <v>0</v>
      </c>
      <c r="O1093" s="46">
        <f t="shared" si="202"/>
        <v>0</v>
      </c>
      <c r="P1093" s="100">
        <f>VLOOKUP($H:$H,型材表!$B$5:$I$448,5,0)</f>
        <v>0.125</v>
      </c>
      <c r="Q1093" s="100" t="str">
        <f>VLOOKUP($H:$H,型材表!$B$5:$I$448,6,0)</f>
        <v>阳极氧化铝型材</v>
      </c>
      <c r="R1093" s="210"/>
      <c r="S1093" s="50"/>
      <c r="T1093" s="459"/>
      <c r="U1093" s="374" t="s">
        <v>1196</v>
      </c>
      <c r="V1093" s="259">
        <f>14.5-1</f>
        <v>13.5</v>
      </c>
      <c r="X1093" s="264">
        <f>10.7-1</f>
        <v>9.6999999999999993</v>
      </c>
      <c r="Y1093" s="265"/>
      <c r="Z1093" s="286">
        <f>14.5-1</f>
        <v>13.5</v>
      </c>
      <c r="AA1093" s="265"/>
      <c r="AB1093" s="264">
        <f>10.7-1</f>
        <v>9.6999999999999993</v>
      </c>
      <c r="AC1093" s="265"/>
      <c r="AD1093" s="286">
        <f>14.5-1</f>
        <v>13.5</v>
      </c>
      <c r="AE1093" s="265"/>
      <c r="AF1093" s="286">
        <f>14.5-1</f>
        <v>13.5</v>
      </c>
      <c r="AG1093" s="265"/>
      <c r="AH1093" s="286">
        <f>14.5-1</f>
        <v>13.5</v>
      </c>
      <c r="AI1093" s="265"/>
      <c r="AJ1093" s="264"/>
      <c r="AK1093" s="265"/>
    </row>
    <row r="1094" spans="1:37" s="229" customFormat="1" ht="13.5" customHeight="1" x14ac:dyDescent="0.15">
      <c r="A1094" s="542" t="s">
        <v>110</v>
      </c>
      <c r="B1094" s="543"/>
      <c r="C1094" s="543"/>
      <c r="D1094" s="543"/>
      <c r="E1094" s="543"/>
      <c r="F1094" s="543"/>
      <c r="G1094" s="543"/>
      <c r="H1094" s="543"/>
      <c r="I1094" s="543"/>
      <c r="J1094" s="543"/>
      <c r="K1094" s="543"/>
      <c r="L1094" s="544"/>
      <c r="M1094" s="224">
        <f>SUMIF($Q$917:$Q$943,A1094,$M$917:$M$943)</f>
        <v>32.526087799999992</v>
      </c>
      <c r="N1094" s="353"/>
      <c r="O1094" s="224"/>
      <c r="P1094" s="354"/>
      <c r="Q1094" s="355"/>
      <c r="R1094" s="296"/>
      <c r="S1094" s="228"/>
      <c r="T1094" s="467"/>
      <c r="U1094" s="375"/>
      <c r="V1094" s="266"/>
      <c r="W1094" s="266"/>
      <c r="X1094" s="267"/>
      <c r="Y1094" s="268"/>
      <c r="Z1094" s="267"/>
      <c r="AA1094" s="268"/>
      <c r="AB1094" s="267"/>
      <c r="AC1094" s="268"/>
      <c r="AD1094" s="267"/>
      <c r="AE1094" s="268"/>
      <c r="AF1094" s="267"/>
      <c r="AG1094" s="268"/>
      <c r="AH1094" s="267"/>
      <c r="AI1094" s="268"/>
      <c r="AJ1094" s="267"/>
      <c r="AK1094" s="268"/>
    </row>
    <row r="1095" spans="1:37" s="229" customFormat="1" ht="13.5" customHeight="1" x14ac:dyDescent="0.15">
      <c r="A1095" s="542" t="s">
        <v>111</v>
      </c>
      <c r="B1095" s="543"/>
      <c r="C1095" s="543"/>
      <c r="D1095" s="543"/>
      <c r="E1095" s="543"/>
      <c r="F1095" s="543"/>
      <c r="G1095" s="543"/>
      <c r="H1095" s="543"/>
      <c r="I1095" s="543"/>
      <c r="J1095" s="543"/>
      <c r="K1095" s="543"/>
      <c r="L1095" s="544"/>
      <c r="M1095" s="224">
        <f>SUMIF($Q$917:$Q$943,A1095,$M$917:$M$943)</f>
        <v>4.1164183999999997</v>
      </c>
      <c r="N1095" s="353"/>
      <c r="O1095" s="224"/>
      <c r="P1095" s="354"/>
      <c r="Q1095" s="355"/>
      <c r="R1095" s="296"/>
      <c r="S1095" s="228"/>
      <c r="T1095" s="467"/>
      <c r="U1095" s="375"/>
      <c r="V1095" s="266"/>
      <c r="W1095" s="266"/>
      <c r="X1095" s="267"/>
      <c r="Y1095" s="268"/>
      <c r="Z1095" s="267"/>
      <c r="AA1095" s="268"/>
      <c r="AB1095" s="267"/>
      <c r="AC1095" s="268"/>
      <c r="AD1095" s="267"/>
      <c r="AE1095" s="268"/>
      <c r="AF1095" s="267"/>
      <c r="AG1095" s="268"/>
      <c r="AH1095" s="267"/>
      <c r="AI1095" s="268"/>
      <c r="AJ1095" s="267"/>
      <c r="AK1095" s="268"/>
    </row>
    <row r="1096" spans="1:37" s="229" customFormat="1" ht="13.5" customHeight="1" x14ac:dyDescent="0.15">
      <c r="A1096" s="542" t="s">
        <v>112</v>
      </c>
      <c r="B1096" s="543"/>
      <c r="C1096" s="543"/>
      <c r="D1096" s="543"/>
      <c r="E1096" s="543"/>
      <c r="F1096" s="543"/>
      <c r="G1096" s="543"/>
      <c r="H1096" s="543"/>
      <c r="I1096" s="543"/>
      <c r="J1096" s="543"/>
      <c r="K1096" s="543"/>
      <c r="L1096" s="544"/>
      <c r="M1096" s="224">
        <f>SUMIF($Q$917:$Q$943,A1096,$M$917:$M$943)</f>
        <v>1.2172248000000001</v>
      </c>
      <c r="N1096" s="353"/>
      <c r="O1096" s="224"/>
      <c r="P1096" s="354"/>
      <c r="Q1096" s="355"/>
      <c r="R1096" s="296"/>
      <c r="S1096" s="228"/>
      <c r="T1096" s="467"/>
      <c r="U1096" s="375"/>
      <c r="V1096" s="266"/>
      <c r="W1096" s="266"/>
      <c r="X1096" s="267"/>
      <c r="Y1096" s="268"/>
      <c r="Z1096" s="267"/>
      <c r="AA1096" s="268"/>
      <c r="AB1096" s="267"/>
      <c r="AC1096" s="268"/>
      <c r="AD1096" s="267"/>
      <c r="AE1096" s="268"/>
      <c r="AF1096" s="267"/>
      <c r="AG1096" s="268"/>
      <c r="AH1096" s="267"/>
      <c r="AI1096" s="268"/>
      <c r="AJ1096" s="267"/>
      <c r="AK1096" s="268"/>
    </row>
    <row r="1097" spans="1:37" ht="13.5" customHeight="1" x14ac:dyDescent="0.15">
      <c r="A1097" s="552"/>
      <c r="B1097" s="557"/>
      <c r="C1097" s="557"/>
      <c r="D1097" s="553"/>
      <c r="E1097" s="552" t="s">
        <v>48</v>
      </c>
      <c r="F1097" s="557"/>
      <c r="G1097" s="557"/>
      <c r="H1097" s="557"/>
      <c r="I1097" s="557"/>
      <c r="J1097" s="557"/>
      <c r="K1097" s="553"/>
      <c r="L1097" s="62"/>
      <c r="M1097" s="62">
        <f>SUM(M1094:M1096)</f>
        <v>37.859730999999989</v>
      </c>
      <c r="N1097" s="63"/>
      <c r="O1097" s="62">
        <f>SUM(O1067:O1093)</f>
        <v>0</v>
      </c>
      <c r="P1097" s="63"/>
      <c r="Q1097" s="337"/>
      <c r="R1097" s="64"/>
      <c r="S1097" s="64"/>
      <c r="T1097" s="460"/>
      <c r="X1097" s="264"/>
      <c r="Y1097" s="265"/>
      <c r="Z1097" s="264"/>
      <c r="AA1097" s="265"/>
      <c r="AB1097" s="264"/>
      <c r="AC1097" s="265"/>
      <c r="AD1097" s="264"/>
      <c r="AE1097" s="265"/>
      <c r="AF1097" s="264"/>
      <c r="AG1097" s="265"/>
      <c r="AH1097" s="264"/>
      <c r="AI1097" s="265"/>
      <c r="AJ1097" s="264"/>
      <c r="AK1097" s="265"/>
    </row>
    <row r="1098" spans="1:37" ht="24" x14ac:dyDescent="0.15">
      <c r="A1098" s="65"/>
      <c r="B1098" s="560" t="s">
        <v>49</v>
      </c>
      <c r="C1098" s="561"/>
      <c r="D1098" s="561"/>
      <c r="E1098" s="562"/>
      <c r="F1098" s="565" t="s">
        <v>26</v>
      </c>
      <c r="G1098" s="566"/>
      <c r="H1098" s="66" t="s">
        <v>1167</v>
      </c>
      <c r="I1098" s="351" t="s">
        <v>1168</v>
      </c>
      <c r="J1098" s="66" t="s">
        <v>50</v>
      </c>
      <c r="K1098" s="66" t="s">
        <v>51</v>
      </c>
      <c r="L1098" s="67" t="s">
        <v>30</v>
      </c>
      <c r="M1098" s="66" t="s">
        <v>52</v>
      </c>
      <c r="N1098" s="68" t="s">
        <v>53</v>
      </c>
      <c r="O1098" s="68" t="s">
        <v>34</v>
      </c>
      <c r="P1098" s="69" t="s">
        <v>35</v>
      </c>
      <c r="Q1098" s="42"/>
      <c r="R1098" s="67"/>
      <c r="S1098" s="67"/>
      <c r="T1098" s="461"/>
      <c r="V1098" s="270" t="s">
        <v>352</v>
      </c>
      <c r="W1098" s="270" t="s">
        <v>353</v>
      </c>
      <c r="X1098" s="271" t="s">
        <v>352</v>
      </c>
      <c r="Y1098" s="272" t="s">
        <v>353</v>
      </c>
      <c r="Z1098" s="271" t="s">
        <v>352</v>
      </c>
      <c r="AA1098" s="272" t="s">
        <v>353</v>
      </c>
      <c r="AB1098" s="271" t="s">
        <v>352</v>
      </c>
      <c r="AC1098" s="272" t="s">
        <v>353</v>
      </c>
      <c r="AD1098" s="271" t="s">
        <v>352</v>
      </c>
      <c r="AE1098" s="272" t="s">
        <v>353</v>
      </c>
      <c r="AF1098" s="271" t="s">
        <v>352</v>
      </c>
      <c r="AG1098" s="272" t="s">
        <v>353</v>
      </c>
      <c r="AH1098" s="271" t="s">
        <v>352</v>
      </c>
      <c r="AI1098" s="272" t="s">
        <v>353</v>
      </c>
      <c r="AJ1098" s="271" t="s">
        <v>352</v>
      </c>
      <c r="AK1098" s="272" t="s">
        <v>353</v>
      </c>
    </row>
    <row r="1099" spans="1:37" x14ac:dyDescent="0.15">
      <c r="A1099" s="395">
        <v>1</v>
      </c>
      <c r="B1099" s="542"/>
      <c r="C1099" s="543"/>
      <c r="D1099" s="543"/>
      <c r="E1099" s="544"/>
      <c r="F1099" s="545"/>
      <c r="G1099" s="547"/>
      <c r="H1099" s="45"/>
      <c r="I1099" s="207"/>
      <c r="J1099" s="46"/>
      <c r="K1099" s="70"/>
      <c r="L1099" s="70"/>
      <c r="M1099" s="46"/>
      <c r="N1099" s="46"/>
      <c r="O1099" s="46"/>
      <c r="P1099" s="71"/>
      <c r="Q1099" s="71"/>
      <c r="R1099" s="72"/>
      <c r="S1099" s="72"/>
      <c r="T1099" s="462" t="s">
        <v>1621</v>
      </c>
      <c r="U1099" s="374" t="s">
        <v>1627</v>
      </c>
      <c r="V1099" s="259">
        <f t="shared" ref="V1099:AE1099" si="204">109.9+94.9</f>
        <v>204.8</v>
      </c>
      <c r="W1099" s="259">
        <f t="shared" si="204"/>
        <v>204.8</v>
      </c>
      <c r="X1099" s="286">
        <f t="shared" si="204"/>
        <v>204.8</v>
      </c>
      <c r="Y1099" s="304">
        <f t="shared" si="204"/>
        <v>204.8</v>
      </c>
      <c r="Z1099" s="286">
        <f t="shared" si="204"/>
        <v>204.8</v>
      </c>
      <c r="AA1099" s="304">
        <f t="shared" si="204"/>
        <v>204.8</v>
      </c>
      <c r="AB1099" s="286">
        <f t="shared" si="204"/>
        <v>204.8</v>
      </c>
      <c r="AC1099" s="304">
        <f t="shared" si="204"/>
        <v>204.8</v>
      </c>
      <c r="AD1099" s="286">
        <f t="shared" si="204"/>
        <v>204.8</v>
      </c>
      <c r="AE1099" s="304">
        <f t="shared" si="204"/>
        <v>204.8</v>
      </c>
      <c r="AF1099" s="286">
        <f>117.4+102.4</f>
        <v>219.8</v>
      </c>
      <c r="AG1099" s="304">
        <f>117.4+102.4</f>
        <v>219.8</v>
      </c>
      <c r="AH1099" s="286">
        <f>117.4+102.4</f>
        <v>219.8</v>
      </c>
      <c r="AI1099" s="304">
        <f>117.4+102.4</f>
        <v>219.8</v>
      </c>
      <c r="AJ1099" s="259">
        <f>98.4+83.1</f>
        <v>181.5</v>
      </c>
      <c r="AK1099" s="318">
        <f>98.4+83.1</f>
        <v>181.5</v>
      </c>
    </row>
    <row r="1100" spans="1:37" x14ac:dyDescent="0.15">
      <c r="A1100" s="395">
        <v>2</v>
      </c>
      <c r="B1100" s="542" t="s">
        <v>133</v>
      </c>
      <c r="C1100" s="543"/>
      <c r="D1100" s="543"/>
      <c r="E1100" s="544"/>
      <c r="F1100" s="545" t="s">
        <v>55</v>
      </c>
      <c r="G1100" s="547"/>
      <c r="H1100" s="45" t="s">
        <v>1664</v>
      </c>
      <c r="I1100" s="207" t="s">
        <v>1261</v>
      </c>
      <c r="J1100" s="46">
        <f>IF(G1052=55,M1059-V1099-V1068/2,IF(G1052=551,M1059-X1099-X1068/2,IF(G1052=60,M1059-Z1099-Z1068/2,IF(G1052=601,M1059-AB1099-AB1068/2,IF(G1052=65,M1059-AD1099-AD1068/2,IF(G1052=70,M1059-AF1099-AF1068/2,IF(G1052=75,M1059-AH1099-AH1068/2,IF(G1052=50,M1059-AJ1099-AJ1068/2))))))))</f>
        <v>440.2</v>
      </c>
      <c r="K1100" s="70">
        <f>IF(G1052=55,M1056-W1099,IF(G1052=551,M1056-Y1099,IF(G1052=60,M1056-AA1099,IF(G1052=601,M1056-AC1099,IF(G1052=65,M1056-AE1099,IF(G1052=70,M1056-AG1099,IF(G1052=75,M1056-AI1099,IF(G1052=50,M1056-AK1099))))))))</f>
        <v>995.2</v>
      </c>
      <c r="L1100" s="70">
        <v>2</v>
      </c>
      <c r="M1100" s="46">
        <f t="shared" ref="M1100:M1103" si="205">J1100*K1100*L1100/1000000</f>
        <v>0.87617408000000008</v>
      </c>
      <c r="N1100" s="46"/>
      <c r="O1100" s="46">
        <f t="shared" ref="O1100:O1103" si="206">N1100*M1100</f>
        <v>0</v>
      </c>
      <c r="P1100" s="71"/>
      <c r="Q1100" s="71"/>
      <c r="R1100" s="72"/>
      <c r="S1100" s="209"/>
      <c r="T1100" s="462"/>
      <c r="X1100" s="286"/>
      <c r="Y1100" s="304"/>
      <c r="Z1100" s="286"/>
      <c r="AA1100" s="304"/>
      <c r="AB1100" s="286"/>
      <c r="AC1100" s="304"/>
      <c r="AD1100" s="286"/>
      <c r="AE1100" s="304"/>
      <c r="AF1100" s="286"/>
      <c r="AG1100" s="304"/>
      <c r="AH1100" s="286"/>
      <c r="AI1100" s="304"/>
      <c r="AJ1100" s="259"/>
      <c r="AK1100" s="318"/>
    </row>
    <row r="1101" spans="1:37" ht="13.5" customHeight="1" x14ac:dyDescent="0.15">
      <c r="A1101" s="395">
        <v>3</v>
      </c>
      <c r="B1101" s="542"/>
      <c r="C1101" s="543"/>
      <c r="D1101" s="543"/>
      <c r="E1101" s="544"/>
      <c r="F1101" s="545"/>
      <c r="G1101" s="547"/>
      <c r="H1101" s="45"/>
      <c r="I1101" s="207"/>
      <c r="J1101" s="46"/>
      <c r="K1101" s="70"/>
      <c r="L1101" s="70"/>
      <c r="M1101" s="46"/>
      <c r="N1101" s="46"/>
      <c r="O1101" s="46"/>
      <c r="P1101" s="71"/>
      <c r="Q1101" s="71"/>
      <c r="R1101" s="72"/>
      <c r="S1101" s="209"/>
      <c r="T1101" s="462" t="s">
        <v>1622</v>
      </c>
      <c r="U1101" s="374" t="s">
        <v>1628</v>
      </c>
      <c r="V1101" s="259">
        <f t="shared" ref="V1101:AE1101" si="207">18+35</f>
        <v>53</v>
      </c>
      <c r="W1101" s="259">
        <f t="shared" si="207"/>
        <v>53</v>
      </c>
      <c r="X1101" s="286">
        <f t="shared" si="207"/>
        <v>53</v>
      </c>
      <c r="Y1101" s="304">
        <f t="shared" si="207"/>
        <v>53</v>
      </c>
      <c r="Z1101" s="286">
        <f t="shared" si="207"/>
        <v>53</v>
      </c>
      <c r="AA1101" s="304">
        <f t="shared" si="207"/>
        <v>53</v>
      </c>
      <c r="AB1101" s="286">
        <f t="shared" si="207"/>
        <v>53</v>
      </c>
      <c r="AC1101" s="304">
        <f t="shared" si="207"/>
        <v>53</v>
      </c>
      <c r="AD1101" s="286">
        <f t="shared" si="207"/>
        <v>53</v>
      </c>
      <c r="AE1101" s="304">
        <f t="shared" si="207"/>
        <v>53</v>
      </c>
      <c r="AF1101" s="286">
        <f>20+35</f>
        <v>55</v>
      </c>
      <c r="AG1101" s="304">
        <f>20+35</f>
        <v>55</v>
      </c>
      <c r="AH1101" s="286">
        <f>20+35</f>
        <v>55</v>
      </c>
      <c r="AI1101" s="304">
        <f>20+35</f>
        <v>55</v>
      </c>
      <c r="AJ1101" s="264">
        <f>16+31.3</f>
        <v>47.3</v>
      </c>
      <c r="AK1101" s="318">
        <f>16+31.3</f>
        <v>47.3</v>
      </c>
    </row>
    <row r="1102" spans="1:37" x14ac:dyDescent="0.15">
      <c r="A1102" s="395">
        <v>4</v>
      </c>
      <c r="B1102" s="542" t="s">
        <v>824</v>
      </c>
      <c r="C1102" s="543"/>
      <c r="D1102" s="543"/>
      <c r="E1102" s="544"/>
      <c r="F1102" s="545" t="s">
        <v>135</v>
      </c>
      <c r="G1102" s="547"/>
      <c r="H1102" s="45" t="s">
        <v>1665</v>
      </c>
      <c r="I1102" s="207" t="s">
        <v>1264</v>
      </c>
      <c r="J1102" s="46">
        <f>IF(G1052=55,M1059-V1101-V1068/2,IF(G1052=551,M1059-X1101-X1068/2,IF(G1052=60,M1059-Z1101-Z1068/2,IF(G1052=601,M1059-AB1101-AB1068/2,IF(G1052=65,M1059-AD1101-AD1068/2,IF(G1052=70,M1059-AF1101-AF1068/2,IF(G1052=75,M1059-AH1101-AH1068/2,IF(G1052=50,M1059-AJ1101-AJ1068/2))))))))</f>
        <v>592</v>
      </c>
      <c r="K1102" s="70">
        <f>IF(G1052=55,M1057-W1101,IF(G1052=551,M1057-Y1101,IF(G1052=60,M1057-AA1101,IF(G1052=601,M1057-AC1101,IF(G1052=65,M1057-AE1101,IF(G1052=70,M1057-AG1101,IF(G1052=75,M1057-AI1101,IF(G1052=50,M1057-AK1101))))))))</f>
        <v>447</v>
      </c>
      <c r="L1102" s="70">
        <v>2</v>
      </c>
      <c r="M1102" s="46">
        <f t="shared" si="205"/>
        <v>0.52924800000000005</v>
      </c>
      <c r="N1102" s="46"/>
      <c r="O1102" s="46">
        <f t="shared" si="206"/>
        <v>0</v>
      </c>
      <c r="P1102" s="71"/>
      <c r="Q1102" s="71"/>
      <c r="R1102" s="72"/>
      <c r="S1102" s="209"/>
      <c r="T1102" s="462"/>
      <c r="X1102" s="286"/>
      <c r="Y1102" s="304"/>
      <c r="Z1102" s="286"/>
      <c r="AA1102" s="304"/>
      <c r="AB1102" s="286"/>
      <c r="AC1102" s="304"/>
      <c r="AD1102" s="286"/>
      <c r="AE1102" s="304"/>
      <c r="AF1102" s="286"/>
      <c r="AG1102" s="288"/>
      <c r="AH1102" s="286"/>
      <c r="AI1102" s="288"/>
      <c r="AJ1102" s="264"/>
      <c r="AK1102" s="265"/>
    </row>
    <row r="1103" spans="1:37" x14ac:dyDescent="0.15">
      <c r="A1103" s="395">
        <v>5</v>
      </c>
      <c r="B1103" s="542" t="s">
        <v>133</v>
      </c>
      <c r="C1103" s="543"/>
      <c r="D1103" s="543"/>
      <c r="E1103" s="544"/>
      <c r="F1103" s="545" t="s">
        <v>145</v>
      </c>
      <c r="G1103" s="547"/>
      <c r="H1103" s="45" t="s">
        <v>1291</v>
      </c>
      <c r="I1103" s="207" t="s">
        <v>1265</v>
      </c>
      <c r="J1103" s="45">
        <f>IF(G1052=55,M1060-V1103,IF(G1052=551,M1060-X1103,IF(G1052=60,M1060-Z1103,IF(G1052=601,M1060-AB1103,IF(G1052=65,M1060-AD1103,IF(G1052=70,M1060-AF1103,IF(G1052=75,M1060-AH1103,IF(G1052=50,M1060-AJ1103))))))))</f>
        <v>664</v>
      </c>
      <c r="K1103" s="45">
        <f>IF(G1052=55,M1054-W1103,IF(G1052=551,M1054-Y1103,IF(G1052=60,M1054-AA1103,IF(G1052=601,M1054-AC1103,IF(G1052=65,M1054-AE1103,IF(G1052=70,M1054-AG1103,IF(G1052=75,M1054-AI1103,IF(G1052=50,M1054-AK1103))))))))</f>
        <v>1630</v>
      </c>
      <c r="L1103" s="70">
        <v>1</v>
      </c>
      <c r="M1103" s="46">
        <f t="shared" si="205"/>
        <v>1.0823199999999999</v>
      </c>
      <c r="N1103" s="46"/>
      <c r="O1103" s="46">
        <f t="shared" si="206"/>
        <v>0</v>
      </c>
      <c r="P1103" s="71"/>
      <c r="Q1103" s="71"/>
      <c r="R1103" s="72"/>
      <c r="S1103" s="72"/>
      <c r="T1103" s="462" t="s">
        <v>1626</v>
      </c>
      <c r="U1103" s="374" t="s">
        <v>1623</v>
      </c>
      <c r="V1103" s="259">
        <f>18*2</f>
        <v>36</v>
      </c>
      <c r="W1103" s="259">
        <f>35*2</f>
        <v>70</v>
      </c>
      <c r="X1103" s="286">
        <f>18*2</f>
        <v>36</v>
      </c>
      <c r="Y1103" s="304">
        <f>35*2</f>
        <v>70</v>
      </c>
      <c r="Z1103" s="286">
        <f>18*2</f>
        <v>36</v>
      </c>
      <c r="AA1103" s="304">
        <f>35*2</f>
        <v>70</v>
      </c>
      <c r="AB1103" s="286">
        <f>18*2</f>
        <v>36</v>
      </c>
      <c r="AC1103" s="304">
        <f>35*2</f>
        <v>70</v>
      </c>
      <c r="AD1103" s="286">
        <f>18*2</f>
        <v>36</v>
      </c>
      <c r="AE1103" s="304">
        <f>35*2</f>
        <v>70</v>
      </c>
      <c r="AF1103" s="286">
        <f>20*2</f>
        <v>40</v>
      </c>
      <c r="AG1103" s="265">
        <f>35*2</f>
        <v>70</v>
      </c>
      <c r="AH1103" s="286">
        <f>20*2</f>
        <v>40</v>
      </c>
      <c r="AI1103" s="265">
        <f>35*2</f>
        <v>70</v>
      </c>
      <c r="AJ1103" s="264">
        <f>16*2</f>
        <v>32</v>
      </c>
      <c r="AK1103" s="265">
        <f>31.3*2</f>
        <v>62.6</v>
      </c>
    </row>
    <row r="1104" spans="1:37" x14ac:dyDescent="0.15">
      <c r="A1104" s="395">
        <v>6</v>
      </c>
      <c r="B1104" s="542" t="s">
        <v>134</v>
      </c>
      <c r="C1104" s="543"/>
      <c r="D1104" s="543"/>
      <c r="E1104" s="544"/>
      <c r="F1104" s="545" t="s">
        <v>147</v>
      </c>
      <c r="G1104" s="547"/>
      <c r="H1104" s="45" t="s">
        <v>1645</v>
      </c>
      <c r="I1104" s="207" t="s">
        <v>1265</v>
      </c>
      <c r="J1104" s="46">
        <f>IF(G1052=55,M1061-V1104,IF(G1052=551,M1061-X1104,IF(G1052=60,M1061-Z1104,IF(G1052=601,M1061-AB1104,IF(G1052=65,M1061-AD1104,IF(G1052=70,M1061-AF1104,IF(G1052=75,M1061-AH1104,IF(G1052=50,M1061-AJ1104))))))))</f>
        <v>375</v>
      </c>
      <c r="K1104" s="395">
        <f>IF(G1052=55,M1054-W1104,IF(G1052=551,M1054-Y1104,IF(G1052=60,M1054-AA1104,IF(G1052=601,M1054-AC1104,IF(G1052=65,M1054-AE1104,IF(G1052=70,M1054-AG1104,IF(G1052=75,M1054-AI1104,IF(G1052=50,M1054-AK1104))))))))</f>
        <v>1630</v>
      </c>
      <c r="L1104" s="239">
        <v>2</v>
      </c>
      <c r="M1104" s="46">
        <f>J1104*K1104*L1104/1000000</f>
        <v>1.2224999999999999</v>
      </c>
      <c r="N1104" s="46"/>
      <c r="O1104" s="46">
        <f>N1104*M1104</f>
        <v>0</v>
      </c>
      <c r="P1104" s="48"/>
      <c r="Q1104" s="48"/>
      <c r="R1104" s="73"/>
      <c r="S1104" s="73"/>
      <c r="T1104" s="463" t="s">
        <v>1644</v>
      </c>
      <c r="U1104" s="374" t="s">
        <v>1623</v>
      </c>
      <c r="V1104" s="259">
        <f>90+35</f>
        <v>125</v>
      </c>
      <c r="W1104" s="259">
        <f>35*2</f>
        <v>70</v>
      </c>
      <c r="X1104" s="286">
        <f>90+35</f>
        <v>125</v>
      </c>
      <c r="Y1104" s="304">
        <f>35*2</f>
        <v>70</v>
      </c>
      <c r="Z1104" s="286">
        <f>95.2+35</f>
        <v>130.19999999999999</v>
      </c>
      <c r="AA1104" s="304">
        <f>35*2</f>
        <v>70</v>
      </c>
      <c r="AB1104" s="286">
        <f>95.4+35</f>
        <v>130.4</v>
      </c>
      <c r="AC1104" s="304">
        <f>35*2</f>
        <v>70</v>
      </c>
      <c r="AD1104" s="286">
        <f>97.2+35</f>
        <v>132.19999999999999</v>
      </c>
      <c r="AE1104" s="304">
        <f>35*2</f>
        <v>70</v>
      </c>
      <c r="AF1104" s="286">
        <f>105.2+35</f>
        <v>140.19999999999999</v>
      </c>
      <c r="AG1104" s="265">
        <f>35*2</f>
        <v>70</v>
      </c>
      <c r="AH1104" s="286">
        <f>109.2+35</f>
        <v>144.19999999999999</v>
      </c>
      <c r="AI1104" s="265">
        <f>35*2</f>
        <v>70</v>
      </c>
      <c r="AJ1104" s="264">
        <f>81.3+31.3</f>
        <v>112.6</v>
      </c>
      <c r="AK1104" s="265">
        <f>31.3*2</f>
        <v>62.6</v>
      </c>
    </row>
    <row r="1105" spans="1:23" x14ac:dyDescent="0.15">
      <c r="A1105" s="74"/>
      <c r="B1105" s="552"/>
      <c r="C1105" s="557"/>
      <c r="D1105" s="557"/>
      <c r="E1105" s="553"/>
      <c r="F1105" s="554" t="s">
        <v>56</v>
      </c>
      <c r="G1105" s="554"/>
      <c r="H1105" s="554"/>
      <c r="I1105" s="579"/>
      <c r="J1105" s="570"/>
      <c r="K1105" s="570"/>
      <c r="L1105" s="554"/>
      <c r="M1105" s="62">
        <f>SUM(M1099:M1104)</f>
        <v>3.7102420800000004</v>
      </c>
      <c r="N1105" s="391"/>
      <c r="O1105" s="62">
        <f>SUM(O1099:O1104)</f>
        <v>0</v>
      </c>
      <c r="P1105" s="63" t="s">
        <v>57</v>
      </c>
      <c r="Q1105" s="337"/>
      <c r="R1105" s="64"/>
      <c r="S1105" s="64"/>
      <c r="T1105" s="460"/>
    </row>
    <row r="1106" spans="1:23" ht="24" x14ac:dyDescent="0.15">
      <c r="A1106" s="65"/>
      <c r="B1106" s="560" t="s">
        <v>58</v>
      </c>
      <c r="C1106" s="561"/>
      <c r="D1106" s="561"/>
      <c r="E1106" s="562"/>
      <c r="F1106" s="565" t="s">
        <v>26</v>
      </c>
      <c r="G1106" s="566"/>
      <c r="H1106" s="66" t="s">
        <v>59</v>
      </c>
      <c r="I1106" s="351"/>
      <c r="J1106" s="66" t="s">
        <v>60</v>
      </c>
      <c r="K1106" s="66" t="s">
        <v>6</v>
      </c>
      <c r="L1106" s="67" t="s">
        <v>61</v>
      </c>
      <c r="M1106" s="66" t="s">
        <v>30</v>
      </c>
      <c r="N1106" s="68" t="s">
        <v>62</v>
      </c>
      <c r="O1106" s="68" t="s">
        <v>34</v>
      </c>
      <c r="P1106" s="69" t="s">
        <v>57</v>
      </c>
      <c r="Q1106" s="42"/>
      <c r="R1106" s="67"/>
      <c r="S1106" s="67"/>
      <c r="T1106" s="461"/>
    </row>
    <row r="1107" spans="1:23" ht="25.5" customHeight="1" x14ac:dyDescent="0.15">
      <c r="A1107" s="395">
        <v>1</v>
      </c>
      <c r="B1107" s="542"/>
      <c r="C1107" s="543"/>
      <c r="D1107" s="543"/>
      <c r="E1107" s="544"/>
      <c r="F1107" s="545" t="s">
        <v>872</v>
      </c>
      <c r="G1107" s="547"/>
      <c r="H1107" s="45"/>
      <c r="I1107" s="207"/>
      <c r="J1107" s="45"/>
      <c r="K1107" s="46" t="str">
        <f>VLOOKUP($F:$F,材料单价表!$B$3:$G$42,4,0)</f>
        <v>套</v>
      </c>
      <c r="L1107" s="72"/>
      <c r="M1107" s="46">
        <v>2</v>
      </c>
      <c r="N1107" s="46">
        <f>VLOOKUP($F:$F,材料单价表!$B$3:$G$42,5,0)</f>
        <v>0</v>
      </c>
      <c r="O1107" s="46">
        <f t="shared" ref="O1107" si="208">N1107*M1107</f>
        <v>0</v>
      </c>
      <c r="P1107" s="48"/>
      <c r="Q1107" s="48"/>
      <c r="R1107" s="73"/>
      <c r="S1107" s="73"/>
      <c r="T1107" s="463"/>
    </row>
    <row r="1108" spans="1:23" x14ac:dyDescent="0.15">
      <c r="A1108" s="74"/>
      <c r="B1108" s="552"/>
      <c r="C1108" s="557"/>
      <c r="D1108" s="557"/>
      <c r="E1108" s="553"/>
      <c r="F1108" s="554" t="s">
        <v>64</v>
      </c>
      <c r="G1108" s="554"/>
      <c r="H1108" s="554"/>
      <c r="I1108" s="579"/>
      <c r="J1108" s="570"/>
      <c r="K1108" s="570"/>
      <c r="L1108" s="554"/>
      <c r="M1108" s="62">
        <f>M1107</f>
        <v>2</v>
      </c>
      <c r="N1108" s="391"/>
      <c r="O1108" s="62">
        <f>SUM(O1107:O1107)</f>
        <v>0</v>
      </c>
      <c r="P1108" s="63" t="s">
        <v>57</v>
      </c>
      <c r="Q1108" s="337"/>
      <c r="R1108" s="64"/>
      <c r="S1108" s="64"/>
      <c r="T1108" s="460"/>
    </row>
    <row r="1109" spans="1:23" ht="24" x14ac:dyDescent="0.15">
      <c r="A1109" s="65"/>
      <c r="B1109" s="560" t="s">
        <v>65</v>
      </c>
      <c r="C1109" s="561"/>
      <c r="D1109" s="561"/>
      <c r="E1109" s="562"/>
      <c r="F1109" s="565" t="s">
        <v>26</v>
      </c>
      <c r="G1109" s="566"/>
      <c r="H1109" s="66" t="s">
        <v>59</v>
      </c>
      <c r="I1109" s="351"/>
      <c r="J1109" s="66" t="s">
        <v>60</v>
      </c>
      <c r="K1109" s="66" t="s">
        <v>6</v>
      </c>
      <c r="L1109" s="67" t="s">
        <v>61</v>
      </c>
      <c r="M1109" s="66" t="s">
        <v>30</v>
      </c>
      <c r="N1109" s="68" t="s">
        <v>62</v>
      </c>
      <c r="O1109" s="68" t="s">
        <v>34</v>
      </c>
      <c r="P1109" s="69" t="s">
        <v>57</v>
      </c>
      <c r="Q1109" s="42"/>
      <c r="R1109" s="67"/>
      <c r="S1109" s="67"/>
      <c r="T1109" s="461"/>
    </row>
    <row r="1110" spans="1:23" ht="13.5" customHeight="1" x14ac:dyDescent="0.15">
      <c r="A1110" s="76">
        <v>1</v>
      </c>
      <c r="B1110" s="542"/>
      <c r="C1110" s="543"/>
      <c r="D1110" s="543"/>
      <c r="E1110" s="544"/>
      <c r="F1110" s="558" t="s">
        <v>66</v>
      </c>
      <c r="G1110" s="559"/>
      <c r="H1110" s="78"/>
      <c r="I1110" s="352"/>
      <c r="J1110" s="77"/>
      <c r="K1110" s="46" t="str">
        <f>VLOOKUP($F:$F,材料单价表!$B$3:$G$42,4,0)</f>
        <v>m</v>
      </c>
      <c r="L1110" s="46"/>
      <c r="M1110" s="80">
        <f>M1065</f>
        <v>10</v>
      </c>
      <c r="N1110" s="46">
        <f>VLOOKUP($F:$F,材料单价表!$B$3:$G$42,5,0)</f>
        <v>0</v>
      </c>
      <c r="O1110" s="46">
        <f>N1110*M1110</f>
        <v>0</v>
      </c>
      <c r="P1110" s="48"/>
      <c r="Q1110" s="59"/>
      <c r="R1110" s="81"/>
      <c r="S1110" s="79"/>
      <c r="T1110" s="464"/>
    </row>
    <row r="1111" spans="1:23" ht="15.75" customHeight="1" x14ac:dyDescent="0.15">
      <c r="A1111" s="76">
        <v>2</v>
      </c>
      <c r="B1111" s="542"/>
      <c r="C1111" s="543"/>
      <c r="D1111" s="543"/>
      <c r="E1111" s="544"/>
      <c r="F1111" s="558" t="s">
        <v>68</v>
      </c>
      <c r="G1111" s="559"/>
      <c r="H1111" s="78" t="s">
        <v>67</v>
      </c>
      <c r="I1111" s="352"/>
      <c r="J1111" s="77"/>
      <c r="K1111" s="46" t="str">
        <f>VLOOKUP($F:$F,材料单价表!$B$3:$G$42,4,0)</f>
        <v>m</v>
      </c>
      <c r="L1111" s="46"/>
      <c r="M1111" s="80">
        <f>(J1088*K1088+J1089*K1089+J1087*K1087+J1081*K1081+J1082*K1082+J1083*K1083+J1085*K1085)/1000*2</f>
        <v>39.627199999999995</v>
      </c>
      <c r="N1111" s="46">
        <f>VLOOKUP($F:$F,材料单价表!$B$3:$G$42,5,0)</f>
        <v>0</v>
      </c>
      <c r="O1111" s="46">
        <f t="shared" ref="O1111:O1116" si="209">N1111*M1111</f>
        <v>0</v>
      </c>
      <c r="P1111" s="48"/>
      <c r="Q1111" s="59"/>
      <c r="R1111" s="81"/>
      <c r="S1111" s="79"/>
      <c r="T1111" s="464"/>
      <c r="V1111" s="104"/>
      <c r="W1111" s="104"/>
    </row>
    <row r="1112" spans="1:23" ht="13.5" customHeight="1" x14ac:dyDescent="0.15">
      <c r="A1112" s="76">
        <v>3</v>
      </c>
      <c r="B1112" s="542"/>
      <c r="C1112" s="543"/>
      <c r="D1112" s="543"/>
      <c r="E1112" s="544"/>
      <c r="F1112" s="558" t="s">
        <v>68</v>
      </c>
      <c r="G1112" s="559"/>
      <c r="H1112" s="78" t="s">
        <v>69</v>
      </c>
      <c r="I1112" s="352"/>
      <c r="J1112" s="77"/>
      <c r="K1112" s="46" t="str">
        <f>VLOOKUP($F:$F,材料单价表!$B$3:$G$42,4,0)</f>
        <v>m</v>
      </c>
      <c r="L1112" s="46"/>
      <c r="M1112" s="80">
        <f>M1065</f>
        <v>10</v>
      </c>
      <c r="N1112" s="46">
        <f>VLOOKUP($F:$F,材料单价表!$B$3:$G$42,5,0)</f>
        <v>0</v>
      </c>
      <c r="O1112" s="46">
        <f t="shared" si="209"/>
        <v>0</v>
      </c>
      <c r="P1112" s="48"/>
      <c r="Q1112" s="59"/>
      <c r="R1112" s="81"/>
      <c r="S1112" s="79"/>
      <c r="T1112" s="464"/>
      <c r="V1112" s="104"/>
      <c r="W1112" s="104"/>
    </row>
    <row r="1113" spans="1:23" ht="13.5" customHeight="1" x14ac:dyDescent="0.15">
      <c r="A1113" s="76">
        <v>4</v>
      </c>
      <c r="B1113" s="542"/>
      <c r="C1113" s="543"/>
      <c r="D1113" s="543"/>
      <c r="E1113" s="544"/>
      <c r="F1113" s="558" t="s">
        <v>68</v>
      </c>
      <c r="G1113" s="559"/>
      <c r="H1113" s="78" t="s">
        <v>70</v>
      </c>
      <c r="I1113" s="352"/>
      <c r="J1113" s="77"/>
      <c r="K1113" s="46" t="str">
        <f>VLOOKUP($F:$F,材料单价表!$B$3:$G$42,4,0)</f>
        <v>m</v>
      </c>
      <c r="L1113" s="46"/>
      <c r="M1113" s="80">
        <f>M1065</f>
        <v>10</v>
      </c>
      <c r="N1113" s="46">
        <f>VLOOKUP($F:$F,材料单价表!$B$3:$G$42,5,0)</f>
        <v>0</v>
      </c>
      <c r="O1113" s="46">
        <f t="shared" si="209"/>
        <v>0</v>
      </c>
      <c r="P1113" s="48"/>
      <c r="Q1113" s="59"/>
      <c r="R1113" s="81"/>
      <c r="S1113" s="79"/>
      <c r="T1113" s="464"/>
      <c r="V1113" s="104"/>
      <c r="W1113" s="104"/>
    </row>
    <row r="1114" spans="1:23" ht="13.5" customHeight="1" x14ac:dyDescent="0.15">
      <c r="A1114" s="76">
        <v>5</v>
      </c>
      <c r="B1114" s="542"/>
      <c r="C1114" s="543"/>
      <c r="D1114" s="543"/>
      <c r="E1114" s="544"/>
      <c r="F1114" s="558" t="s">
        <v>71</v>
      </c>
      <c r="G1114" s="559"/>
      <c r="H1114" s="78"/>
      <c r="I1114" s="352"/>
      <c r="J1114" s="77"/>
      <c r="K1114" s="46" t="str">
        <f>VLOOKUP($F:$F,材料单价表!$B$3:$G$42,4,0)</f>
        <v>个</v>
      </c>
      <c r="L1114" s="79"/>
      <c r="M1114" s="80">
        <f>SUM(K1090:K1092)</f>
        <v>28</v>
      </c>
      <c r="N1114" s="46">
        <f>VLOOKUP($F:$F,材料单价表!$B$3:$G$42,5,0)</f>
        <v>0</v>
      </c>
      <c r="O1114" s="46">
        <f t="shared" si="209"/>
        <v>0</v>
      </c>
      <c r="P1114" s="48"/>
      <c r="Q1114" s="59"/>
      <c r="R1114" s="81"/>
      <c r="S1114" s="79"/>
      <c r="T1114" s="464"/>
    </row>
    <row r="1115" spans="1:23" ht="13.5" customHeight="1" x14ac:dyDescent="0.15">
      <c r="A1115" s="76">
        <v>6</v>
      </c>
      <c r="B1115" s="542"/>
      <c r="C1115" s="543"/>
      <c r="D1115" s="543"/>
      <c r="E1115" s="544"/>
      <c r="F1115" s="558" t="s">
        <v>121</v>
      </c>
      <c r="G1115" s="559"/>
      <c r="H1115" s="78"/>
      <c r="I1115" s="352"/>
      <c r="J1115" s="77"/>
      <c r="K1115" s="46" t="str">
        <f>VLOOKUP($F:$F,材料单价表!$B$3:$G$42,4,0)</f>
        <v>m</v>
      </c>
      <c r="L1115" s="79"/>
      <c r="M1115" s="80">
        <f>(J1071*K1071+J1072*K1072)/1000*2</f>
        <v>8.9375999999999998</v>
      </c>
      <c r="N1115" s="46">
        <f>VLOOKUP($F:$F,材料单价表!$B$3:$G$42,5,0)</f>
        <v>0</v>
      </c>
      <c r="O1115" s="46">
        <f t="shared" si="209"/>
        <v>0</v>
      </c>
      <c r="P1115" s="48"/>
      <c r="Q1115" s="59"/>
      <c r="R1115" s="81"/>
      <c r="S1115" s="46"/>
      <c r="T1115" s="465"/>
    </row>
    <row r="1116" spans="1:23" x14ac:dyDescent="0.15">
      <c r="A1116" s="76">
        <v>7</v>
      </c>
      <c r="B1116" s="542"/>
      <c r="C1116" s="543"/>
      <c r="D1116" s="543"/>
      <c r="E1116" s="544"/>
      <c r="F1116" s="558" t="s">
        <v>72</v>
      </c>
      <c r="G1116" s="559"/>
      <c r="H1116" s="45"/>
      <c r="I1116" s="207"/>
      <c r="J1116" s="45"/>
      <c r="K1116" s="46" t="str">
        <f>VLOOKUP($F:$F,材料单价表!$B$3:$G$42,4,0)</f>
        <v>m2</v>
      </c>
      <c r="L1116" s="72"/>
      <c r="M1116" s="46">
        <f>M1122</f>
        <v>5.76</v>
      </c>
      <c r="N1116" s="46">
        <f>VLOOKUP($F:$F,材料单价表!$B$3:$G$42,5,0)</f>
        <v>0</v>
      </c>
      <c r="O1116" s="46">
        <f t="shared" si="209"/>
        <v>0</v>
      </c>
      <c r="P1116" s="48"/>
      <c r="Q1116" s="48"/>
      <c r="R1116" s="73"/>
      <c r="S1116" s="73"/>
      <c r="T1116" s="463"/>
    </row>
    <row r="1117" spans="1:23" x14ac:dyDescent="0.15">
      <c r="A1117" s="76">
        <v>8</v>
      </c>
      <c r="B1117" s="542"/>
      <c r="C1117" s="543"/>
      <c r="D1117" s="543"/>
      <c r="E1117" s="544"/>
      <c r="F1117" s="393"/>
      <c r="G1117" s="394"/>
      <c r="H1117" s="207"/>
      <c r="I1117" s="207"/>
      <c r="J1117" s="207"/>
      <c r="K1117" s="208"/>
      <c r="L1117" s="209"/>
      <c r="M1117" s="208"/>
      <c r="N1117" s="208"/>
      <c r="O1117" s="208"/>
      <c r="P1117" s="211"/>
      <c r="Q1117" s="48"/>
      <c r="R1117" s="212"/>
      <c r="S1117" s="212"/>
      <c r="T1117" s="463"/>
    </row>
    <row r="1118" spans="1:23" x14ac:dyDescent="0.15">
      <c r="A1118" s="76">
        <v>9</v>
      </c>
      <c r="B1118" s="542"/>
      <c r="C1118" s="543"/>
      <c r="D1118" s="543"/>
      <c r="E1118" s="544"/>
      <c r="F1118" s="558"/>
      <c r="G1118" s="559"/>
      <c r="H1118" s="45"/>
      <c r="I1118" s="207"/>
      <c r="J1118" s="45"/>
      <c r="K1118" s="45"/>
      <c r="L1118" s="72"/>
      <c r="M1118" s="46"/>
      <c r="N1118" s="46"/>
      <c r="O1118" s="82"/>
      <c r="P1118" s="48"/>
      <c r="Q1118" s="48"/>
      <c r="R1118" s="73"/>
      <c r="S1118" s="73"/>
      <c r="T1118" s="463"/>
    </row>
    <row r="1119" spans="1:23" x14ac:dyDescent="0.15">
      <c r="A1119" s="74"/>
      <c r="B1119" s="552"/>
      <c r="C1119" s="557"/>
      <c r="D1119" s="557"/>
      <c r="E1119" s="553"/>
      <c r="F1119" s="552" t="s">
        <v>73</v>
      </c>
      <c r="G1119" s="557"/>
      <c r="H1119" s="557"/>
      <c r="I1119" s="557"/>
      <c r="J1119" s="557"/>
      <c r="K1119" s="557"/>
      <c r="L1119" s="557"/>
      <c r="M1119" s="61"/>
      <c r="N1119" s="61"/>
      <c r="O1119" s="62">
        <f>SUM(O1110:O1118)</f>
        <v>0</v>
      </c>
      <c r="P1119" s="63" t="s">
        <v>57</v>
      </c>
      <c r="Q1119" s="337"/>
      <c r="R1119" s="64"/>
      <c r="S1119" s="64"/>
      <c r="T1119" s="460"/>
    </row>
    <row r="1120" spans="1:23" x14ac:dyDescent="0.15">
      <c r="A1120" s="74"/>
      <c r="B1120" s="552"/>
      <c r="C1120" s="557"/>
      <c r="D1120" s="557"/>
      <c r="E1120" s="553"/>
      <c r="F1120" s="552" t="s">
        <v>74</v>
      </c>
      <c r="G1120" s="557"/>
      <c r="H1120" s="557"/>
      <c r="I1120" s="557"/>
      <c r="J1120" s="557"/>
      <c r="K1120" s="557"/>
      <c r="L1120" s="557"/>
      <c r="M1120" s="557"/>
      <c r="N1120" s="553"/>
      <c r="O1120" s="62">
        <f>O1119+O1108+O1105+O1097</f>
        <v>0</v>
      </c>
      <c r="P1120" s="63" t="s">
        <v>57</v>
      </c>
      <c r="Q1120" s="337"/>
      <c r="R1120" s="64"/>
      <c r="S1120" s="64"/>
      <c r="T1120" s="460"/>
    </row>
    <row r="1121" spans="1:20" ht="24" x14ac:dyDescent="0.15">
      <c r="A1121" s="65"/>
      <c r="B1121" s="560" t="s">
        <v>75</v>
      </c>
      <c r="C1121" s="561"/>
      <c r="D1121" s="561"/>
      <c r="E1121" s="562"/>
      <c r="F1121" s="565" t="s">
        <v>26</v>
      </c>
      <c r="G1121" s="566"/>
      <c r="H1121" s="66"/>
      <c r="I1121" s="351"/>
      <c r="J1121" s="66"/>
      <c r="K1121" s="66" t="s">
        <v>6</v>
      </c>
      <c r="L1121" s="83" t="s">
        <v>61</v>
      </c>
      <c r="M1121" s="66" t="s">
        <v>76</v>
      </c>
      <c r="N1121" s="68" t="s">
        <v>62</v>
      </c>
      <c r="O1121" s="68" t="s">
        <v>34</v>
      </c>
      <c r="P1121" s="84" t="s">
        <v>57</v>
      </c>
      <c r="Q1121" s="84"/>
      <c r="R1121" s="67"/>
      <c r="S1121" s="67"/>
      <c r="T1121" s="461"/>
    </row>
    <row r="1122" spans="1:20" x14ac:dyDescent="0.15">
      <c r="A1122" s="395">
        <v>1</v>
      </c>
      <c r="B1122" s="542"/>
      <c r="C1122" s="543"/>
      <c r="D1122" s="543"/>
      <c r="E1122" s="544"/>
      <c r="F1122" s="545" t="s">
        <v>77</v>
      </c>
      <c r="G1122" s="547"/>
      <c r="H1122" s="45"/>
      <c r="I1122" s="207"/>
      <c r="J1122" s="46"/>
      <c r="K1122" s="45" t="s">
        <v>78</v>
      </c>
      <c r="L1122" s="72"/>
      <c r="M1122" s="85">
        <f>O1052</f>
        <v>5.76</v>
      </c>
      <c r="N1122" s="46">
        <f>VLOOKUP($F:$F,材料单价表!$B$3:$G$42,5,0)</f>
        <v>0</v>
      </c>
      <c r="O1122" s="46">
        <f>N1122*M1122</f>
        <v>0</v>
      </c>
      <c r="P1122" s="48"/>
      <c r="Q1122" s="48"/>
      <c r="R1122" s="72"/>
      <c r="S1122" s="72"/>
      <c r="T1122" s="462"/>
    </row>
    <row r="1123" spans="1:20" x14ac:dyDescent="0.15">
      <c r="A1123" s="395">
        <v>2</v>
      </c>
      <c r="B1123" s="542"/>
      <c r="C1123" s="543"/>
      <c r="D1123" s="543"/>
      <c r="E1123" s="544"/>
      <c r="F1123" s="545" t="s">
        <v>79</v>
      </c>
      <c r="G1123" s="547"/>
      <c r="H1123" s="45"/>
      <c r="I1123" s="207"/>
      <c r="J1123" s="46"/>
      <c r="K1123" s="45" t="s">
        <v>78</v>
      </c>
      <c r="L1123" s="72"/>
      <c r="M1123" s="85">
        <f>M1122</f>
        <v>5.76</v>
      </c>
      <c r="N1123" s="46">
        <f>VLOOKUP($F:$F,材料单价表!$B$3:$G$42,5,0)</f>
        <v>0</v>
      </c>
      <c r="O1123" s="46">
        <f>N1123*M1123</f>
        <v>0</v>
      </c>
      <c r="P1123" s="48"/>
      <c r="Q1123" s="48"/>
      <c r="R1123" s="72"/>
      <c r="S1123" s="72"/>
      <c r="T1123" s="462"/>
    </row>
    <row r="1124" spans="1:20" ht="24.75" customHeight="1" x14ac:dyDescent="0.15">
      <c r="A1124" s="74"/>
      <c r="B1124" s="552"/>
      <c r="C1124" s="557"/>
      <c r="D1124" s="557"/>
      <c r="E1124" s="553"/>
      <c r="F1124" s="552" t="s">
        <v>80</v>
      </c>
      <c r="G1124" s="553"/>
      <c r="H1124" s="390"/>
      <c r="I1124" s="390"/>
      <c r="J1124" s="554" t="s">
        <v>81</v>
      </c>
      <c r="K1124" s="554"/>
      <c r="L1124" s="554"/>
      <c r="M1124" s="554"/>
      <c r="N1124" s="87"/>
      <c r="O1124" s="62">
        <f>O1120+O1122+O1123</f>
        <v>0</v>
      </c>
      <c r="P1124" s="63" t="s">
        <v>57</v>
      </c>
      <c r="Q1124" s="337"/>
      <c r="R1124" s="64"/>
      <c r="S1124" s="64"/>
      <c r="T1124" s="460"/>
    </row>
    <row r="1125" spans="1:20" ht="24" customHeight="1" x14ac:dyDescent="0.15">
      <c r="A1125" s="74"/>
      <c r="B1125" s="552"/>
      <c r="C1125" s="557"/>
      <c r="D1125" s="557"/>
      <c r="E1125" s="553"/>
      <c r="F1125" s="555" t="s">
        <v>82</v>
      </c>
      <c r="G1125" s="556"/>
      <c r="H1125" s="392"/>
      <c r="I1125" s="392"/>
      <c r="J1125" s="552" t="s">
        <v>81</v>
      </c>
      <c r="K1125" s="557"/>
      <c r="L1125" s="557"/>
      <c r="M1125" s="557"/>
      <c r="N1125" s="62"/>
      <c r="O1125" s="62">
        <f>O1124/O1052</f>
        <v>0</v>
      </c>
      <c r="P1125" s="89" t="s">
        <v>57</v>
      </c>
      <c r="Q1125" s="89"/>
      <c r="R1125" s="90"/>
      <c r="S1125" s="90"/>
      <c r="T1125" s="466"/>
    </row>
  </sheetData>
  <autoFilter ref="T1:U1125"/>
  <mergeCells count="1038">
    <mergeCell ref="R830:R831"/>
    <mergeCell ref="S830:S831"/>
    <mergeCell ref="O903:P903"/>
    <mergeCell ref="R903:R904"/>
    <mergeCell ref="S903:S904"/>
    <mergeCell ref="R905:R906"/>
    <mergeCell ref="S905:S906"/>
    <mergeCell ref="O978:P978"/>
    <mergeCell ref="R978:R979"/>
    <mergeCell ref="S978:S979"/>
    <mergeCell ref="O753:P753"/>
    <mergeCell ref="R753:R754"/>
    <mergeCell ref="S753:S754"/>
    <mergeCell ref="R755:R756"/>
    <mergeCell ref="S755:S756"/>
    <mergeCell ref="N757:N762"/>
    <mergeCell ref="O828:P828"/>
    <mergeCell ref="R828:R829"/>
    <mergeCell ref="S828:S829"/>
    <mergeCell ref="A976:S976"/>
    <mergeCell ref="B971:E971"/>
    <mergeCell ref="B766:E766"/>
    <mergeCell ref="B798:E798"/>
    <mergeCell ref="F971:G971"/>
    <mergeCell ref="B969:E969"/>
    <mergeCell ref="B970:E970"/>
    <mergeCell ref="B767:E770"/>
    <mergeCell ref="B771:E777"/>
    <mergeCell ref="B778:E778"/>
    <mergeCell ref="B779:E793"/>
    <mergeCell ref="A797:D797"/>
    <mergeCell ref="E797:K797"/>
    <mergeCell ref="O603:P603"/>
    <mergeCell ref="R603:R604"/>
    <mergeCell ref="S603:S604"/>
    <mergeCell ref="R605:R606"/>
    <mergeCell ref="S605:S606"/>
    <mergeCell ref="N607:N610"/>
    <mergeCell ref="O678:P678"/>
    <mergeCell ref="R678:R679"/>
    <mergeCell ref="S678:S679"/>
    <mergeCell ref="S380:S381"/>
    <mergeCell ref="O453:P453"/>
    <mergeCell ref="R453:R454"/>
    <mergeCell ref="S453:S454"/>
    <mergeCell ref="R455:R456"/>
    <mergeCell ref="S455:S456"/>
    <mergeCell ref="O528:P528"/>
    <mergeCell ref="R528:R529"/>
    <mergeCell ref="S528:S529"/>
    <mergeCell ref="R380:R381"/>
    <mergeCell ref="O153:P153"/>
    <mergeCell ref="R153:R154"/>
    <mergeCell ref="S153:S154"/>
    <mergeCell ref="R155:R156"/>
    <mergeCell ref="S155:S156"/>
    <mergeCell ref="O228:P228"/>
    <mergeCell ref="R228:R229"/>
    <mergeCell ref="S228:S229"/>
    <mergeCell ref="R230:R231"/>
    <mergeCell ref="S230:S231"/>
    <mergeCell ref="O303:P303"/>
    <mergeCell ref="R303:R304"/>
    <mergeCell ref="S303:S304"/>
    <mergeCell ref="R305:R306"/>
    <mergeCell ref="S305:S306"/>
    <mergeCell ref="N309:N315"/>
    <mergeCell ref="O378:P378"/>
    <mergeCell ref="R378:R379"/>
    <mergeCell ref="S378:S379"/>
    <mergeCell ref="B974:E974"/>
    <mergeCell ref="B975:E975"/>
    <mergeCell ref="B805:E805"/>
    <mergeCell ref="B808:E808"/>
    <mergeCell ref="B819:E819"/>
    <mergeCell ref="B820:E820"/>
    <mergeCell ref="B853:E853"/>
    <mergeCell ref="B931:E943"/>
    <mergeCell ref="B921:E929"/>
    <mergeCell ref="B930:E930"/>
    <mergeCell ref="B950:E950"/>
    <mergeCell ref="B952:E952"/>
    <mergeCell ref="B968:E968"/>
    <mergeCell ref="B957:E957"/>
    <mergeCell ref="B949:E949"/>
    <mergeCell ref="B951:E951"/>
    <mergeCell ref="B953:E953"/>
    <mergeCell ref="B893:E893"/>
    <mergeCell ref="B955:E955"/>
    <mergeCell ref="B958:E958"/>
    <mergeCell ref="B956:E956"/>
    <mergeCell ref="B959:E959"/>
    <mergeCell ref="B917:E920"/>
    <mergeCell ref="A947:D947"/>
    <mergeCell ref="E947:K947"/>
    <mergeCell ref="A944:L944"/>
    <mergeCell ref="A945:L945"/>
    <mergeCell ref="A946:L946"/>
    <mergeCell ref="B966:E966"/>
    <mergeCell ref="B967:E967"/>
    <mergeCell ref="B812:E812"/>
    <mergeCell ref="B813:E813"/>
    <mergeCell ref="A794:L794"/>
    <mergeCell ref="A795:L795"/>
    <mergeCell ref="H801:I801"/>
    <mergeCell ref="A796:L796"/>
    <mergeCell ref="B744:E744"/>
    <mergeCell ref="B745:E745"/>
    <mergeCell ref="B749:E749"/>
    <mergeCell ref="B750:E750"/>
    <mergeCell ref="B880:E880"/>
    <mergeCell ref="B883:E883"/>
    <mergeCell ref="B894:E894"/>
    <mergeCell ref="B895:E895"/>
    <mergeCell ref="B842:E845"/>
    <mergeCell ref="B846:E852"/>
    <mergeCell ref="B854:E868"/>
    <mergeCell ref="A872:D872"/>
    <mergeCell ref="E872:K872"/>
    <mergeCell ref="A869:L869"/>
    <mergeCell ref="A870:L870"/>
    <mergeCell ref="A871:L871"/>
    <mergeCell ref="B885:E885"/>
    <mergeCell ref="B886:E886"/>
    <mergeCell ref="B887:E887"/>
    <mergeCell ref="B888:E888"/>
    <mergeCell ref="B889:E889"/>
    <mergeCell ref="B890:E890"/>
    <mergeCell ref="B891:E891"/>
    <mergeCell ref="B892:E892"/>
    <mergeCell ref="B822:E822"/>
    <mergeCell ref="B823:E823"/>
    <mergeCell ref="B810:E810"/>
    <mergeCell ref="B811:E811"/>
    <mergeCell ref="B600:E600"/>
    <mergeCell ref="B655:E655"/>
    <mergeCell ref="B593:E593"/>
    <mergeCell ref="B582:E582"/>
    <mergeCell ref="B574:E574"/>
    <mergeCell ref="B575:E575"/>
    <mergeCell ref="B576:E576"/>
    <mergeCell ref="B579:E579"/>
    <mergeCell ref="B584:E584"/>
    <mergeCell ref="B596:E596"/>
    <mergeCell ref="B616:E616"/>
    <mergeCell ref="B648:E648"/>
    <mergeCell ref="B656:E656"/>
    <mergeCell ref="B659:E659"/>
    <mergeCell ref="B657:E657"/>
    <mergeCell ref="B649:E649"/>
    <mergeCell ref="B650:E650"/>
    <mergeCell ref="B653:E653"/>
    <mergeCell ref="B654:E654"/>
    <mergeCell ref="B597:E597"/>
    <mergeCell ref="B628:E643"/>
    <mergeCell ref="B621:E627"/>
    <mergeCell ref="B617:E620"/>
    <mergeCell ref="A647:D647"/>
    <mergeCell ref="E647:K647"/>
    <mergeCell ref="A644:L644"/>
    <mergeCell ref="A645:L645"/>
    <mergeCell ref="A646:L646"/>
    <mergeCell ref="F655:L655"/>
    <mergeCell ref="F656:G656"/>
    <mergeCell ref="F657:G657"/>
    <mergeCell ref="A601:S601"/>
    <mergeCell ref="B368:E368"/>
    <mergeCell ref="B505:E505"/>
    <mergeCell ref="B508:E508"/>
    <mergeCell ref="B519:E519"/>
    <mergeCell ref="B520:E520"/>
    <mergeCell ref="B477:E493"/>
    <mergeCell ref="B471:E476"/>
    <mergeCell ref="B467:E470"/>
    <mergeCell ref="A497:D497"/>
    <mergeCell ref="E497:K497"/>
    <mergeCell ref="A494:L494"/>
    <mergeCell ref="A495:L495"/>
    <mergeCell ref="A496:L496"/>
    <mergeCell ref="F513:G513"/>
    <mergeCell ref="F514:G514"/>
    <mergeCell ref="F515:G515"/>
    <mergeCell ref="F516:G516"/>
    <mergeCell ref="F518:G518"/>
    <mergeCell ref="F508:L508"/>
    <mergeCell ref="F509:G509"/>
    <mergeCell ref="F510:G510"/>
    <mergeCell ref="F511:G511"/>
    <mergeCell ref="F512:G512"/>
    <mergeCell ref="F503:G503"/>
    <mergeCell ref="F504:G504"/>
    <mergeCell ref="B510:E510"/>
    <mergeCell ref="B511:E511"/>
    <mergeCell ref="B512:E512"/>
    <mergeCell ref="B513:E513"/>
    <mergeCell ref="B514:E514"/>
    <mergeCell ref="B515:E515"/>
    <mergeCell ref="B516:E516"/>
    <mergeCell ref="B63:E63"/>
    <mergeCell ref="B64:E64"/>
    <mergeCell ref="B65:E65"/>
    <mergeCell ref="B66:E66"/>
    <mergeCell ref="B67:E67"/>
    <mergeCell ref="B369:E369"/>
    <mergeCell ref="B370:E370"/>
    <mergeCell ref="B327:E343"/>
    <mergeCell ref="B321:E326"/>
    <mergeCell ref="B317:E320"/>
    <mergeCell ref="A347:D347"/>
    <mergeCell ref="E347:K347"/>
    <mergeCell ref="A344:L344"/>
    <mergeCell ref="A345:L345"/>
    <mergeCell ref="A346:L346"/>
    <mergeCell ref="F366:G366"/>
    <mergeCell ref="F368:G368"/>
    <mergeCell ref="F369:L369"/>
    <mergeCell ref="F370:N370"/>
    <mergeCell ref="F349:G349"/>
    <mergeCell ref="F350:G350"/>
    <mergeCell ref="F353:G353"/>
    <mergeCell ref="F354:G354"/>
    <mergeCell ref="F361:G361"/>
    <mergeCell ref="F362:G362"/>
    <mergeCell ref="F363:G363"/>
    <mergeCell ref="F364:G364"/>
    <mergeCell ref="F365:G365"/>
    <mergeCell ref="B361:E361"/>
    <mergeCell ref="B362:E362"/>
    <mergeCell ref="B363:E363"/>
    <mergeCell ref="B364:E364"/>
    <mergeCell ref="B428:E428"/>
    <mergeCell ref="B429:E429"/>
    <mergeCell ref="B372:E372"/>
    <mergeCell ref="B373:E373"/>
    <mergeCell ref="B360:E360"/>
    <mergeCell ref="B283:E283"/>
    <mergeCell ref="B68:E68"/>
    <mergeCell ref="B57:E57"/>
    <mergeCell ref="B49:E49"/>
    <mergeCell ref="B50:E50"/>
    <mergeCell ref="B51:E51"/>
    <mergeCell ref="B54:E54"/>
    <mergeCell ref="B17:E20"/>
    <mergeCell ref="B21:E26"/>
    <mergeCell ref="B27:E43"/>
    <mergeCell ref="B47:E47"/>
    <mergeCell ref="B55:E55"/>
    <mergeCell ref="B58:E58"/>
    <mergeCell ref="B44:L44"/>
    <mergeCell ref="B45:L45"/>
    <mergeCell ref="B46:L46"/>
    <mergeCell ref="F48:G48"/>
    <mergeCell ref="B69:E69"/>
    <mergeCell ref="B70:E70"/>
    <mergeCell ref="B74:E74"/>
    <mergeCell ref="B75:E75"/>
    <mergeCell ref="B130:E130"/>
    <mergeCell ref="B133:E133"/>
    <mergeCell ref="B144:E144"/>
    <mergeCell ref="B60:E60"/>
    <mergeCell ref="B61:E61"/>
    <mergeCell ref="B62:E62"/>
    <mergeCell ref="B143:E143"/>
    <mergeCell ref="B293:E293"/>
    <mergeCell ref="B282:E282"/>
    <mergeCell ref="B274:E274"/>
    <mergeCell ref="B275:E275"/>
    <mergeCell ref="B278:E278"/>
    <mergeCell ref="B279:E279"/>
    <mergeCell ref="B222:E222"/>
    <mergeCell ref="B223:E223"/>
    <mergeCell ref="B210:E210"/>
    <mergeCell ref="B211:E211"/>
    <mergeCell ref="B212:E212"/>
    <mergeCell ref="B213:E213"/>
    <mergeCell ref="B214:E214"/>
    <mergeCell ref="B215:E215"/>
    <mergeCell ref="B216:E216"/>
    <mergeCell ref="B217:E217"/>
    <mergeCell ref="B218:E218"/>
    <mergeCell ref="B219:E219"/>
    <mergeCell ref="B220:E220"/>
    <mergeCell ref="B285:E285"/>
    <mergeCell ref="B286:E286"/>
    <mergeCell ref="B287:E287"/>
    <mergeCell ref="B288:E288"/>
    <mergeCell ref="B289:E289"/>
    <mergeCell ref="B290:E290"/>
    <mergeCell ref="B291:E291"/>
    <mergeCell ref="B292:E292"/>
    <mergeCell ref="B224:E224"/>
    <mergeCell ref="B206:E206"/>
    <mergeCell ref="B209:E209"/>
    <mergeCell ref="B221:E221"/>
    <mergeCell ref="B733:E733"/>
    <mergeCell ref="B703:E718"/>
    <mergeCell ref="B696:E702"/>
    <mergeCell ref="B731:E731"/>
    <mergeCell ref="B671:E671"/>
    <mergeCell ref="B691:E691"/>
    <mergeCell ref="B374:E374"/>
    <mergeCell ref="B375:E375"/>
    <mergeCell ref="B430:E430"/>
    <mergeCell ref="A376:S376"/>
    <mergeCell ref="F372:G372"/>
    <mergeCell ref="F373:G373"/>
    <mergeCell ref="F374:G374"/>
    <mergeCell ref="J374:M374"/>
    <mergeCell ref="B517:E517"/>
    <mergeCell ref="B518:E518"/>
    <mergeCell ref="B524:E524"/>
    <mergeCell ref="B525:E525"/>
    <mergeCell ref="B580:E580"/>
    <mergeCell ref="B583:E583"/>
    <mergeCell ref="B553:E568"/>
    <mergeCell ref="B546:E552"/>
    <mergeCell ref="B581:E581"/>
    <mergeCell ref="B522:E522"/>
    <mergeCell ref="B523:E523"/>
    <mergeCell ref="B442:E442"/>
    <mergeCell ref="B443:E443"/>
    <mergeCell ref="F574:G574"/>
    <mergeCell ref="F575:G575"/>
    <mergeCell ref="F576:G576"/>
    <mergeCell ref="F579:G579"/>
    <mergeCell ref="F580:L580"/>
    <mergeCell ref="B732:E732"/>
    <mergeCell ref="B724:E724"/>
    <mergeCell ref="B725:E725"/>
    <mergeCell ref="B726:E726"/>
    <mergeCell ref="B729:E729"/>
    <mergeCell ref="B672:E672"/>
    <mergeCell ref="B673:E673"/>
    <mergeCell ref="B660:E660"/>
    <mergeCell ref="B661:E661"/>
    <mergeCell ref="B662:E662"/>
    <mergeCell ref="B663:E663"/>
    <mergeCell ref="B664:E664"/>
    <mergeCell ref="B665:E665"/>
    <mergeCell ref="B666:E666"/>
    <mergeCell ref="B667:E667"/>
    <mergeCell ref="B668:E668"/>
    <mergeCell ref="B674:E674"/>
    <mergeCell ref="B675:E675"/>
    <mergeCell ref="B730:E730"/>
    <mergeCell ref="B669:E669"/>
    <mergeCell ref="B670:E670"/>
    <mergeCell ref="B814:E814"/>
    <mergeCell ref="B815:E815"/>
    <mergeCell ref="B816:E816"/>
    <mergeCell ref="B817:E817"/>
    <mergeCell ref="B818:E818"/>
    <mergeCell ref="B824:E824"/>
    <mergeCell ref="B825:E825"/>
    <mergeCell ref="B734:E734"/>
    <mergeCell ref="B746:E746"/>
    <mergeCell ref="B841:E841"/>
    <mergeCell ref="B873:E873"/>
    <mergeCell ref="B881:E881"/>
    <mergeCell ref="B884:E884"/>
    <mergeCell ref="B896:E896"/>
    <mergeCell ref="B916:E916"/>
    <mergeCell ref="B882:E882"/>
    <mergeCell ref="B874:E874"/>
    <mergeCell ref="B875:E875"/>
    <mergeCell ref="B876:E876"/>
    <mergeCell ref="B877:E877"/>
    <mergeCell ref="B747:E747"/>
    <mergeCell ref="B748:E748"/>
    <mergeCell ref="B735:E735"/>
    <mergeCell ref="B736:E736"/>
    <mergeCell ref="B737:E737"/>
    <mergeCell ref="B738:E738"/>
    <mergeCell ref="B739:E739"/>
    <mergeCell ref="B740:E740"/>
    <mergeCell ref="B741:E741"/>
    <mergeCell ref="B742:E742"/>
    <mergeCell ref="B897:E897"/>
    <mergeCell ref="B743:E743"/>
    <mergeCell ref="B434:E434"/>
    <mergeCell ref="B446:E446"/>
    <mergeCell ref="B466:E466"/>
    <mergeCell ref="B498:E498"/>
    <mergeCell ref="B506:E506"/>
    <mergeCell ref="B509:E509"/>
    <mergeCell ref="B521:E521"/>
    <mergeCell ref="B541:E541"/>
    <mergeCell ref="B507:E507"/>
    <mergeCell ref="B499:E499"/>
    <mergeCell ref="B500:E500"/>
    <mergeCell ref="B503:E503"/>
    <mergeCell ref="B504:E504"/>
    <mergeCell ref="B447:E447"/>
    <mergeCell ref="B448:E448"/>
    <mergeCell ref="B435:E435"/>
    <mergeCell ref="B436:E436"/>
    <mergeCell ref="B437:E437"/>
    <mergeCell ref="B438:E438"/>
    <mergeCell ref="B439:E439"/>
    <mergeCell ref="B440:E440"/>
    <mergeCell ref="B441:E441"/>
    <mergeCell ref="F573:G573"/>
    <mergeCell ref="B573:E573"/>
    <mergeCell ref="B542:E545"/>
    <mergeCell ref="A572:D572"/>
    <mergeCell ref="E572:K572"/>
    <mergeCell ref="A569:L569"/>
    <mergeCell ref="B594:E594"/>
    <mergeCell ref="B595:E595"/>
    <mergeCell ref="B599:E599"/>
    <mergeCell ref="B423:E423"/>
    <mergeCell ref="B357:E357"/>
    <mergeCell ref="B349:E349"/>
    <mergeCell ref="B350:E350"/>
    <mergeCell ref="B353:E353"/>
    <mergeCell ref="B354:E354"/>
    <mergeCell ref="B297:E297"/>
    <mergeCell ref="B298:E298"/>
    <mergeCell ref="B598:E598"/>
    <mergeCell ref="B585:E585"/>
    <mergeCell ref="B586:E586"/>
    <mergeCell ref="B587:E587"/>
    <mergeCell ref="B588:E588"/>
    <mergeCell ref="B589:E589"/>
    <mergeCell ref="B590:E590"/>
    <mergeCell ref="B591:E591"/>
    <mergeCell ref="B592:E592"/>
    <mergeCell ref="B433:E433"/>
    <mergeCell ref="B402:E418"/>
    <mergeCell ref="B396:E401"/>
    <mergeCell ref="B431:E431"/>
    <mergeCell ref="B432:E432"/>
    <mergeCell ref="B424:E424"/>
    <mergeCell ref="B425:E425"/>
    <mergeCell ref="B141:E141"/>
    <mergeCell ref="B142:E142"/>
    <mergeCell ref="F137:G137"/>
    <mergeCell ref="F123:G123"/>
    <mergeCell ref="B124:E124"/>
    <mergeCell ref="B125:E125"/>
    <mergeCell ref="B128:E128"/>
    <mergeCell ref="B129:E129"/>
    <mergeCell ref="B135:E135"/>
    <mergeCell ref="B136:E136"/>
    <mergeCell ref="B137:E137"/>
    <mergeCell ref="B138:E138"/>
    <mergeCell ref="B139:E139"/>
    <mergeCell ref="B140:E140"/>
    <mergeCell ref="B131:E131"/>
    <mergeCell ref="B134:E134"/>
    <mergeCell ref="B132:E132"/>
    <mergeCell ref="B207:E207"/>
    <mergeCell ref="B199:E199"/>
    <mergeCell ref="B200:E200"/>
    <mergeCell ref="B203:E203"/>
    <mergeCell ref="B204:E204"/>
    <mergeCell ref="B147:E147"/>
    <mergeCell ref="B148:E148"/>
    <mergeCell ref="B149:E149"/>
    <mergeCell ref="B150:E150"/>
    <mergeCell ref="B205:E205"/>
    <mergeCell ref="B208:E208"/>
    <mergeCell ref="B252:E268"/>
    <mergeCell ref="B246:E251"/>
    <mergeCell ref="B242:E245"/>
    <mergeCell ref="B72:E72"/>
    <mergeCell ref="B73:E73"/>
    <mergeCell ref="F824:G824"/>
    <mergeCell ref="J824:M824"/>
    <mergeCell ref="F825:G825"/>
    <mergeCell ref="J825:M825"/>
    <mergeCell ref="F819:L819"/>
    <mergeCell ref="F820:N820"/>
    <mergeCell ref="F821:G821"/>
    <mergeCell ref="F822:G822"/>
    <mergeCell ref="F823:G823"/>
    <mergeCell ref="F813:G813"/>
    <mergeCell ref="F814:G814"/>
    <mergeCell ref="F815:G815"/>
    <mergeCell ref="F816:G816"/>
    <mergeCell ref="F818:G818"/>
    <mergeCell ref="F808:L808"/>
    <mergeCell ref="F809:G809"/>
    <mergeCell ref="F810:G810"/>
    <mergeCell ref="F811:G811"/>
    <mergeCell ref="F812:G812"/>
    <mergeCell ref="F801:G801"/>
    <mergeCell ref="F804:G804"/>
    <mergeCell ref="F805:L805"/>
    <mergeCell ref="F806:G806"/>
    <mergeCell ref="F807:G807"/>
    <mergeCell ref="F798:G798"/>
    <mergeCell ref="F799:G799"/>
    <mergeCell ref="F800:G800"/>
    <mergeCell ref="F724:G724"/>
    <mergeCell ref="F725:G725"/>
    <mergeCell ref="F675:G675"/>
    <mergeCell ref="F975:G975"/>
    <mergeCell ref="J975:M975"/>
    <mergeCell ref="A751:S751"/>
    <mergeCell ref="B801:E801"/>
    <mergeCell ref="B804:E804"/>
    <mergeCell ref="B806:E806"/>
    <mergeCell ref="B809:E809"/>
    <mergeCell ref="B821:E821"/>
    <mergeCell ref="B807:E807"/>
    <mergeCell ref="B799:E799"/>
    <mergeCell ref="B800:E800"/>
    <mergeCell ref="B972:E972"/>
    <mergeCell ref="B973:E973"/>
    <mergeCell ref="B960:E960"/>
    <mergeCell ref="B961:E961"/>
    <mergeCell ref="B962:E962"/>
    <mergeCell ref="B963:E963"/>
    <mergeCell ref="B964:E964"/>
    <mergeCell ref="B965:E965"/>
    <mergeCell ref="F972:G972"/>
    <mergeCell ref="F973:G973"/>
    <mergeCell ref="F974:G974"/>
    <mergeCell ref="J974:M974"/>
    <mergeCell ref="F965:G965"/>
    <mergeCell ref="F966:G966"/>
    <mergeCell ref="F968:G968"/>
    <mergeCell ref="F969:L969"/>
    <mergeCell ref="F970:N970"/>
    <mergeCell ref="F960:G960"/>
    <mergeCell ref="F961:G961"/>
    <mergeCell ref="F962:G962"/>
    <mergeCell ref="F963:G963"/>
    <mergeCell ref="F964:G964"/>
    <mergeCell ref="F955:L955"/>
    <mergeCell ref="F956:G956"/>
    <mergeCell ref="F957:G957"/>
    <mergeCell ref="F958:L958"/>
    <mergeCell ref="F959:G959"/>
    <mergeCell ref="F948:G948"/>
    <mergeCell ref="F949:G949"/>
    <mergeCell ref="F951:G951"/>
    <mergeCell ref="F953:G953"/>
    <mergeCell ref="F954:G954"/>
    <mergeCell ref="A901:S901"/>
    <mergeCell ref="F897:G897"/>
    <mergeCell ref="F898:G898"/>
    <mergeCell ref="F899:G899"/>
    <mergeCell ref="J899:M899"/>
    <mergeCell ref="F900:G900"/>
    <mergeCell ref="J900:M900"/>
    <mergeCell ref="B954:E954"/>
    <mergeCell ref="B898:E898"/>
    <mergeCell ref="B899:E899"/>
    <mergeCell ref="B900:E900"/>
    <mergeCell ref="B948:E948"/>
    <mergeCell ref="F950:G950"/>
    <mergeCell ref="F952:G952"/>
    <mergeCell ref="F891:G891"/>
    <mergeCell ref="F893:G893"/>
    <mergeCell ref="F894:L894"/>
    <mergeCell ref="F895:N895"/>
    <mergeCell ref="F896:G896"/>
    <mergeCell ref="F886:G886"/>
    <mergeCell ref="F887:G887"/>
    <mergeCell ref="F888:G888"/>
    <mergeCell ref="F889:G889"/>
    <mergeCell ref="F890:G890"/>
    <mergeCell ref="F881:G881"/>
    <mergeCell ref="F882:G882"/>
    <mergeCell ref="F883:L883"/>
    <mergeCell ref="F884:G884"/>
    <mergeCell ref="F885:G885"/>
    <mergeCell ref="F874:G874"/>
    <mergeCell ref="F875:G875"/>
    <mergeCell ref="F876:G876"/>
    <mergeCell ref="F877:G877"/>
    <mergeCell ref="F880:L880"/>
    <mergeCell ref="F873:G873"/>
    <mergeCell ref="F749:G749"/>
    <mergeCell ref="J749:M749"/>
    <mergeCell ref="F750:G750"/>
    <mergeCell ref="J750:M750"/>
    <mergeCell ref="A826:S826"/>
    <mergeCell ref="A722:D722"/>
    <mergeCell ref="E722:K722"/>
    <mergeCell ref="A719:L719"/>
    <mergeCell ref="A720:L720"/>
    <mergeCell ref="A721:L721"/>
    <mergeCell ref="F744:L744"/>
    <mergeCell ref="F745:N745"/>
    <mergeCell ref="F746:G746"/>
    <mergeCell ref="F747:G747"/>
    <mergeCell ref="F748:G748"/>
    <mergeCell ref="F738:G738"/>
    <mergeCell ref="F739:G739"/>
    <mergeCell ref="F740:G740"/>
    <mergeCell ref="F741:G741"/>
    <mergeCell ref="F743:G743"/>
    <mergeCell ref="F733:L733"/>
    <mergeCell ref="F734:G734"/>
    <mergeCell ref="F735:G735"/>
    <mergeCell ref="F736:G736"/>
    <mergeCell ref="F737:G737"/>
    <mergeCell ref="F726:G726"/>
    <mergeCell ref="F729:G729"/>
    <mergeCell ref="F730:L730"/>
    <mergeCell ref="F731:G731"/>
    <mergeCell ref="F732:G732"/>
    <mergeCell ref="F723:G723"/>
    <mergeCell ref="J675:M675"/>
    <mergeCell ref="A676:S676"/>
    <mergeCell ref="B723:E723"/>
    <mergeCell ref="B692:E695"/>
    <mergeCell ref="F671:G671"/>
    <mergeCell ref="F672:G672"/>
    <mergeCell ref="F673:G673"/>
    <mergeCell ref="F674:G674"/>
    <mergeCell ref="J674:M674"/>
    <mergeCell ref="R680:R681"/>
    <mergeCell ref="S680:S681"/>
    <mergeCell ref="F658:L658"/>
    <mergeCell ref="F659:G659"/>
    <mergeCell ref="F648:G648"/>
    <mergeCell ref="F649:G649"/>
    <mergeCell ref="F650:G650"/>
    <mergeCell ref="F653:G653"/>
    <mergeCell ref="F654:G654"/>
    <mergeCell ref="B658:E658"/>
    <mergeCell ref="F665:G665"/>
    <mergeCell ref="F666:G666"/>
    <mergeCell ref="F668:G668"/>
    <mergeCell ref="F669:L669"/>
    <mergeCell ref="F670:N670"/>
    <mergeCell ref="F660:G660"/>
    <mergeCell ref="F661:G661"/>
    <mergeCell ref="F662:G662"/>
    <mergeCell ref="F663:G663"/>
    <mergeCell ref="F664:G664"/>
    <mergeCell ref="F597:G597"/>
    <mergeCell ref="F598:G598"/>
    <mergeCell ref="F599:G599"/>
    <mergeCell ref="J599:M599"/>
    <mergeCell ref="F600:G600"/>
    <mergeCell ref="J600:M600"/>
    <mergeCell ref="F591:G591"/>
    <mergeCell ref="F593:G593"/>
    <mergeCell ref="F594:L594"/>
    <mergeCell ref="F595:N595"/>
    <mergeCell ref="F596:G596"/>
    <mergeCell ref="F586:G586"/>
    <mergeCell ref="F587:G587"/>
    <mergeCell ref="F588:G588"/>
    <mergeCell ref="F589:G589"/>
    <mergeCell ref="F590:G590"/>
    <mergeCell ref="F581:G581"/>
    <mergeCell ref="F582:G582"/>
    <mergeCell ref="F583:L583"/>
    <mergeCell ref="F584:G584"/>
    <mergeCell ref="F585:G585"/>
    <mergeCell ref="F505:L505"/>
    <mergeCell ref="F506:G506"/>
    <mergeCell ref="F507:G507"/>
    <mergeCell ref="F498:G498"/>
    <mergeCell ref="F499:G499"/>
    <mergeCell ref="F500:G500"/>
    <mergeCell ref="F450:G450"/>
    <mergeCell ref="J450:M450"/>
    <mergeCell ref="A451:S451"/>
    <mergeCell ref="B444:E444"/>
    <mergeCell ref="B445:E445"/>
    <mergeCell ref="B449:E449"/>
    <mergeCell ref="B450:E450"/>
    <mergeCell ref="A570:L570"/>
    <mergeCell ref="A571:L571"/>
    <mergeCell ref="F524:G524"/>
    <mergeCell ref="J524:M524"/>
    <mergeCell ref="F525:G525"/>
    <mergeCell ref="J525:M525"/>
    <mergeCell ref="A526:S526"/>
    <mergeCell ref="R530:R531"/>
    <mergeCell ref="S530:S531"/>
    <mergeCell ref="N532:N533"/>
    <mergeCell ref="N534:N540"/>
    <mergeCell ref="F519:L519"/>
    <mergeCell ref="F520:N520"/>
    <mergeCell ref="F521:G521"/>
    <mergeCell ref="F522:G522"/>
    <mergeCell ref="F523:G523"/>
    <mergeCell ref="J449:M449"/>
    <mergeCell ref="F435:G435"/>
    <mergeCell ref="F436:G436"/>
    <mergeCell ref="F437:G437"/>
    <mergeCell ref="F438:G438"/>
    <mergeCell ref="F439:G439"/>
    <mergeCell ref="F446:G446"/>
    <mergeCell ref="F447:G447"/>
    <mergeCell ref="F448:G448"/>
    <mergeCell ref="F449:G449"/>
    <mergeCell ref="F430:L430"/>
    <mergeCell ref="F431:G431"/>
    <mergeCell ref="F432:G432"/>
    <mergeCell ref="F433:L433"/>
    <mergeCell ref="F434:G434"/>
    <mergeCell ref="F423:G423"/>
    <mergeCell ref="F424:G424"/>
    <mergeCell ref="F425:G425"/>
    <mergeCell ref="F428:G428"/>
    <mergeCell ref="F429:G429"/>
    <mergeCell ref="F440:G440"/>
    <mergeCell ref="F441:G441"/>
    <mergeCell ref="F443:G443"/>
    <mergeCell ref="F444:L444"/>
    <mergeCell ref="F445:N445"/>
    <mergeCell ref="F375:G375"/>
    <mergeCell ref="J375:M375"/>
    <mergeCell ref="B392:E395"/>
    <mergeCell ref="A422:D422"/>
    <mergeCell ref="E422:K422"/>
    <mergeCell ref="A419:L419"/>
    <mergeCell ref="A420:L420"/>
    <mergeCell ref="A421:L421"/>
    <mergeCell ref="F371:G371"/>
    <mergeCell ref="F356:G356"/>
    <mergeCell ref="F357:G357"/>
    <mergeCell ref="F358:L358"/>
    <mergeCell ref="F359:G359"/>
    <mergeCell ref="F360:G360"/>
    <mergeCell ref="F355:L355"/>
    <mergeCell ref="F348:G348"/>
    <mergeCell ref="F299:G299"/>
    <mergeCell ref="J299:M299"/>
    <mergeCell ref="F300:G300"/>
    <mergeCell ref="J300:M300"/>
    <mergeCell ref="A301:S301"/>
    <mergeCell ref="B355:E355"/>
    <mergeCell ref="B358:E358"/>
    <mergeCell ref="B316:E316"/>
    <mergeCell ref="B348:E348"/>
    <mergeCell ref="B356:E356"/>
    <mergeCell ref="B359:E359"/>
    <mergeCell ref="B371:E371"/>
    <mergeCell ref="B391:E391"/>
    <mergeCell ref="B365:E365"/>
    <mergeCell ref="B366:E366"/>
    <mergeCell ref="B367:E367"/>
    <mergeCell ref="F294:L294"/>
    <mergeCell ref="F295:N295"/>
    <mergeCell ref="F296:G296"/>
    <mergeCell ref="F297:G297"/>
    <mergeCell ref="F298:G298"/>
    <mergeCell ref="B294:E294"/>
    <mergeCell ref="B295:E295"/>
    <mergeCell ref="B299:E299"/>
    <mergeCell ref="B300:E300"/>
    <mergeCell ref="F288:G288"/>
    <mergeCell ref="F289:G289"/>
    <mergeCell ref="F290:G290"/>
    <mergeCell ref="F291:G291"/>
    <mergeCell ref="F293:G293"/>
    <mergeCell ref="F283:L283"/>
    <mergeCell ref="F284:G284"/>
    <mergeCell ref="F285:G285"/>
    <mergeCell ref="F286:G286"/>
    <mergeCell ref="F287:G287"/>
    <mergeCell ref="B284:E284"/>
    <mergeCell ref="B296:E296"/>
    <mergeCell ref="F278:G278"/>
    <mergeCell ref="F279:G279"/>
    <mergeCell ref="F280:L280"/>
    <mergeCell ref="F281:G281"/>
    <mergeCell ref="F282:G282"/>
    <mergeCell ref="F273:G273"/>
    <mergeCell ref="F274:G274"/>
    <mergeCell ref="F275:G275"/>
    <mergeCell ref="F225:G225"/>
    <mergeCell ref="J225:M225"/>
    <mergeCell ref="A226:S226"/>
    <mergeCell ref="A272:D272"/>
    <mergeCell ref="E272:K272"/>
    <mergeCell ref="A269:L269"/>
    <mergeCell ref="A270:L270"/>
    <mergeCell ref="A271:L271"/>
    <mergeCell ref="B225:E225"/>
    <mergeCell ref="B280:E280"/>
    <mergeCell ref="B241:E241"/>
    <mergeCell ref="B273:E273"/>
    <mergeCell ref="B281:E281"/>
    <mergeCell ref="F221:G221"/>
    <mergeCell ref="F222:G222"/>
    <mergeCell ref="F223:G223"/>
    <mergeCell ref="F224:G224"/>
    <mergeCell ref="J224:M224"/>
    <mergeCell ref="F215:G215"/>
    <mergeCell ref="F216:G216"/>
    <mergeCell ref="F218:G218"/>
    <mergeCell ref="F219:L219"/>
    <mergeCell ref="F220:N220"/>
    <mergeCell ref="F210:G210"/>
    <mergeCell ref="F211:G211"/>
    <mergeCell ref="F212:G212"/>
    <mergeCell ref="F213:G213"/>
    <mergeCell ref="F214:G214"/>
    <mergeCell ref="F205:L205"/>
    <mergeCell ref="F206:G206"/>
    <mergeCell ref="F207:G207"/>
    <mergeCell ref="F208:L208"/>
    <mergeCell ref="F209:G209"/>
    <mergeCell ref="F199:G199"/>
    <mergeCell ref="F200:G200"/>
    <mergeCell ref="F203:G203"/>
    <mergeCell ref="F204:G204"/>
    <mergeCell ref="A151:S151"/>
    <mergeCell ref="B177:E193"/>
    <mergeCell ref="B171:E176"/>
    <mergeCell ref="B167:E170"/>
    <mergeCell ref="A197:D197"/>
    <mergeCell ref="E197:K197"/>
    <mergeCell ref="A194:L194"/>
    <mergeCell ref="A195:L195"/>
    <mergeCell ref="A196:L196"/>
    <mergeCell ref="B166:E166"/>
    <mergeCell ref="B198:E198"/>
    <mergeCell ref="R5:R6"/>
    <mergeCell ref="F198:G198"/>
    <mergeCell ref="F71:G71"/>
    <mergeCell ref="F72:G72"/>
    <mergeCell ref="F73:G73"/>
    <mergeCell ref="F74:G74"/>
    <mergeCell ref="A76:S76"/>
    <mergeCell ref="J74:M74"/>
    <mergeCell ref="F75:G75"/>
    <mergeCell ref="J75:M75"/>
    <mergeCell ref="F131:G131"/>
    <mergeCell ref="F132:G132"/>
    <mergeCell ref="F125:G125"/>
    <mergeCell ref="F133:L133"/>
    <mergeCell ref="F134:G134"/>
    <mergeCell ref="F135:G135"/>
    <mergeCell ref="F136:G136"/>
    <mergeCell ref="B16:E16"/>
    <mergeCell ref="B48:E48"/>
    <mergeCell ref="B56:E56"/>
    <mergeCell ref="B59:E59"/>
    <mergeCell ref="B71:E71"/>
    <mergeCell ref="B91:E91"/>
    <mergeCell ref="B123:E123"/>
    <mergeCell ref="A1:S1"/>
    <mergeCell ref="F47:L47"/>
    <mergeCell ref="F70:N70"/>
    <mergeCell ref="F63:G63"/>
    <mergeCell ref="F49:G49"/>
    <mergeCell ref="F51:G51"/>
    <mergeCell ref="F54:G54"/>
    <mergeCell ref="F55:L55"/>
    <mergeCell ref="F56:G56"/>
    <mergeCell ref="F57:G57"/>
    <mergeCell ref="F58:L58"/>
    <mergeCell ref="F59:G59"/>
    <mergeCell ref="F60:G60"/>
    <mergeCell ref="F61:G61"/>
    <mergeCell ref="F62:G62"/>
    <mergeCell ref="F64:G64"/>
    <mergeCell ref="S5:S6"/>
    <mergeCell ref="F65:G65"/>
    <mergeCell ref="F66:G66"/>
    <mergeCell ref="F68:G68"/>
    <mergeCell ref="F69:L69"/>
    <mergeCell ref="O3:P3"/>
    <mergeCell ref="R3:R4"/>
    <mergeCell ref="S3:S4"/>
    <mergeCell ref="O78:P78"/>
    <mergeCell ref="R78:R79"/>
    <mergeCell ref="S78:S79"/>
    <mergeCell ref="R80:R81"/>
    <mergeCell ref="S80:S81"/>
    <mergeCell ref="F150:G150"/>
    <mergeCell ref="J150:M150"/>
    <mergeCell ref="F139:G139"/>
    <mergeCell ref="F140:G140"/>
    <mergeCell ref="F141:G141"/>
    <mergeCell ref="F143:G143"/>
    <mergeCell ref="F144:L144"/>
    <mergeCell ref="F145:N145"/>
    <mergeCell ref="F146:G146"/>
    <mergeCell ref="F147:G147"/>
    <mergeCell ref="F148:G148"/>
    <mergeCell ref="F149:G149"/>
    <mergeCell ref="J149:M149"/>
    <mergeCell ref="F138:G138"/>
    <mergeCell ref="F124:G124"/>
    <mergeCell ref="F128:G128"/>
    <mergeCell ref="F129:G129"/>
    <mergeCell ref="F130:L130"/>
    <mergeCell ref="A121:L121"/>
    <mergeCell ref="B146:E146"/>
    <mergeCell ref="B145:E145"/>
    <mergeCell ref="B102:E118"/>
    <mergeCell ref="B96:E101"/>
    <mergeCell ref="B92:E95"/>
    <mergeCell ref="A122:D122"/>
    <mergeCell ref="E122:K122"/>
    <mergeCell ref="A119:L119"/>
    <mergeCell ref="A120:L120"/>
    <mergeCell ref="B991:E991"/>
    <mergeCell ref="B992:E995"/>
    <mergeCell ref="B996:E1002"/>
    <mergeCell ref="B1003:E1003"/>
    <mergeCell ref="B1004:E1018"/>
    <mergeCell ref="A1019:L1019"/>
    <mergeCell ref="A1020:L1020"/>
    <mergeCell ref="A1021:L1021"/>
    <mergeCell ref="R980:R981"/>
    <mergeCell ref="S980:S981"/>
    <mergeCell ref="A1022:D1022"/>
    <mergeCell ref="E1022:K1022"/>
    <mergeCell ref="B1023:E1023"/>
    <mergeCell ref="F1023:G1023"/>
    <mergeCell ref="B1024:E1024"/>
    <mergeCell ref="F1024:G1024"/>
    <mergeCell ref="B1025:E1025"/>
    <mergeCell ref="F1025:G1025"/>
    <mergeCell ref="B1026:E1026"/>
    <mergeCell ref="F1026:G1026"/>
    <mergeCell ref="B1027:E1027"/>
    <mergeCell ref="F1027:G1027"/>
    <mergeCell ref="B1030:E1030"/>
    <mergeCell ref="F1030:L1030"/>
    <mergeCell ref="B1031:E1031"/>
    <mergeCell ref="F1031:G1031"/>
    <mergeCell ref="B1032:E1032"/>
    <mergeCell ref="F1032:G1032"/>
    <mergeCell ref="B1033:E1033"/>
    <mergeCell ref="F1033:L1033"/>
    <mergeCell ref="B1034:E1034"/>
    <mergeCell ref="F1034:G1034"/>
    <mergeCell ref="B1035:E1035"/>
    <mergeCell ref="F1035:G1035"/>
    <mergeCell ref="B1036:E1036"/>
    <mergeCell ref="F1036:G1036"/>
    <mergeCell ref="B1037:E1037"/>
    <mergeCell ref="F1037:G1037"/>
    <mergeCell ref="B1038:E1038"/>
    <mergeCell ref="F1038:G1038"/>
    <mergeCell ref="B1039:E1039"/>
    <mergeCell ref="F1039:G1039"/>
    <mergeCell ref="B1040:E1040"/>
    <mergeCell ref="F1040:G1040"/>
    <mergeCell ref="B1041:E1041"/>
    <mergeCell ref="F1041:G1041"/>
    <mergeCell ref="B1042:E1042"/>
    <mergeCell ref="B1043:E1043"/>
    <mergeCell ref="F1043:G1043"/>
    <mergeCell ref="B1044:E1044"/>
    <mergeCell ref="F1044:L1044"/>
    <mergeCell ref="B1045:E1045"/>
    <mergeCell ref="F1045:N1045"/>
    <mergeCell ref="B1046:E1046"/>
    <mergeCell ref="F1046:G1046"/>
    <mergeCell ref="B1047:E1047"/>
    <mergeCell ref="F1047:G1047"/>
    <mergeCell ref="B1048:E1048"/>
    <mergeCell ref="F1048:G1048"/>
    <mergeCell ref="B1049:E1049"/>
    <mergeCell ref="F1049:G1049"/>
    <mergeCell ref="J1049:M1049"/>
    <mergeCell ref="B1050:E1050"/>
    <mergeCell ref="F1050:G1050"/>
    <mergeCell ref="J1050:M1050"/>
    <mergeCell ref="A1051:S1051"/>
    <mergeCell ref="B1066:E1066"/>
    <mergeCell ref="B1067:E1070"/>
    <mergeCell ref="O1053:P1053"/>
    <mergeCell ref="R1053:R1054"/>
    <mergeCell ref="S1053:S1054"/>
    <mergeCell ref="R1055:R1056"/>
    <mergeCell ref="S1055:S1056"/>
    <mergeCell ref="B1071:E1079"/>
    <mergeCell ref="B1080:E1080"/>
    <mergeCell ref="B1081:E1093"/>
    <mergeCell ref="A1094:L1094"/>
    <mergeCell ref="A1095:L1095"/>
    <mergeCell ref="A1096:L1096"/>
    <mergeCell ref="A1097:D1097"/>
    <mergeCell ref="E1097:K1097"/>
    <mergeCell ref="B1098:E1098"/>
    <mergeCell ref="F1098:G1098"/>
    <mergeCell ref="B1099:E1099"/>
    <mergeCell ref="F1099:G1099"/>
    <mergeCell ref="B1100:E1100"/>
    <mergeCell ref="F1100:G1100"/>
    <mergeCell ref="B1101:E1101"/>
    <mergeCell ref="F1101:G1101"/>
    <mergeCell ref="B1102:E1102"/>
    <mergeCell ref="F1102:G1102"/>
    <mergeCell ref="B1103:E1103"/>
    <mergeCell ref="F1103:G1103"/>
    <mergeCell ref="B1104:E1104"/>
    <mergeCell ref="F1104:G1104"/>
    <mergeCell ref="B1105:E1105"/>
    <mergeCell ref="F1105:L1105"/>
    <mergeCell ref="B1106:E1106"/>
    <mergeCell ref="F1106:G1106"/>
    <mergeCell ref="B1107:E1107"/>
    <mergeCell ref="F1107:G1107"/>
    <mergeCell ref="B1108:E1108"/>
    <mergeCell ref="F1108:L1108"/>
    <mergeCell ref="B1109:E1109"/>
    <mergeCell ref="F1109:G1109"/>
    <mergeCell ref="B1110:E1110"/>
    <mergeCell ref="F1110:G1110"/>
    <mergeCell ref="B1111:E1111"/>
    <mergeCell ref="F1111:G1111"/>
    <mergeCell ref="B1112:E1112"/>
    <mergeCell ref="F1112:G1112"/>
    <mergeCell ref="B1113:E1113"/>
    <mergeCell ref="F1113:G1113"/>
    <mergeCell ref="B1114:E1114"/>
    <mergeCell ref="F1114:G1114"/>
    <mergeCell ref="B1115:E1115"/>
    <mergeCell ref="F1115:G1115"/>
    <mergeCell ref="B1116:E1116"/>
    <mergeCell ref="F1116:G1116"/>
    <mergeCell ref="B1117:E1117"/>
    <mergeCell ref="B1118:E1118"/>
    <mergeCell ref="F1118:G1118"/>
    <mergeCell ref="B1124:E1124"/>
    <mergeCell ref="F1124:G1124"/>
    <mergeCell ref="J1124:M1124"/>
    <mergeCell ref="B1125:E1125"/>
    <mergeCell ref="F1125:G1125"/>
    <mergeCell ref="J1125:M1125"/>
    <mergeCell ref="B1119:E1119"/>
    <mergeCell ref="F1119:L1119"/>
    <mergeCell ref="B1120:E1120"/>
    <mergeCell ref="F1120:N1120"/>
    <mergeCell ref="B1121:E1121"/>
    <mergeCell ref="F1121:G1121"/>
    <mergeCell ref="B1122:E1122"/>
    <mergeCell ref="F1122:G1122"/>
    <mergeCell ref="B1123:E1123"/>
    <mergeCell ref="F1123:G1123"/>
  </mergeCells>
  <phoneticPr fontId="5" type="noConversion"/>
  <pageMargins left="0.7" right="0.7" top="0.75" bottom="0.75" header="0.3" footer="0.3"/>
  <pageSetup paperSize="9" scale="61" orientation="portrait" r:id="rId1"/>
  <rowBreaks count="14" manualBreakCount="14">
    <brk id="75" max="18" man="1"/>
    <brk id="150" max="18" man="1"/>
    <brk id="225" max="18" man="1"/>
    <brk id="300" max="18" man="1"/>
    <brk id="375" max="18" man="1"/>
    <brk id="450" max="18" man="1"/>
    <brk id="525" max="18" man="1"/>
    <brk id="600" max="18" man="1"/>
    <brk id="675" max="18" man="1"/>
    <brk id="750" max="18" man="1"/>
    <brk id="825" max="18" man="1"/>
    <brk id="900" max="18" man="1"/>
    <brk id="975" max="18" man="1"/>
    <brk id="1050" max="18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18"/>
  <sheetViews>
    <sheetView view="pageBreakPreview" topLeftCell="A295" zoomScaleNormal="100" zoomScaleSheetLayoutView="100" workbookViewId="0">
      <selection activeCell="H323" sqref="H323"/>
    </sheetView>
  </sheetViews>
  <sheetFormatPr defaultColWidth="8.125" defaultRowHeight="13.5" x14ac:dyDescent="0.15"/>
  <cols>
    <col min="1" max="1" width="6.375" style="1" customWidth="1"/>
    <col min="2" max="2" width="4.375" style="1" customWidth="1"/>
    <col min="3" max="3" width="1.625" style="1" customWidth="1"/>
    <col min="4" max="4" width="2.375" style="1" customWidth="1"/>
    <col min="5" max="5" width="2.5" style="1" customWidth="1"/>
    <col min="6" max="6" width="11" style="1" customWidth="1"/>
    <col min="7" max="7" width="7" style="1" customWidth="1"/>
    <col min="8" max="9" width="10" style="1" customWidth="1"/>
    <col min="10" max="10" width="13.125" style="1" customWidth="1"/>
    <col min="11" max="11" width="6.375" style="1" customWidth="1"/>
    <col min="12" max="12" width="8.125" style="1" customWidth="1"/>
    <col min="13" max="13" width="7.875" style="1" customWidth="1"/>
    <col min="14" max="15" width="9.25" style="1" customWidth="1"/>
    <col min="16" max="16" width="6.625" style="1" customWidth="1"/>
    <col min="17" max="17" width="14.875" style="1" customWidth="1"/>
    <col min="18" max="18" width="7.75" style="1" customWidth="1"/>
    <col min="19" max="19" width="6.375" style="1" customWidth="1"/>
    <col min="20" max="20" width="3.625" style="374" customWidth="1"/>
    <col min="21" max="21" width="3" style="470" customWidth="1"/>
    <col min="22" max="22" width="8" style="259" customWidth="1"/>
    <col min="23" max="23" width="5.625" style="259" customWidth="1"/>
    <col min="24" max="24" width="7.75" style="259" customWidth="1"/>
    <col min="25" max="25" width="5.375" style="259" customWidth="1"/>
    <col min="26" max="26" width="7.625" style="260" customWidth="1"/>
    <col min="27" max="27" width="7.125" style="260" customWidth="1"/>
    <col min="28" max="28" width="7.875" style="260" customWidth="1"/>
    <col min="29" max="29" width="7" style="260" customWidth="1"/>
    <col min="30" max="30" width="8.125" style="260" customWidth="1"/>
    <col min="31" max="31" width="6.375" style="260" customWidth="1"/>
    <col min="32" max="32" width="7.875" style="260" customWidth="1"/>
    <col min="33" max="33" width="5.75" style="260" customWidth="1"/>
    <col min="34" max="16384" width="8.125" style="1"/>
  </cols>
  <sheetData>
    <row r="1" spans="1:33" ht="18.75" customHeight="1" x14ac:dyDescent="0.15">
      <c r="A1" s="549" t="s">
        <v>0</v>
      </c>
      <c r="B1" s="549"/>
      <c r="C1" s="549"/>
      <c r="D1" s="549"/>
      <c r="E1" s="549"/>
      <c r="F1" s="549"/>
      <c r="G1" s="549"/>
      <c r="H1" s="549"/>
      <c r="I1" s="549"/>
      <c r="J1" s="549"/>
      <c r="K1" s="549"/>
      <c r="L1" s="550"/>
      <c r="M1" s="549"/>
      <c r="N1" s="549"/>
      <c r="O1" s="549"/>
      <c r="P1" s="549"/>
      <c r="Q1" s="549"/>
      <c r="R1" s="551"/>
      <c r="S1" s="551"/>
      <c r="T1" s="474"/>
    </row>
    <row r="2" spans="1:33" ht="15" customHeight="1" x14ac:dyDescent="0.15">
      <c r="A2" s="2" t="s">
        <v>1</v>
      </c>
      <c r="B2" s="339" t="s">
        <v>1459</v>
      </c>
      <c r="C2" s="3">
        <v>1</v>
      </c>
      <c r="D2" s="340"/>
      <c r="E2" s="340"/>
      <c r="F2" s="4" t="s">
        <v>2</v>
      </c>
      <c r="G2" s="5">
        <v>50</v>
      </c>
      <c r="H2" s="106" t="s">
        <v>86</v>
      </c>
      <c r="I2" s="106"/>
      <c r="J2" s="4" t="s">
        <v>3</v>
      </c>
      <c r="K2" s="6">
        <f>L5</f>
        <v>900</v>
      </c>
      <c r="L2" s="7" t="s">
        <v>83</v>
      </c>
      <c r="M2" s="6">
        <f>L4</f>
        <v>2400</v>
      </c>
      <c r="N2" s="8" t="s">
        <v>4</v>
      </c>
      <c r="O2" s="9">
        <f>M14</f>
        <v>2.16</v>
      </c>
      <c r="P2" s="10"/>
      <c r="Q2" s="10"/>
      <c r="R2" s="10" t="s">
        <v>5</v>
      </c>
      <c r="S2" s="11"/>
      <c r="T2" s="475"/>
    </row>
    <row r="3" spans="1:33" ht="15" customHeight="1" x14ac:dyDescent="0.2">
      <c r="A3" s="12"/>
      <c r="B3" s="252"/>
      <c r="C3" s="252"/>
      <c r="D3" s="252"/>
      <c r="E3" s="252"/>
      <c r="F3" s="14"/>
      <c r="G3" s="14" t="s">
        <v>851</v>
      </c>
      <c r="H3" s="15"/>
      <c r="I3" s="15"/>
      <c r="J3" s="16"/>
      <c r="K3" s="16" t="s">
        <v>6</v>
      </c>
      <c r="L3" s="17" t="s">
        <v>7</v>
      </c>
      <c r="M3" s="16" t="s">
        <v>8</v>
      </c>
      <c r="N3" s="18"/>
      <c r="O3" s="548" t="s">
        <v>940</v>
      </c>
      <c r="P3" s="548"/>
      <c r="Q3" s="16" t="s">
        <v>1018</v>
      </c>
      <c r="R3" s="529" t="s">
        <v>1187</v>
      </c>
      <c r="S3" s="530" t="s">
        <v>1592</v>
      </c>
      <c r="T3" s="476"/>
    </row>
    <row r="4" spans="1:33" ht="15" customHeight="1" x14ac:dyDescent="0.2">
      <c r="A4" s="398" t="s">
        <v>918</v>
      </c>
      <c r="B4" s="406" t="s">
        <v>964</v>
      </c>
      <c r="C4" s="358"/>
      <c r="D4" s="358"/>
      <c r="E4" s="358"/>
      <c r="F4" s="23"/>
      <c r="G4" s="23"/>
      <c r="H4" s="107"/>
      <c r="I4" s="107"/>
      <c r="J4" s="24" t="s">
        <v>9</v>
      </c>
      <c r="K4" s="16" t="s">
        <v>10</v>
      </c>
      <c r="L4" s="25">
        <v>2400</v>
      </c>
      <c r="M4" s="113">
        <f>L4-M13*2</f>
        <v>2300</v>
      </c>
      <c r="N4" s="18"/>
      <c r="O4" s="356" t="s">
        <v>941</v>
      </c>
      <c r="P4" s="357"/>
      <c r="Q4" s="16" t="s">
        <v>1019</v>
      </c>
      <c r="R4" s="529"/>
      <c r="S4" s="530"/>
      <c r="T4" s="476"/>
    </row>
    <row r="5" spans="1:33" ht="15" customHeight="1" x14ac:dyDescent="0.2">
      <c r="A5" s="21"/>
      <c r="B5" s="22"/>
      <c r="C5" s="22"/>
      <c r="D5" s="22"/>
      <c r="E5" s="22"/>
      <c r="F5" s="23"/>
      <c r="G5" s="23"/>
      <c r="H5" s="18"/>
      <c r="I5" s="18"/>
      <c r="J5" s="24" t="s">
        <v>11</v>
      </c>
      <c r="K5" s="16" t="s">
        <v>10</v>
      </c>
      <c r="L5" s="25">
        <v>900</v>
      </c>
      <c r="M5" s="113">
        <f>L5-M13*2</f>
        <v>800</v>
      </c>
      <c r="N5" s="18"/>
      <c r="O5" s="356" t="s">
        <v>924</v>
      </c>
      <c r="P5" s="357"/>
      <c r="Q5" s="16" t="s">
        <v>1020</v>
      </c>
      <c r="R5" s="529" t="s">
        <v>1188</v>
      </c>
      <c r="S5" s="530" t="s">
        <v>1086</v>
      </c>
      <c r="T5" s="476"/>
    </row>
    <row r="6" spans="1:33" ht="15" customHeight="1" x14ac:dyDescent="0.2">
      <c r="A6" s="21"/>
      <c r="B6" s="22"/>
      <c r="C6" s="22"/>
      <c r="D6" s="22"/>
      <c r="E6" s="22"/>
      <c r="F6" s="23"/>
      <c r="G6" s="23"/>
      <c r="H6" s="18"/>
      <c r="I6" s="18"/>
      <c r="J6" s="24" t="s">
        <v>12</v>
      </c>
      <c r="K6" s="16" t="s">
        <v>10</v>
      </c>
      <c r="L6" s="26"/>
      <c r="M6" s="113">
        <f>M4</f>
        <v>2300</v>
      </c>
      <c r="N6" s="18"/>
      <c r="O6" s="356" t="s">
        <v>925</v>
      </c>
      <c r="P6" s="357"/>
      <c r="Q6" s="16" t="s">
        <v>1021</v>
      </c>
      <c r="R6" s="529"/>
      <c r="S6" s="530"/>
      <c r="T6" s="476"/>
    </row>
    <row r="7" spans="1:33" ht="15" customHeight="1" x14ac:dyDescent="0.2">
      <c r="A7" s="21"/>
      <c r="B7" s="22"/>
      <c r="C7" s="22"/>
      <c r="D7" s="22"/>
      <c r="E7" s="22"/>
      <c r="F7" s="23"/>
      <c r="G7" s="23"/>
      <c r="H7" s="18"/>
      <c r="I7" s="18"/>
      <c r="J7" s="24" t="s">
        <v>13</v>
      </c>
      <c r="K7" s="16" t="s">
        <v>10</v>
      </c>
      <c r="L7" s="26"/>
      <c r="M7" s="113"/>
      <c r="N7" s="18"/>
      <c r="O7" s="356" t="s">
        <v>926</v>
      </c>
      <c r="P7" s="357"/>
      <c r="Q7" s="16" t="s">
        <v>1022</v>
      </c>
      <c r="R7" s="27"/>
      <c r="S7" s="28"/>
      <c r="T7" s="476"/>
    </row>
    <row r="8" spans="1:33" ht="15" customHeight="1" x14ac:dyDescent="0.2">
      <c r="A8" s="21"/>
      <c r="B8" s="22"/>
      <c r="C8" s="22"/>
      <c r="D8" s="22"/>
      <c r="E8" s="22"/>
      <c r="F8" s="23"/>
      <c r="G8" s="23"/>
      <c r="H8" s="18"/>
      <c r="I8" s="18"/>
      <c r="J8" s="24" t="s">
        <v>14</v>
      </c>
      <c r="K8" s="16" t="s">
        <v>10</v>
      </c>
      <c r="L8" s="26"/>
      <c r="M8" s="113"/>
      <c r="N8" s="18"/>
      <c r="O8" s="356" t="s">
        <v>927</v>
      </c>
      <c r="P8" s="357"/>
      <c r="Q8" s="16" t="s">
        <v>1023</v>
      </c>
      <c r="R8" s="27"/>
      <c r="S8" s="28"/>
      <c r="T8" s="476"/>
    </row>
    <row r="9" spans="1:33" ht="15" customHeight="1" x14ac:dyDescent="0.2">
      <c r="A9" s="21"/>
      <c r="B9" s="22"/>
      <c r="C9" s="22"/>
      <c r="D9" s="22"/>
      <c r="E9" s="22"/>
      <c r="F9" s="23"/>
      <c r="G9" s="23"/>
      <c r="H9" s="18"/>
      <c r="I9" s="18"/>
      <c r="J9" s="24" t="s">
        <v>15</v>
      </c>
      <c r="K9" s="16" t="s">
        <v>10</v>
      </c>
      <c r="L9" s="26"/>
      <c r="M9" s="113">
        <f>M5</f>
        <v>800</v>
      </c>
      <c r="N9" s="18"/>
      <c r="O9" s="356" t="s">
        <v>928</v>
      </c>
      <c r="P9" s="357"/>
      <c r="Q9" s="16" t="s">
        <v>1005</v>
      </c>
      <c r="R9" s="27"/>
      <c r="S9" s="28"/>
      <c r="T9" s="476"/>
    </row>
    <row r="10" spans="1:33" ht="15" customHeight="1" x14ac:dyDescent="0.2">
      <c r="A10" s="21"/>
      <c r="B10" s="22"/>
      <c r="C10" s="22"/>
      <c r="D10" s="22"/>
      <c r="E10" s="22"/>
      <c r="F10" s="23"/>
      <c r="G10" s="23"/>
      <c r="H10" s="18"/>
      <c r="I10" s="18"/>
      <c r="J10" s="24" t="s">
        <v>16</v>
      </c>
      <c r="K10" s="16" t="s">
        <v>10</v>
      </c>
      <c r="L10" s="26"/>
      <c r="M10" s="113"/>
      <c r="N10" s="18"/>
      <c r="O10" s="356" t="s">
        <v>929</v>
      </c>
      <c r="P10" s="357"/>
      <c r="Q10" s="16" t="s">
        <v>1024</v>
      </c>
      <c r="R10" s="27"/>
      <c r="S10" s="28"/>
      <c r="T10" s="476"/>
    </row>
    <row r="11" spans="1:33" ht="15" customHeight="1" x14ac:dyDescent="0.2">
      <c r="A11" s="21"/>
      <c r="B11" s="22"/>
      <c r="C11" s="22"/>
      <c r="D11" s="22"/>
      <c r="E11" s="22"/>
      <c r="F11" s="23"/>
      <c r="G11" s="23"/>
      <c r="H11" s="18"/>
      <c r="I11" s="18"/>
      <c r="J11" s="24" t="s">
        <v>17</v>
      </c>
      <c r="K11" s="16" t="s">
        <v>10</v>
      </c>
      <c r="L11" s="26"/>
      <c r="M11" s="113"/>
      <c r="N11" s="18"/>
      <c r="O11" s="356" t="s">
        <v>930</v>
      </c>
      <c r="P11" s="357"/>
      <c r="Q11" s="16" t="s">
        <v>931</v>
      </c>
      <c r="R11" s="27"/>
      <c r="S11" s="28"/>
      <c r="T11" s="476"/>
    </row>
    <row r="12" spans="1:33" ht="15" customHeight="1" x14ac:dyDescent="0.2">
      <c r="A12" s="21"/>
      <c r="B12" s="22"/>
      <c r="C12" s="22"/>
      <c r="D12" s="22"/>
      <c r="E12" s="22"/>
      <c r="F12" s="23"/>
      <c r="G12" s="23"/>
      <c r="H12" s="18"/>
      <c r="I12" s="18"/>
      <c r="J12" s="24" t="s">
        <v>18</v>
      </c>
      <c r="K12" s="16" t="s">
        <v>10</v>
      </c>
      <c r="L12" s="26"/>
      <c r="M12" s="113"/>
      <c r="N12" s="18"/>
      <c r="O12" s="356" t="s">
        <v>932</v>
      </c>
      <c r="P12" s="357"/>
      <c r="Q12" s="16" t="s">
        <v>933</v>
      </c>
      <c r="R12" s="27"/>
      <c r="S12" s="28"/>
      <c r="T12" s="476"/>
    </row>
    <row r="13" spans="1:33" ht="15" customHeight="1" x14ac:dyDescent="0.2">
      <c r="A13" s="21"/>
      <c r="B13" s="22"/>
      <c r="C13" s="22"/>
      <c r="D13" s="22"/>
      <c r="E13" s="22"/>
      <c r="F13" s="23"/>
      <c r="G13" s="23"/>
      <c r="H13" s="18"/>
      <c r="I13" s="18"/>
      <c r="J13" s="24" t="s">
        <v>19</v>
      </c>
      <c r="K13" s="16" t="s">
        <v>10</v>
      </c>
      <c r="L13" s="26"/>
      <c r="M13" s="25">
        <v>50</v>
      </c>
      <c r="N13" s="18"/>
      <c r="O13" s="356" t="s">
        <v>934</v>
      </c>
      <c r="P13" s="357"/>
      <c r="Q13" s="16" t="s">
        <v>935</v>
      </c>
      <c r="R13" s="27"/>
      <c r="S13" s="28"/>
      <c r="T13" s="476"/>
    </row>
    <row r="14" spans="1:33" ht="15" customHeight="1" x14ac:dyDescent="0.2">
      <c r="A14" s="21"/>
      <c r="B14" s="22"/>
      <c r="C14" s="22"/>
      <c r="D14" s="22"/>
      <c r="E14" s="22"/>
      <c r="F14" s="23"/>
      <c r="G14" s="23"/>
      <c r="H14" s="18"/>
      <c r="I14" s="18"/>
      <c r="J14" s="29" t="s">
        <v>20</v>
      </c>
      <c r="K14" s="16" t="s">
        <v>21</v>
      </c>
      <c r="L14" s="30"/>
      <c r="M14" s="31">
        <f>L4*L5/1000000</f>
        <v>2.16</v>
      </c>
      <c r="N14" s="18"/>
      <c r="O14" s="356" t="s">
        <v>936</v>
      </c>
      <c r="P14" s="357"/>
      <c r="Q14" s="16" t="s">
        <v>937</v>
      </c>
      <c r="R14" s="27"/>
      <c r="S14" s="28"/>
      <c r="T14" s="476"/>
    </row>
    <row r="15" spans="1:33" ht="15" customHeight="1" x14ac:dyDescent="0.2">
      <c r="A15" s="32"/>
      <c r="B15" s="33"/>
      <c r="C15" s="33"/>
      <c r="D15" s="33"/>
      <c r="E15" s="33"/>
      <c r="F15" s="34"/>
      <c r="G15" s="34"/>
      <c r="H15" s="35"/>
      <c r="I15" s="35"/>
      <c r="J15" s="29" t="s">
        <v>22</v>
      </c>
      <c r="K15" s="16" t="s">
        <v>23</v>
      </c>
      <c r="L15" s="30"/>
      <c r="M15" s="36">
        <f>(L5+L4)*2/1000</f>
        <v>6.6</v>
      </c>
      <c r="N15" s="35"/>
      <c r="O15" s="356" t="s">
        <v>938</v>
      </c>
      <c r="P15" s="357"/>
      <c r="Q15" s="16" t="s">
        <v>939</v>
      </c>
      <c r="R15" s="37"/>
      <c r="S15" s="38"/>
      <c r="T15" s="476"/>
    </row>
    <row r="16" spans="1:33" ht="48.75" customHeight="1" x14ac:dyDescent="0.15">
      <c r="A16" s="39" t="s">
        <v>24</v>
      </c>
      <c r="B16" s="560" t="s">
        <v>25</v>
      </c>
      <c r="C16" s="561"/>
      <c r="D16" s="561"/>
      <c r="E16" s="562"/>
      <c r="F16" s="40" t="s">
        <v>26</v>
      </c>
      <c r="G16" s="40" t="s">
        <v>27</v>
      </c>
      <c r="H16" s="40" t="s">
        <v>28</v>
      </c>
      <c r="I16" s="40" t="s">
        <v>1334</v>
      </c>
      <c r="J16" s="40" t="s">
        <v>29</v>
      </c>
      <c r="K16" s="40" t="s">
        <v>30</v>
      </c>
      <c r="L16" s="41" t="s">
        <v>31</v>
      </c>
      <c r="M16" s="40" t="s">
        <v>32</v>
      </c>
      <c r="N16" s="40" t="s">
        <v>33</v>
      </c>
      <c r="O16" s="40" t="s">
        <v>34</v>
      </c>
      <c r="P16" s="42" t="s">
        <v>35</v>
      </c>
      <c r="Q16" s="359" t="s">
        <v>962</v>
      </c>
      <c r="R16" s="43" t="s">
        <v>36</v>
      </c>
      <c r="S16" s="43" t="s">
        <v>37</v>
      </c>
      <c r="T16" s="477"/>
      <c r="V16" s="261" t="s">
        <v>128</v>
      </c>
      <c r="W16" s="261"/>
      <c r="X16" s="262" t="s">
        <v>359</v>
      </c>
      <c r="Y16" s="263"/>
      <c r="Z16" s="262" t="s">
        <v>355</v>
      </c>
      <c r="AA16" s="263"/>
      <c r="AB16" s="262" t="s">
        <v>360</v>
      </c>
      <c r="AC16" s="263"/>
      <c r="AD16" s="262" t="s">
        <v>127</v>
      </c>
      <c r="AE16" s="263"/>
      <c r="AF16" s="262" t="s">
        <v>856</v>
      </c>
      <c r="AG16" s="287"/>
    </row>
    <row r="17" spans="1:33" x14ac:dyDescent="0.15">
      <c r="A17" s="220">
        <v>1</v>
      </c>
      <c r="B17" s="531" t="s">
        <v>38</v>
      </c>
      <c r="C17" s="532"/>
      <c r="D17" s="532"/>
      <c r="E17" s="533"/>
      <c r="F17" s="47" t="str">
        <f>VLOOKUP($H:$H,型材表!$B$5:$I$448,2,0)</f>
        <v>门框</v>
      </c>
      <c r="G17" s="45" t="s">
        <v>39</v>
      </c>
      <c r="H17" s="45" t="str">
        <f>IF(G2=55,"SW55MK001",IF(G2=551,"SW55BMK001",IF(G2=60,"SW60MK001",IF(G2=601,"SW60AMK001",IF(G2=65,"SW65AMK001",IF(G2=50,"SW50MK001"))))))</f>
        <v>SW50MK001</v>
      </c>
      <c r="I17" s="207" t="s">
        <v>1337</v>
      </c>
      <c r="J17" s="46">
        <f>M4</f>
        <v>2300</v>
      </c>
      <c r="K17" s="45">
        <v>2</v>
      </c>
      <c r="L17" s="47">
        <f>VLOOKUP($H:$H,型材表!$B$5:$I$448,4,0)</f>
        <v>1.0349999999999999</v>
      </c>
      <c r="M17" s="46">
        <f>J17*K17*L17/1000</f>
        <v>4.7610000000000001</v>
      </c>
      <c r="N17" s="72">
        <f>VLOOKUP($H:$H,型材表!$B$5:$I$448,7,0)</f>
        <v>0</v>
      </c>
      <c r="O17" s="46">
        <f>N17*M17</f>
        <v>0</v>
      </c>
      <c r="P17" s="100">
        <f>VLOOKUP($H:$H,型材表!$B$5:$I$448,5,0)</f>
        <v>0.125</v>
      </c>
      <c r="Q17" s="100" t="str">
        <f>VLOOKUP($H:$H,型材表!$B$5:$I$448,6,0)</f>
        <v>非断桥隔热铝型材</v>
      </c>
      <c r="R17" s="49"/>
      <c r="S17" s="50"/>
      <c r="T17" s="478"/>
      <c r="X17" s="264"/>
      <c r="Y17" s="265"/>
      <c r="Z17" s="264"/>
      <c r="AA17" s="265"/>
      <c r="AB17" s="264"/>
      <c r="AC17" s="265"/>
      <c r="AD17" s="264"/>
      <c r="AE17" s="265"/>
      <c r="AF17" s="264"/>
      <c r="AG17" s="288"/>
    </row>
    <row r="18" spans="1:33" x14ac:dyDescent="0.15">
      <c r="A18" s="220">
        <v>2</v>
      </c>
      <c r="B18" s="534"/>
      <c r="C18" s="535"/>
      <c r="D18" s="535"/>
      <c r="E18" s="536"/>
      <c r="F18" s="47" t="str">
        <f>VLOOKUP($H:$H,型材表!$B$5:$I$448,2,0)</f>
        <v>门框</v>
      </c>
      <c r="G18" s="45" t="s">
        <v>40</v>
      </c>
      <c r="H18" s="45" t="str">
        <f>H17</f>
        <v>SW50MK001</v>
      </c>
      <c r="I18" s="207" t="s">
        <v>1338</v>
      </c>
      <c r="J18" s="46">
        <f>M5</f>
        <v>800</v>
      </c>
      <c r="K18" s="45">
        <v>2</v>
      </c>
      <c r="L18" s="47">
        <f>VLOOKUP($H:$H,型材表!$B$5:$I$448,4,0)</f>
        <v>1.0349999999999999</v>
      </c>
      <c r="M18" s="46">
        <f t="shared" ref="M18" si="0">J18*K18*L18/1000</f>
        <v>1.6559999999999997</v>
      </c>
      <c r="N18" s="72">
        <f>VLOOKUP($H:$H,型材表!$B$5:$I$448,7,0)</f>
        <v>0</v>
      </c>
      <c r="O18" s="46">
        <f t="shared" ref="O18" si="1">N18*M18</f>
        <v>0</v>
      </c>
      <c r="P18" s="100">
        <f>VLOOKUP($H:$H,型材表!$B$5:$I$448,5,0)</f>
        <v>0.125</v>
      </c>
      <c r="Q18" s="100" t="str">
        <f>VLOOKUP($H:$H,型材表!$B$5:$I$448,6,0)</f>
        <v>非断桥隔热铝型材</v>
      </c>
      <c r="R18" s="49"/>
      <c r="S18" s="50"/>
      <c r="T18" s="478"/>
      <c r="X18" s="264"/>
      <c r="Y18" s="265"/>
      <c r="Z18" s="264"/>
      <c r="AA18" s="265"/>
      <c r="AB18" s="264"/>
      <c r="AC18" s="265"/>
      <c r="AD18" s="264"/>
      <c r="AE18" s="265"/>
      <c r="AF18" s="264"/>
      <c r="AG18" s="288"/>
    </row>
    <row r="19" spans="1:33" x14ac:dyDescent="0.15">
      <c r="A19" s="220">
        <v>3</v>
      </c>
      <c r="B19" s="534"/>
      <c r="C19" s="535"/>
      <c r="D19" s="535"/>
      <c r="E19" s="536"/>
      <c r="F19" s="47"/>
      <c r="G19" s="45"/>
      <c r="H19" s="207"/>
      <c r="I19" s="207"/>
      <c r="J19" s="46"/>
      <c r="K19" s="45"/>
      <c r="L19" s="47"/>
      <c r="M19" s="46"/>
      <c r="N19" s="72"/>
      <c r="O19" s="46"/>
      <c r="P19" s="100"/>
      <c r="Q19" s="100"/>
      <c r="R19" s="210"/>
      <c r="S19" s="50"/>
      <c r="T19" s="478"/>
      <c r="X19" s="264"/>
      <c r="Y19" s="265"/>
      <c r="Z19" s="264"/>
      <c r="AA19" s="265"/>
      <c r="AB19" s="264"/>
      <c r="AC19" s="265"/>
      <c r="AD19" s="264"/>
      <c r="AE19" s="265"/>
      <c r="AF19" s="264"/>
      <c r="AG19" s="288"/>
    </row>
    <row r="20" spans="1:33" s="229" customFormat="1" x14ac:dyDescent="0.15">
      <c r="A20" s="220">
        <v>4</v>
      </c>
      <c r="B20" s="537"/>
      <c r="C20" s="538"/>
      <c r="D20" s="538"/>
      <c r="E20" s="539"/>
      <c r="F20" s="221"/>
      <c r="G20" s="222"/>
      <c r="H20" s="222"/>
      <c r="I20" s="222"/>
      <c r="J20" s="223"/>
      <c r="K20" s="222"/>
      <c r="L20" s="221"/>
      <c r="M20" s="224"/>
      <c r="N20" s="225"/>
      <c r="O20" s="224"/>
      <c r="P20" s="226"/>
      <c r="Q20" s="100"/>
      <c r="R20" s="227"/>
      <c r="S20" s="228"/>
      <c r="T20" s="479"/>
      <c r="U20" s="471"/>
      <c r="V20" s="266"/>
      <c r="W20" s="266"/>
      <c r="X20" s="267"/>
      <c r="Y20" s="268"/>
      <c r="Z20" s="267"/>
      <c r="AA20" s="268"/>
      <c r="AB20" s="267"/>
      <c r="AC20" s="268"/>
      <c r="AD20" s="267"/>
      <c r="AE20" s="268"/>
      <c r="AF20" s="267"/>
      <c r="AG20" s="289"/>
    </row>
    <row r="21" spans="1:33" x14ac:dyDescent="0.15">
      <c r="A21" s="220">
        <v>5</v>
      </c>
      <c r="B21" s="531" t="s">
        <v>41</v>
      </c>
      <c r="C21" s="532"/>
      <c r="D21" s="532"/>
      <c r="E21" s="533"/>
      <c r="F21" s="47" t="str">
        <f>VLOOKUP($H:$H,型材表!$B$5:$I$448,2,0)</f>
        <v>门扇</v>
      </c>
      <c r="G21" s="45" t="s">
        <v>39</v>
      </c>
      <c r="H21" s="45" t="str">
        <f>IF(G2=55,"SW55MS001",IF(G2=551,"SW55BMS001",IF(G2=60,"SW60MS001",IF(G2=601,"SW60AMS001",IF(G2=65,"SW65AMS001",IF(G2=50,"SW50MS001"))))))</f>
        <v>SW50MS001</v>
      </c>
      <c r="I21" s="207" t="s">
        <v>1339</v>
      </c>
      <c r="J21" s="46">
        <f>IF(G2=55,M6-V21,IF(G2=551,M6-X21,IF(G2=60,M6-Z21,IF(G2=601,M6-AB21,IF(G2=65,M6-AD21,IF(G2=50,M6-AF21))))))</f>
        <v>2246.8000000000002</v>
      </c>
      <c r="K21" s="45">
        <v>2</v>
      </c>
      <c r="L21" s="47">
        <f>VLOOKUP($H:$H,型材表!$B$5:$I$448,4,0)</f>
        <v>1.409</v>
      </c>
      <c r="M21" s="46">
        <f t="shared" ref="M21:M22" si="2">J21*K21*L21/1000</f>
        <v>6.3314824000000005</v>
      </c>
      <c r="N21" s="72">
        <f>VLOOKUP($H:$H,型材表!$B$5:$I$448,7,0)</f>
        <v>0</v>
      </c>
      <c r="O21" s="46">
        <f t="shared" ref="O21:O22" si="3">N21*M21</f>
        <v>0</v>
      </c>
      <c r="P21" s="100">
        <f>VLOOKUP($H:$H,型材表!$B$5:$I$448,5,0)</f>
        <v>0.125</v>
      </c>
      <c r="Q21" s="100" t="str">
        <f>VLOOKUP($H:$H,型材表!$B$5:$I$448,6,0)</f>
        <v>非断桥隔热铝型材</v>
      </c>
      <c r="R21" s="49"/>
      <c r="S21" s="50"/>
      <c r="T21" s="478"/>
      <c r="U21" s="470" t="s">
        <v>1341</v>
      </c>
      <c r="V21" s="259">
        <f>31*2</f>
        <v>62</v>
      </c>
      <c r="X21" s="286">
        <f>31*2</f>
        <v>62</v>
      </c>
      <c r="Y21" s="265"/>
      <c r="Z21" s="264">
        <f>31*2</f>
        <v>62</v>
      </c>
      <c r="AA21" s="265"/>
      <c r="AB21" s="264">
        <f>31*2</f>
        <v>62</v>
      </c>
      <c r="AC21" s="265"/>
      <c r="AD21" s="264">
        <f>31*2</f>
        <v>62</v>
      </c>
      <c r="AE21" s="265"/>
      <c r="AF21" s="264">
        <f>26.6*2</f>
        <v>53.2</v>
      </c>
      <c r="AG21" s="288"/>
    </row>
    <row r="22" spans="1:33" x14ac:dyDescent="0.15">
      <c r="A22" s="220">
        <v>6</v>
      </c>
      <c r="B22" s="534"/>
      <c r="C22" s="535"/>
      <c r="D22" s="535"/>
      <c r="E22" s="536"/>
      <c r="F22" s="47" t="str">
        <f>VLOOKUP($H:$H,型材表!$B$5:$I$448,2,0)</f>
        <v>门扇</v>
      </c>
      <c r="G22" s="45" t="s">
        <v>40</v>
      </c>
      <c r="H22" s="207" t="str">
        <f>H21</f>
        <v>SW50MS001</v>
      </c>
      <c r="I22" s="207" t="s">
        <v>1340</v>
      </c>
      <c r="J22" s="208">
        <f>IF(G2=55,M9-V22,IF(G2=551,M9-X22,IF(G2=60,M9-Z22,IF(G2=601,M9-AB22,IF(G2=65,M9-AD22,IF(G2=50,M9-AF22))))))</f>
        <v>746.8</v>
      </c>
      <c r="K22" s="207">
        <v>2</v>
      </c>
      <c r="L22" s="47">
        <f>VLOOKUP($H:$H,型材表!$B$5:$I$448,4,0)</f>
        <v>1.409</v>
      </c>
      <c r="M22" s="46">
        <f t="shared" si="2"/>
        <v>2.1044823999999998</v>
      </c>
      <c r="N22" s="72">
        <f>VLOOKUP($H:$H,型材表!$B$5:$I$448,7,0)</f>
        <v>0</v>
      </c>
      <c r="O22" s="46">
        <f t="shared" si="3"/>
        <v>0</v>
      </c>
      <c r="P22" s="100">
        <f>VLOOKUP($H:$H,型材表!$B$5:$I$448,5,0)</f>
        <v>0.125</v>
      </c>
      <c r="Q22" s="100" t="str">
        <f>VLOOKUP($H:$H,型材表!$B$5:$I$448,6,0)</f>
        <v>非断桥隔热铝型材</v>
      </c>
      <c r="R22" s="210"/>
      <c r="S22" s="50"/>
      <c r="T22" s="478"/>
      <c r="U22" s="470" t="s">
        <v>1342</v>
      </c>
      <c r="V22" s="259">
        <f>31*2</f>
        <v>62</v>
      </c>
      <c r="X22" s="286">
        <f>31*2</f>
        <v>62</v>
      </c>
      <c r="Y22" s="265"/>
      <c r="Z22" s="264">
        <f>31*2</f>
        <v>62</v>
      </c>
      <c r="AA22" s="265"/>
      <c r="AB22" s="264">
        <f>31*2</f>
        <v>62</v>
      </c>
      <c r="AC22" s="265"/>
      <c r="AD22" s="264">
        <f>31*2</f>
        <v>62</v>
      </c>
      <c r="AE22" s="265"/>
      <c r="AF22" s="264">
        <f>26.6*2</f>
        <v>53.2</v>
      </c>
      <c r="AG22" s="288"/>
    </row>
    <row r="23" spans="1:33" x14ac:dyDescent="0.15">
      <c r="A23" s="220">
        <v>7</v>
      </c>
      <c r="B23" s="534"/>
      <c r="C23" s="535"/>
      <c r="D23" s="535"/>
      <c r="E23" s="536"/>
      <c r="F23" s="47"/>
      <c r="G23" s="45"/>
      <c r="H23" s="45"/>
      <c r="I23" s="207"/>
      <c r="J23" s="46"/>
      <c r="K23" s="45"/>
      <c r="L23" s="47"/>
      <c r="M23" s="46"/>
      <c r="N23" s="72"/>
      <c r="O23" s="46"/>
      <c r="P23" s="100"/>
      <c r="Q23" s="100"/>
      <c r="R23" s="49"/>
      <c r="S23" s="50"/>
      <c r="T23" s="478"/>
      <c r="X23" s="286"/>
      <c r="Y23" s="265"/>
      <c r="Z23" s="264"/>
      <c r="AA23" s="265"/>
      <c r="AB23" s="264"/>
      <c r="AC23" s="265"/>
      <c r="AD23" s="264"/>
      <c r="AE23" s="265"/>
      <c r="AF23" s="264"/>
      <c r="AG23" s="288"/>
    </row>
    <row r="24" spans="1:33" x14ac:dyDescent="0.15">
      <c r="A24" s="220">
        <v>8</v>
      </c>
      <c r="B24" s="534"/>
      <c r="C24" s="535"/>
      <c r="D24" s="535"/>
      <c r="E24" s="536"/>
      <c r="F24" s="47"/>
      <c r="G24" s="45"/>
      <c r="H24" s="45"/>
      <c r="I24" s="207"/>
      <c r="J24" s="46"/>
      <c r="K24" s="45"/>
      <c r="L24" s="47"/>
      <c r="M24" s="46"/>
      <c r="N24" s="72"/>
      <c r="O24" s="46"/>
      <c r="P24" s="100"/>
      <c r="Q24" s="100"/>
      <c r="R24" s="49"/>
      <c r="S24" s="50"/>
      <c r="T24" s="478"/>
      <c r="X24" s="286"/>
      <c r="Y24" s="265"/>
      <c r="Z24" s="264"/>
      <c r="AA24" s="265"/>
      <c r="AB24" s="264"/>
      <c r="AC24" s="265"/>
      <c r="AD24" s="264"/>
      <c r="AE24" s="265"/>
      <c r="AF24" s="264"/>
      <c r="AG24" s="288"/>
    </row>
    <row r="25" spans="1:33" x14ac:dyDescent="0.15">
      <c r="A25" s="220">
        <v>9</v>
      </c>
      <c r="B25" s="534"/>
      <c r="C25" s="535"/>
      <c r="D25" s="535"/>
      <c r="E25" s="536"/>
      <c r="F25" s="47"/>
      <c r="G25" s="45"/>
      <c r="H25" s="207"/>
      <c r="I25" s="207"/>
      <c r="J25" s="208"/>
      <c r="K25" s="207"/>
      <c r="L25" s="47"/>
      <c r="M25" s="46"/>
      <c r="N25" s="72"/>
      <c r="O25" s="46"/>
      <c r="P25" s="100"/>
      <c r="Q25" s="100"/>
      <c r="R25" s="210"/>
      <c r="S25" s="50"/>
      <c r="T25" s="478"/>
      <c r="X25" s="286"/>
      <c r="Y25" s="265"/>
      <c r="Z25" s="264"/>
      <c r="AA25" s="265"/>
      <c r="AB25" s="264"/>
      <c r="AC25" s="265"/>
      <c r="AD25" s="264"/>
      <c r="AE25" s="265"/>
      <c r="AF25" s="264"/>
      <c r="AG25" s="288"/>
    </row>
    <row r="26" spans="1:33" x14ac:dyDescent="0.15">
      <c r="A26" s="220">
        <v>10</v>
      </c>
      <c r="B26" s="537"/>
      <c r="C26" s="538"/>
      <c r="D26" s="538"/>
      <c r="E26" s="539"/>
      <c r="F26" s="47"/>
      <c r="G26" s="45"/>
      <c r="H26" s="45"/>
      <c r="I26" s="207"/>
      <c r="J26" s="46"/>
      <c r="K26" s="45"/>
      <c r="L26" s="47"/>
      <c r="M26" s="46"/>
      <c r="N26" s="72"/>
      <c r="O26" s="46"/>
      <c r="P26" s="100"/>
      <c r="Q26" s="100"/>
      <c r="R26" s="49"/>
      <c r="S26" s="50"/>
      <c r="T26" s="478"/>
      <c r="X26" s="286"/>
      <c r="Y26" s="265"/>
      <c r="Z26" s="264"/>
      <c r="AA26" s="265"/>
      <c r="AB26" s="264"/>
      <c r="AC26" s="265"/>
      <c r="AD26" s="264"/>
      <c r="AE26" s="265"/>
      <c r="AF26" s="264"/>
      <c r="AG26" s="288"/>
    </row>
    <row r="27" spans="1:33" x14ac:dyDescent="0.15">
      <c r="A27" s="220">
        <v>11</v>
      </c>
      <c r="B27" s="531" t="s">
        <v>44</v>
      </c>
      <c r="C27" s="532"/>
      <c r="D27" s="532"/>
      <c r="E27" s="533"/>
      <c r="F27" s="47" t="str">
        <f>VLOOKUP($H:$H,型材表!$B$5:$I$448,2,0)</f>
        <v>压线</v>
      </c>
      <c r="G27" s="45" t="s">
        <v>39</v>
      </c>
      <c r="H27" s="45" t="str">
        <f>IF(G2=55,"SN55Y001",IF(G2=551,"SW55BY001",IF(G2=60,"SN60Y001",IF(G2=601,"SW60AY001",IF(G2=65,"SN65AY001",IF(G2=50,"SW50Y001"))))))</f>
        <v>SW50Y001</v>
      </c>
      <c r="I27" s="207" t="s">
        <v>1346</v>
      </c>
      <c r="J27" s="52">
        <f>IF(G2=55,M6-V27,IF(G2=551,M6-X27,IF(G2=60,M6-Z27,IF(G2=601,M6-AB27,IF(G2=65,M6-AD27,IF(G2=50,M6-AF27))))))</f>
        <v>2112.8000000000002</v>
      </c>
      <c r="K27" s="45">
        <f>K22</f>
        <v>2</v>
      </c>
      <c r="L27" s="47">
        <f>VLOOKUP($H:$H,型材表!$B$5:$I$448,4,0)</f>
        <v>0.192</v>
      </c>
      <c r="M27" s="46">
        <f t="shared" ref="M27:M31" si="4">J27*K27*L27/1000</f>
        <v>0.81131520000000013</v>
      </c>
      <c r="N27" s="72">
        <f>VLOOKUP($H:$H,型材表!$B$5:$I$448,7,0)</f>
        <v>0</v>
      </c>
      <c r="O27" s="46">
        <f t="shared" ref="O27:O31" si="5">N27*M27</f>
        <v>0</v>
      </c>
      <c r="P27" s="100">
        <f>VLOOKUP($H:$H,型材表!$B$5:$I$448,5,0)</f>
        <v>0.125</v>
      </c>
      <c r="Q27" s="100" t="str">
        <f>VLOOKUP($H:$H,型材表!$B$5:$I$448,6,0)</f>
        <v>非断桥隔热铝型材</v>
      </c>
      <c r="R27" s="49"/>
      <c r="S27" s="50"/>
      <c r="T27" s="478"/>
      <c r="U27" s="470" t="s">
        <v>1348</v>
      </c>
      <c r="V27" s="269">
        <f>98.5*2</f>
        <v>197</v>
      </c>
      <c r="X27" s="279">
        <f>98.5*2</f>
        <v>197</v>
      </c>
      <c r="Y27" s="265"/>
      <c r="Z27" s="279">
        <f>98.5*2</f>
        <v>197</v>
      </c>
      <c r="AA27" s="265"/>
      <c r="AB27" s="279">
        <f>98.5*2</f>
        <v>197</v>
      </c>
      <c r="AC27" s="265"/>
      <c r="AD27" s="279">
        <f>98.5*2</f>
        <v>197</v>
      </c>
      <c r="AE27" s="265"/>
      <c r="AF27" s="264">
        <f>93.6*2</f>
        <v>187.2</v>
      </c>
      <c r="AG27" s="288"/>
    </row>
    <row r="28" spans="1:33" x14ac:dyDescent="0.15">
      <c r="A28" s="220">
        <v>12</v>
      </c>
      <c r="B28" s="534"/>
      <c r="C28" s="535"/>
      <c r="D28" s="535"/>
      <c r="E28" s="536"/>
      <c r="F28" s="47" t="str">
        <f>VLOOKUP($H:$H,型材表!$B$5:$I$448,2,0)</f>
        <v>压线</v>
      </c>
      <c r="G28" s="45" t="s">
        <v>40</v>
      </c>
      <c r="H28" s="207" t="str">
        <f>H27</f>
        <v>SW50Y001</v>
      </c>
      <c r="I28" s="207" t="s">
        <v>1347</v>
      </c>
      <c r="J28" s="214">
        <f>IF(G2=55,M9-V28,IF(G2=551,M9-X28,IF(G2=60,M9-Z28,IF(G2=601,M9-AB28,IF(G2=65,M9-AD28,IF(G2=50,M9-AF28))))))</f>
        <v>612.79999999999995</v>
      </c>
      <c r="K28" s="207">
        <v>2</v>
      </c>
      <c r="L28" s="47">
        <f>VLOOKUP($H:$H,型材表!$B$5:$I$448,4,0)</f>
        <v>0.192</v>
      </c>
      <c r="M28" s="46">
        <f t="shared" si="4"/>
        <v>0.23531519999999997</v>
      </c>
      <c r="N28" s="72">
        <f>VLOOKUP($H:$H,型材表!$B$5:$I$448,7,0)</f>
        <v>0</v>
      </c>
      <c r="O28" s="46">
        <f t="shared" si="5"/>
        <v>0</v>
      </c>
      <c r="P28" s="100">
        <f>VLOOKUP($H:$H,型材表!$B$5:$I$448,5,0)</f>
        <v>0.125</v>
      </c>
      <c r="Q28" s="100" t="str">
        <f>VLOOKUP($H:$H,型材表!$B$5:$I$448,6,0)</f>
        <v>非断桥隔热铝型材</v>
      </c>
      <c r="R28" s="210"/>
      <c r="S28" s="50"/>
      <c r="T28" s="478"/>
      <c r="U28" s="470" t="s">
        <v>1349</v>
      </c>
      <c r="V28" s="259">
        <f>98.5*2</f>
        <v>197</v>
      </c>
      <c r="X28" s="286">
        <f>98.5*2</f>
        <v>197</v>
      </c>
      <c r="Y28" s="265"/>
      <c r="Z28" s="286">
        <f>98.5*2</f>
        <v>197</v>
      </c>
      <c r="AA28" s="265"/>
      <c r="AB28" s="286">
        <f>98.5*2</f>
        <v>197</v>
      </c>
      <c r="AC28" s="265"/>
      <c r="AD28" s="286">
        <f>98.5*2</f>
        <v>197</v>
      </c>
      <c r="AE28" s="265"/>
      <c r="AF28" s="264">
        <f>93.6*2</f>
        <v>187.2</v>
      </c>
      <c r="AG28" s="288"/>
    </row>
    <row r="29" spans="1:33" x14ac:dyDescent="0.15">
      <c r="A29" s="220">
        <v>13</v>
      </c>
      <c r="B29" s="534"/>
      <c r="C29" s="535"/>
      <c r="D29" s="535"/>
      <c r="E29" s="536"/>
      <c r="F29" s="47" t="str">
        <f>VLOOKUP($H:$H,型材表!$B$5:$I$448,2,0)</f>
        <v>角码</v>
      </c>
      <c r="G29" s="213" t="s">
        <v>446</v>
      </c>
      <c r="H29" s="207" t="str">
        <f>IF(G2=50,"SW50F002","SN55MF004")</f>
        <v>SW50F002</v>
      </c>
      <c r="I29" s="207" t="s">
        <v>1343</v>
      </c>
      <c r="J29" s="214">
        <f>IF(G2=55,V29,IF(G2=551,X29,IF(G2=60,Z29,IF(G2=601,AB29,IF(G2=65,AD29,IF(G2=50,AF29))))))</f>
        <v>14</v>
      </c>
      <c r="K29" s="207">
        <v>4</v>
      </c>
      <c r="L29" s="47">
        <f>VLOOKUP($H:$H,型材表!$B$5:$I$448,4,0)</f>
        <v>2.3119999999999998</v>
      </c>
      <c r="M29" s="46">
        <f t="shared" si="4"/>
        <v>0.12947199999999998</v>
      </c>
      <c r="N29" s="72">
        <f>VLOOKUP($H:$H,型材表!$B$5:$I$448,7,0)</f>
        <v>0</v>
      </c>
      <c r="O29" s="46">
        <f t="shared" si="5"/>
        <v>0</v>
      </c>
      <c r="P29" s="100">
        <f>VLOOKUP($H:$H,型材表!$B$5:$I$448,5,0)</f>
        <v>0.125</v>
      </c>
      <c r="Q29" s="100" t="str">
        <f>VLOOKUP($H:$H,型材表!$B$5:$I$448,6,0)</f>
        <v>阳极氧化铝型材</v>
      </c>
      <c r="R29" s="210"/>
      <c r="S29" s="50"/>
      <c r="T29" s="478"/>
      <c r="U29" s="470" t="s">
        <v>1343</v>
      </c>
      <c r="V29" s="259">
        <f>9.9-1+18.5-1</f>
        <v>26.4</v>
      </c>
      <c r="X29" s="264">
        <f>18.5-1+9.9-1</f>
        <v>26.4</v>
      </c>
      <c r="Y29" s="265"/>
      <c r="Z29" s="317">
        <f>18.5-1+13.7-1</f>
        <v>30.2</v>
      </c>
      <c r="AA29" s="265"/>
      <c r="AB29" s="264">
        <f>18.5-1+9.9-1</f>
        <v>26.4</v>
      </c>
      <c r="AC29" s="265"/>
      <c r="AD29" s="317">
        <f>18.5-1+13.7-1</f>
        <v>30.2</v>
      </c>
      <c r="AE29" s="265"/>
      <c r="AF29" s="264">
        <f>15-1</f>
        <v>14</v>
      </c>
      <c r="AG29" s="288"/>
    </row>
    <row r="30" spans="1:33" s="229" customFormat="1" x14ac:dyDescent="0.15">
      <c r="A30" s="220">
        <v>14</v>
      </c>
      <c r="B30" s="534"/>
      <c r="C30" s="535"/>
      <c r="D30" s="535"/>
      <c r="E30" s="536"/>
      <c r="F30" s="47" t="str">
        <f>VLOOKUP($H:$H,型材表!$B$5:$I$448,2,0)</f>
        <v>角码</v>
      </c>
      <c r="G30" s="230" t="s">
        <v>447</v>
      </c>
      <c r="H30" s="222" t="str">
        <f>IF(G2=50,"SW50MF001","SN55MF005")</f>
        <v>SW50MF001</v>
      </c>
      <c r="I30" s="222" t="s">
        <v>1344</v>
      </c>
      <c r="J30" s="214">
        <f>IF(G2=55,V30,IF(G2=551,X30,IF(G2=60,Z30,IF(G2=601,AB30,IF(G2=65,AD30,IF(G2=50,AF30))))))</f>
        <v>45.6</v>
      </c>
      <c r="K30" s="207">
        <v>4</v>
      </c>
      <c r="L30" s="47">
        <f>VLOOKUP($H:$H,型材表!$B$5:$I$448,4,0)</f>
        <v>3.3159999999999998</v>
      </c>
      <c r="M30" s="46">
        <f t="shared" si="4"/>
        <v>0.6048384</v>
      </c>
      <c r="N30" s="72">
        <f>VLOOKUP($H:$H,型材表!$B$5:$I$448,7,0)</f>
        <v>0</v>
      </c>
      <c r="O30" s="46">
        <f t="shared" si="5"/>
        <v>0</v>
      </c>
      <c r="P30" s="100">
        <f>VLOOKUP($H:$H,型材表!$B$5:$I$448,5,0)</f>
        <v>0.125</v>
      </c>
      <c r="Q30" s="100" t="str">
        <f>VLOOKUP($H:$H,型材表!$B$5:$I$448,6,0)</f>
        <v>阳极氧化铝型材</v>
      </c>
      <c r="R30" s="227"/>
      <c r="S30" s="228"/>
      <c r="T30" s="479"/>
      <c r="U30" s="471" t="s">
        <v>1344</v>
      </c>
      <c r="V30" s="266">
        <f>25.7-1</f>
        <v>24.7</v>
      </c>
      <c r="W30" s="266"/>
      <c r="X30" s="267">
        <f>25.4-1</f>
        <v>24.4</v>
      </c>
      <c r="Y30" s="268"/>
      <c r="Z30" s="267">
        <f>25.7-1</f>
        <v>24.7</v>
      </c>
      <c r="AA30" s="268"/>
      <c r="AB30" s="267">
        <f>25.4-1</f>
        <v>24.4</v>
      </c>
      <c r="AC30" s="268"/>
      <c r="AD30" s="267">
        <f>25.7-1</f>
        <v>24.7</v>
      </c>
      <c r="AE30" s="268"/>
      <c r="AF30" s="267">
        <f>46.6-1</f>
        <v>45.6</v>
      </c>
      <c r="AG30" s="289"/>
    </row>
    <row r="31" spans="1:33" x14ac:dyDescent="0.15">
      <c r="A31" s="220">
        <v>15</v>
      </c>
      <c r="B31" s="534"/>
      <c r="C31" s="535"/>
      <c r="D31" s="535"/>
      <c r="E31" s="536"/>
      <c r="F31" s="47">
        <f>VLOOKUP($H:$H,型材表!$B$5:$I$448,2,0)</f>
        <v>0</v>
      </c>
      <c r="G31" s="230" t="s">
        <v>447</v>
      </c>
      <c r="H31" s="45">
        <f>IF(G2=551,"SW55BMF001",IF(G2=601,"SW55BMF001",IF(G2=50,0,"SN55MF005")))</f>
        <v>0</v>
      </c>
      <c r="I31" s="207" t="s">
        <v>1345</v>
      </c>
      <c r="J31" s="52">
        <f>IF(G2=55,V31,IF(G2=551,X31,IF(G2=60,Z31,IF(G2=601,AB31,IF(G2=65,AD31,IF(G2=50,AF31))))))</f>
        <v>0</v>
      </c>
      <c r="K31" s="45">
        <v>4</v>
      </c>
      <c r="L31" s="47">
        <f>VLOOKUP($H:$H,型材表!$B$5:$I$448,4,0)</f>
        <v>0</v>
      </c>
      <c r="M31" s="46">
        <f t="shared" si="4"/>
        <v>0</v>
      </c>
      <c r="N31" s="72">
        <f>VLOOKUP($H:$H,型材表!$B$5:$I$448,7,0)</f>
        <v>0</v>
      </c>
      <c r="O31" s="46">
        <f t="shared" si="5"/>
        <v>0</v>
      </c>
      <c r="P31" s="100">
        <f>VLOOKUP($H:$H,型材表!$B$5:$I$448,5,0)</f>
        <v>0</v>
      </c>
      <c r="Q31" s="100">
        <f>VLOOKUP($H:$H,型材表!$B$5:$I$448,6,0)</f>
        <v>0</v>
      </c>
      <c r="R31" s="49"/>
      <c r="S31" s="50"/>
      <c r="T31" s="478"/>
      <c r="U31" s="470" t="s">
        <v>1345</v>
      </c>
      <c r="V31" s="259">
        <f>14.7-1</f>
        <v>13.7</v>
      </c>
      <c r="X31" s="317">
        <f>11.2-1</f>
        <v>10.199999999999999</v>
      </c>
      <c r="Y31" s="265"/>
      <c r="Z31" s="264">
        <f>14.7-1</f>
        <v>13.7</v>
      </c>
      <c r="AA31" s="265"/>
      <c r="AB31" s="317">
        <f>11.2-1</f>
        <v>10.199999999999999</v>
      </c>
      <c r="AC31" s="265"/>
      <c r="AD31" s="264">
        <f>14.7-1</f>
        <v>13.7</v>
      </c>
      <c r="AE31" s="265"/>
      <c r="AF31" s="264"/>
      <c r="AG31" s="288"/>
    </row>
    <row r="32" spans="1:33" x14ac:dyDescent="0.15">
      <c r="A32" s="258">
        <v>16</v>
      </c>
      <c r="B32" s="534"/>
      <c r="C32" s="535"/>
      <c r="D32" s="535"/>
      <c r="E32" s="536"/>
      <c r="F32" s="306"/>
      <c r="G32" s="230"/>
      <c r="H32" s="207"/>
      <c r="I32" s="207"/>
      <c r="J32" s="214"/>
      <c r="K32" s="207"/>
      <c r="L32" s="306"/>
      <c r="M32" s="208"/>
      <c r="N32" s="209"/>
      <c r="O32" s="208"/>
      <c r="P32" s="307"/>
      <c r="Q32" s="100"/>
      <c r="R32" s="210"/>
      <c r="S32" s="50"/>
      <c r="T32" s="478"/>
      <c r="X32" s="264"/>
      <c r="Y32" s="265"/>
      <c r="Z32" s="264"/>
      <c r="AA32" s="265"/>
      <c r="AB32" s="264"/>
      <c r="AC32" s="265"/>
      <c r="AD32" s="264"/>
      <c r="AE32" s="265"/>
      <c r="AF32" s="264"/>
      <c r="AG32" s="288"/>
    </row>
    <row r="33" spans="1:33" x14ac:dyDescent="0.15">
      <c r="A33" s="302">
        <v>17</v>
      </c>
      <c r="B33" s="534"/>
      <c r="C33" s="535"/>
      <c r="D33" s="535"/>
      <c r="E33" s="536"/>
      <c r="F33" s="306"/>
      <c r="G33" s="230"/>
      <c r="H33" s="207"/>
      <c r="I33" s="207"/>
      <c r="J33" s="214"/>
      <c r="K33" s="207"/>
      <c r="L33" s="306"/>
      <c r="M33" s="208"/>
      <c r="N33" s="209"/>
      <c r="O33" s="208"/>
      <c r="P33" s="307"/>
      <c r="Q33" s="100"/>
      <c r="R33" s="210"/>
      <c r="S33" s="50"/>
      <c r="T33" s="478"/>
      <c r="X33" s="264"/>
      <c r="Y33" s="265"/>
      <c r="Z33" s="264"/>
      <c r="AA33" s="265"/>
      <c r="AB33" s="264"/>
      <c r="AC33" s="265"/>
      <c r="AD33" s="264"/>
      <c r="AE33" s="265"/>
      <c r="AF33" s="264"/>
      <c r="AG33" s="288"/>
    </row>
    <row r="34" spans="1:33" x14ac:dyDescent="0.15">
      <c r="A34" s="302">
        <v>18</v>
      </c>
      <c r="B34" s="534"/>
      <c r="C34" s="535"/>
      <c r="D34" s="535"/>
      <c r="E34" s="536"/>
      <c r="F34" s="306"/>
      <c r="G34" s="230"/>
      <c r="H34" s="207"/>
      <c r="I34" s="207"/>
      <c r="J34" s="214"/>
      <c r="K34" s="207"/>
      <c r="L34" s="306"/>
      <c r="M34" s="208"/>
      <c r="N34" s="209"/>
      <c r="O34" s="208"/>
      <c r="P34" s="307"/>
      <c r="Q34" s="100"/>
      <c r="R34" s="210"/>
      <c r="S34" s="50"/>
      <c r="T34" s="478"/>
      <c r="X34" s="264"/>
      <c r="Y34" s="265"/>
      <c r="Z34" s="264"/>
      <c r="AA34" s="265"/>
      <c r="AB34" s="264"/>
      <c r="AC34" s="265"/>
      <c r="AD34" s="264"/>
      <c r="AE34" s="265"/>
      <c r="AF34" s="264"/>
      <c r="AG34" s="288"/>
    </row>
    <row r="35" spans="1:33" x14ac:dyDescent="0.15">
      <c r="A35" s="302">
        <v>19</v>
      </c>
      <c r="B35" s="534"/>
      <c r="C35" s="535"/>
      <c r="D35" s="535"/>
      <c r="E35" s="536"/>
      <c r="F35" s="306"/>
      <c r="G35" s="230"/>
      <c r="H35" s="207"/>
      <c r="I35" s="207"/>
      <c r="J35" s="214"/>
      <c r="K35" s="207"/>
      <c r="L35" s="306"/>
      <c r="M35" s="208"/>
      <c r="N35" s="209"/>
      <c r="O35" s="208"/>
      <c r="P35" s="307"/>
      <c r="Q35" s="100"/>
      <c r="R35" s="210"/>
      <c r="S35" s="50"/>
      <c r="T35" s="478"/>
      <c r="X35" s="264"/>
      <c r="Y35" s="265"/>
      <c r="Z35" s="264"/>
      <c r="AA35" s="265"/>
      <c r="AB35" s="264"/>
      <c r="AC35" s="265"/>
      <c r="AD35" s="264"/>
      <c r="AE35" s="265"/>
      <c r="AF35" s="264"/>
      <c r="AG35" s="288"/>
    </row>
    <row r="36" spans="1:33" x14ac:dyDescent="0.15">
      <c r="A36" s="413">
        <v>20</v>
      </c>
      <c r="B36" s="534"/>
      <c r="C36" s="535"/>
      <c r="D36" s="535"/>
      <c r="E36" s="536"/>
      <c r="F36" s="306"/>
      <c r="G36" s="230"/>
      <c r="H36" s="207"/>
      <c r="I36" s="207"/>
      <c r="J36" s="214"/>
      <c r="K36" s="207"/>
      <c r="L36" s="306"/>
      <c r="M36" s="208"/>
      <c r="N36" s="209"/>
      <c r="O36" s="208"/>
      <c r="P36" s="307"/>
      <c r="Q36" s="307"/>
      <c r="R36" s="210"/>
      <c r="S36" s="50"/>
      <c r="T36" s="478"/>
      <c r="X36" s="264"/>
      <c r="Y36" s="265"/>
      <c r="Z36" s="264"/>
      <c r="AA36" s="265"/>
      <c r="AB36" s="264"/>
      <c r="AC36" s="265"/>
      <c r="AD36" s="264"/>
      <c r="AE36" s="265"/>
      <c r="AF36" s="264"/>
      <c r="AG36" s="288"/>
    </row>
    <row r="37" spans="1:33" x14ac:dyDescent="0.15">
      <c r="A37" s="413">
        <v>21</v>
      </c>
      <c r="B37" s="534"/>
      <c r="C37" s="535"/>
      <c r="D37" s="535"/>
      <c r="E37" s="536"/>
      <c r="F37" s="306"/>
      <c r="G37" s="230"/>
      <c r="H37" s="207"/>
      <c r="I37" s="207"/>
      <c r="J37" s="214"/>
      <c r="K37" s="207"/>
      <c r="L37" s="306"/>
      <c r="M37" s="208"/>
      <c r="N37" s="209"/>
      <c r="O37" s="208"/>
      <c r="P37" s="307"/>
      <c r="Q37" s="307"/>
      <c r="R37" s="210"/>
      <c r="S37" s="50"/>
      <c r="T37" s="478"/>
      <c r="X37" s="264"/>
      <c r="Y37" s="265"/>
      <c r="Z37" s="264"/>
      <c r="AA37" s="265"/>
      <c r="AB37" s="264"/>
      <c r="AC37" s="265"/>
      <c r="AD37" s="264"/>
      <c r="AE37" s="265"/>
      <c r="AF37" s="264"/>
      <c r="AG37" s="288"/>
    </row>
    <row r="38" spans="1:33" x14ac:dyDescent="0.15">
      <c r="A38" s="413">
        <v>22</v>
      </c>
      <c r="B38" s="534"/>
      <c r="C38" s="535"/>
      <c r="D38" s="535"/>
      <c r="E38" s="536"/>
      <c r="F38" s="306"/>
      <c r="G38" s="230"/>
      <c r="H38" s="207"/>
      <c r="I38" s="207"/>
      <c r="J38" s="214"/>
      <c r="K38" s="207"/>
      <c r="L38" s="306"/>
      <c r="M38" s="208"/>
      <c r="N38" s="209"/>
      <c r="O38" s="208"/>
      <c r="P38" s="307"/>
      <c r="Q38" s="307"/>
      <c r="R38" s="210"/>
      <c r="S38" s="50"/>
      <c r="T38" s="478"/>
      <c r="X38" s="264"/>
      <c r="Y38" s="265"/>
      <c r="Z38" s="264"/>
      <c r="AA38" s="265"/>
      <c r="AB38" s="264"/>
      <c r="AC38" s="265"/>
      <c r="AD38" s="264"/>
      <c r="AE38" s="265"/>
      <c r="AF38" s="264"/>
      <c r="AG38" s="288"/>
    </row>
    <row r="39" spans="1:33" x14ac:dyDescent="0.15">
      <c r="A39" s="413">
        <v>23</v>
      </c>
      <c r="B39" s="534"/>
      <c r="C39" s="535"/>
      <c r="D39" s="535"/>
      <c r="E39" s="536"/>
      <c r="F39" s="306"/>
      <c r="G39" s="230"/>
      <c r="H39" s="207"/>
      <c r="I39" s="207"/>
      <c r="J39" s="214"/>
      <c r="K39" s="207"/>
      <c r="L39" s="306"/>
      <c r="M39" s="208"/>
      <c r="N39" s="209"/>
      <c r="O39" s="208"/>
      <c r="P39" s="307"/>
      <c r="Q39" s="307"/>
      <c r="R39" s="210"/>
      <c r="S39" s="50"/>
      <c r="T39" s="478"/>
      <c r="X39" s="264"/>
      <c r="Y39" s="265"/>
      <c r="Z39" s="264"/>
      <c r="AA39" s="265"/>
      <c r="AB39" s="264"/>
      <c r="AC39" s="265"/>
      <c r="AD39" s="264"/>
      <c r="AE39" s="265"/>
      <c r="AF39" s="264"/>
      <c r="AG39" s="288"/>
    </row>
    <row r="40" spans="1:33" x14ac:dyDescent="0.15">
      <c r="A40" s="413">
        <v>24</v>
      </c>
      <c r="B40" s="534"/>
      <c r="C40" s="535"/>
      <c r="D40" s="535"/>
      <c r="E40" s="536"/>
      <c r="F40" s="306"/>
      <c r="G40" s="230"/>
      <c r="H40" s="207"/>
      <c r="I40" s="207"/>
      <c r="J40" s="214"/>
      <c r="K40" s="207"/>
      <c r="L40" s="306"/>
      <c r="M40" s="208"/>
      <c r="N40" s="209"/>
      <c r="O40" s="208"/>
      <c r="P40" s="307"/>
      <c r="Q40" s="100"/>
      <c r="R40" s="210"/>
      <c r="S40" s="50"/>
      <c r="T40" s="478"/>
      <c r="X40" s="264"/>
      <c r="Y40" s="265"/>
      <c r="Z40" s="264"/>
      <c r="AA40" s="265"/>
      <c r="AB40" s="264"/>
      <c r="AC40" s="265"/>
      <c r="AD40" s="264"/>
      <c r="AE40" s="265"/>
      <c r="AF40" s="264"/>
      <c r="AG40" s="288"/>
    </row>
    <row r="41" spans="1:33" x14ac:dyDescent="0.15">
      <c r="A41" s="413">
        <v>25</v>
      </c>
      <c r="B41" s="534"/>
      <c r="C41" s="535"/>
      <c r="D41" s="535"/>
      <c r="E41" s="536"/>
      <c r="F41" s="306"/>
      <c r="G41" s="230"/>
      <c r="H41" s="207"/>
      <c r="I41" s="207"/>
      <c r="J41" s="214"/>
      <c r="K41" s="207"/>
      <c r="L41" s="306"/>
      <c r="M41" s="208"/>
      <c r="N41" s="209"/>
      <c r="O41" s="208"/>
      <c r="P41" s="307"/>
      <c r="Q41" s="100"/>
      <c r="R41" s="210"/>
      <c r="S41" s="50"/>
      <c r="T41" s="478"/>
      <c r="X41" s="264"/>
      <c r="Y41" s="265"/>
      <c r="Z41" s="264"/>
      <c r="AA41" s="265"/>
      <c r="AB41" s="264"/>
      <c r="AC41" s="265"/>
      <c r="AD41" s="264"/>
      <c r="AE41" s="265"/>
      <c r="AF41" s="264"/>
      <c r="AG41" s="288"/>
    </row>
    <row r="42" spans="1:33" x14ac:dyDescent="0.15">
      <c r="A42" s="413">
        <v>26</v>
      </c>
      <c r="B42" s="534"/>
      <c r="C42" s="535"/>
      <c r="D42" s="535"/>
      <c r="E42" s="536"/>
      <c r="F42" s="47"/>
      <c r="G42" s="213"/>
      <c r="H42" s="207"/>
      <c r="I42" s="207"/>
      <c r="J42" s="214"/>
      <c r="K42" s="207"/>
      <c r="L42" s="47"/>
      <c r="M42" s="46"/>
      <c r="N42" s="72"/>
      <c r="O42" s="46"/>
      <c r="P42" s="100"/>
      <c r="Q42" s="100"/>
      <c r="R42" s="210"/>
      <c r="S42" s="50"/>
      <c r="T42" s="478"/>
      <c r="X42" s="264"/>
      <c r="Y42" s="265"/>
      <c r="Z42" s="264"/>
      <c r="AA42" s="265"/>
      <c r="AB42" s="264"/>
      <c r="AC42" s="265"/>
      <c r="AD42" s="264"/>
      <c r="AE42" s="265"/>
      <c r="AF42" s="264"/>
      <c r="AG42" s="288"/>
    </row>
    <row r="43" spans="1:33" s="229" customFormat="1" x14ac:dyDescent="0.15">
      <c r="A43" s="413">
        <v>27</v>
      </c>
      <c r="B43" s="537"/>
      <c r="C43" s="538"/>
      <c r="D43" s="538"/>
      <c r="E43" s="539"/>
      <c r="F43" s="221"/>
      <c r="G43" s="232"/>
      <c r="H43" s="233"/>
      <c r="I43" s="222"/>
      <c r="J43" s="234"/>
      <c r="K43" s="233"/>
      <c r="L43" s="221"/>
      <c r="M43" s="224"/>
      <c r="N43" s="225"/>
      <c r="O43" s="224"/>
      <c r="P43" s="226"/>
      <c r="Q43" s="100"/>
      <c r="R43" s="235"/>
      <c r="S43" s="228"/>
      <c r="T43" s="479"/>
      <c r="U43" s="471"/>
      <c r="V43" s="266"/>
      <c r="W43" s="266"/>
      <c r="X43" s="267"/>
      <c r="Y43" s="268"/>
      <c r="Z43" s="267"/>
      <c r="AA43" s="268"/>
      <c r="AB43" s="267"/>
      <c r="AC43" s="268"/>
      <c r="AD43" s="267"/>
      <c r="AE43" s="268"/>
      <c r="AF43" s="267"/>
      <c r="AG43" s="289"/>
    </row>
    <row r="44" spans="1:33" s="229" customFormat="1" x14ac:dyDescent="0.15">
      <c r="A44" s="567" t="s">
        <v>919</v>
      </c>
      <c r="B44" s="568"/>
      <c r="C44" s="568"/>
      <c r="D44" s="568"/>
      <c r="E44" s="568"/>
      <c r="F44" s="568"/>
      <c r="G44" s="568"/>
      <c r="H44" s="568"/>
      <c r="I44" s="568"/>
      <c r="J44" s="568"/>
      <c r="K44" s="568"/>
      <c r="L44" s="569"/>
      <c r="M44" s="224">
        <f>SUMIF($Q$17:$Q$43,A44,$M$17:$M$43)</f>
        <v>0</v>
      </c>
      <c r="N44" s="353"/>
      <c r="O44" s="224"/>
      <c r="P44" s="354"/>
      <c r="Q44" s="355"/>
      <c r="R44" s="296"/>
      <c r="S44" s="228"/>
      <c r="T44" s="479"/>
      <c r="U44" s="471"/>
      <c r="V44" s="266"/>
      <c r="W44" s="266"/>
      <c r="X44" s="267"/>
      <c r="Y44" s="268"/>
      <c r="Z44" s="267"/>
      <c r="AA44" s="268"/>
      <c r="AB44" s="267"/>
      <c r="AC44" s="268"/>
      <c r="AD44" s="267"/>
      <c r="AE44" s="268"/>
      <c r="AF44" s="267"/>
      <c r="AG44" s="289"/>
    </row>
    <row r="45" spans="1:33" s="229" customFormat="1" x14ac:dyDescent="0.15">
      <c r="A45" s="567" t="s">
        <v>920</v>
      </c>
      <c r="B45" s="568"/>
      <c r="C45" s="568"/>
      <c r="D45" s="568"/>
      <c r="E45" s="568"/>
      <c r="F45" s="568"/>
      <c r="G45" s="568"/>
      <c r="H45" s="568"/>
      <c r="I45" s="568"/>
      <c r="J45" s="568"/>
      <c r="K45" s="568"/>
      <c r="L45" s="569"/>
      <c r="M45" s="224">
        <f>SUMIF($Q$17:$Q$43,A45,$M$17:$M$43)</f>
        <v>15.899595200000002</v>
      </c>
      <c r="N45" s="353"/>
      <c r="O45" s="224"/>
      <c r="P45" s="354"/>
      <c r="Q45" s="355"/>
      <c r="R45" s="296"/>
      <c r="S45" s="228"/>
      <c r="T45" s="479"/>
      <c r="U45" s="471"/>
      <c r="V45" s="266"/>
      <c r="W45" s="266"/>
      <c r="X45" s="267"/>
      <c r="Y45" s="268"/>
      <c r="Z45" s="267"/>
      <c r="AA45" s="268"/>
      <c r="AB45" s="267"/>
      <c r="AC45" s="268"/>
      <c r="AD45" s="267"/>
      <c r="AE45" s="268"/>
      <c r="AF45" s="267"/>
      <c r="AG45" s="289"/>
    </row>
    <row r="46" spans="1:33" s="229" customFormat="1" x14ac:dyDescent="0.15">
      <c r="A46" s="567" t="s">
        <v>921</v>
      </c>
      <c r="B46" s="568"/>
      <c r="C46" s="568"/>
      <c r="D46" s="568"/>
      <c r="E46" s="568"/>
      <c r="F46" s="568"/>
      <c r="G46" s="568"/>
      <c r="H46" s="568"/>
      <c r="I46" s="568"/>
      <c r="J46" s="568"/>
      <c r="K46" s="568"/>
      <c r="L46" s="569"/>
      <c r="M46" s="224">
        <f>SUMIF($Q$17:$Q$43,A46,$M$17:$M$43)</f>
        <v>0.73431040000000003</v>
      </c>
      <c r="N46" s="353"/>
      <c r="O46" s="224"/>
      <c r="P46" s="354"/>
      <c r="Q46" s="355"/>
      <c r="R46" s="296"/>
      <c r="S46" s="228"/>
      <c r="T46" s="479"/>
      <c r="U46" s="471"/>
      <c r="V46" s="266"/>
      <c r="W46" s="266"/>
      <c r="X46" s="267"/>
      <c r="Y46" s="268"/>
      <c r="Z46" s="267"/>
      <c r="AA46" s="268"/>
      <c r="AB46" s="267"/>
      <c r="AC46" s="268"/>
      <c r="AD46" s="267"/>
      <c r="AE46" s="268"/>
      <c r="AF46" s="267"/>
      <c r="AG46" s="289"/>
    </row>
    <row r="47" spans="1:33" x14ac:dyDescent="0.15">
      <c r="A47" s="61"/>
      <c r="B47" s="571"/>
      <c r="C47" s="572"/>
      <c r="D47" s="572"/>
      <c r="E47" s="573"/>
      <c r="F47" s="552" t="s">
        <v>48</v>
      </c>
      <c r="G47" s="557"/>
      <c r="H47" s="557"/>
      <c r="I47" s="557"/>
      <c r="J47" s="557"/>
      <c r="K47" s="557"/>
      <c r="L47" s="553"/>
      <c r="M47" s="62">
        <f>SUM(M44:M46)</f>
        <v>16.633905600000002</v>
      </c>
      <c r="N47" s="63"/>
      <c r="O47" s="62">
        <f>SUM(O17:O43)</f>
        <v>0</v>
      </c>
      <c r="P47" s="63"/>
      <c r="Q47" s="337"/>
      <c r="R47" s="64"/>
      <c r="S47" s="64"/>
      <c r="T47" s="480"/>
      <c r="X47" s="264"/>
      <c r="Y47" s="265"/>
      <c r="Z47" s="264"/>
      <c r="AA47" s="265"/>
      <c r="AB47" s="264"/>
      <c r="AC47" s="265"/>
      <c r="AD47" s="264"/>
      <c r="AE47" s="265"/>
      <c r="AF47" s="264"/>
      <c r="AG47" s="288"/>
    </row>
    <row r="48" spans="1:33" ht="24" x14ac:dyDescent="0.15">
      <c r="A48" s="65"/>
      <c r="B48" s="560" t="s">
        <v>49</v>
      </c>
      <c r="C48" s="561"/>
      <c r="D48" s="561"/>
      <c r="E48" s="562"/>
      <c r="F48" s="565" t="s">
        <v>26</v>
      </c>
      <c r="G48" s="566"/>
      <c r="H48" s="66" t="s">
        <v>1335</v>
      </c>
      <c r="I48" s="351" t="s">
        <v>1336</v>
      </c>
      <c r="J48" s="66" t="s">
        <v>50</v>
      </c>
      <c r="K48" s="66" t="s">
        <v>51</v>
      </c>
      <c r="L48" s="67" t="s">
        <v>30</v>
      </c>
      <c r="M48" s="66" t="s">
        <v>52</v>
      </c>
      <c r="N48" s="68" t="s">
        <v>53</v>
      </c>
      <c r="O48" s="68" t="s">
        <v>34</v>
      </c>
      <c r="P48" s="69" t="s">
        <v>35</v>
      </c>
      <c r="Q48" s="42"/>
      <c r="R48" s="67"/>
      <c r="S48" s="67"/>
      <c r="T48" s="481"/>
      <c r="V48" s="270" t="s">
        <v>352</v>
      </c>
      <c r="W48" s="270" t="s">
        <v>353</v>
      </c>
      <c r="X48" s="271" t="s">
        <v>352</v>
      </c>
      <c r="Y48" s="272" t="s">
        <v>353</v>
      </c>
      <c r="Z48" s="271" t="s">
        <v>352</v>
      </c>
      <c r="AA48" s="272" t="s">
        <v>353</v>
      </c>
      <c r="AB48" s="271" t="s">
        <v>352</v>
      </c>
      <c r="AC48" s="272" t="s">
        <v>353</v>
      </c>
      <c r="AD48" s="271" t="s">
        <v>352</v>
      </c>
      <c r="AE48" s="272" t="s">
        <v>353</v>
      </c>
      <c r="AF48" s="271" t="s">
        <v>859</v>
      </c>
      <c r="AG48" s="290" t="s">
        <v>860</v>
      </c>
    </row>
    <row r="49" spans="1:33" ht="18.75" customHeight="1" x14ac:dyDescent="0.15">
      <c r="A49" s="220">
        <v>1</v>
      </c>
      <c r="B49" s="545" t="s">
        <v>133</v>
      </c>
      <c r="C49" s="546"/>
      <c r="D49" s="546"/>
      <c r="E49" s="547"/>
      <c r="F49" s="545" t="s">
        <v>55</v>
      </c>
      <c r="G49" s="547"/>
      <c r="H49" s="45" t="s">
        <v>1350</v>
      </c>
      <c r="I49" s="207" t="s">
        <v>1351</v>
      </c>
      <c r="J49" s="46">
        <f>IF(G2=55,M9-V49,IF(G2=551,M9-X49,IF(G2=60,M9-Z49,IF(G2=601,M9-AB49,IF(G2=65,M9-AD49,IF(G2=50,M9-AF49))))))</f>
        <v>596.79999999999995</v>
      </c>
      <c r="K49" s="70">
        <f>IF(G2=55,M6-W49,IF(G2=551,M6-Y49,IF(G2=60,M6-AA49,IF(G2=601,M6-AC49,IF(G2=65,M6-AE49,IF(G2=50,M6-AG49))))))</f>
        <v>2096.8000000000002</v>
      </c>
      <c r="L49" s="70">
        <v>1</v>
      </c>
      <c r="M49" s="46">
        <f>J49*K49*L49/1000000</f>
        <v>1.25137024</v>
      </c>
      <c r="N49" s="46"/>
      <c r="O49" s="46">
        <f>N49*M49</f>
        <v>0</v>
      </c>
      <c r="P49" s="71"/>
      <c r="Q49" s="71"/>
      <c r="R49" s="72"/>
      <c r="S49" s="72"/>
      <c r="T49" s="482" t="s">
        <v>1610</v>
      </c>
      <c r="U49" s="470" t="s">
        <v>1611</v>
      </c>
      <c r="V49" s="259">
        <f t="shared" ref="V49:AC49" si="6">110.5*2</f>
        <v>221</v>
      </c>
      <c r="W49" s="259">
        <f t="shared" si="6"/>
        <v>221</v>
      </c>
      <c r="X49" s="264">
        <f t="shared" si="6"/>
        <v>221</v>
      </c>
      <c r="Y49" s="265">
        <f t="shared" si="6"/>
        <v>221</v>
      </c>
      <c r="Z49" s="264">
        <f t="shared" si="6"/>
        <v>221</v>
      </c>
      <c r="AA49" s="318">
        <f t="shared" si="6"/>
        <v>221</v>
      </c>
      <c r="AB49" s="317">
        <f t="shared" si="6"/>
        <v>221</v>
      </c>
      <c r="AC49" s="318">
        <f t="shared" si="6"/>
        <v>221</v>
      </c>
      <c r="AD49" s="264">
        <f>108.5*2</f>
        <v>217</v>
      </c>
      <c r="AE49" s="318">
        <f>108.5*2</f>
        <v>217</v>
      </c>
      <c r="AF49" s="264">
        <f>101.6*2</f>
        <v>203.2</v>
      </c>
      <c r="AG49" s="288">
        <f>101.6*2</f>
        <v>203.2</v>
      </c>
    </row>
    <row r="50" spans="1:33" x14ac:dyDescent="0.15">
      <c r="A50" s="238"/>
      <c r="B50" s="545"/>
      <c r="C50" s="546"/>
      <c r="D50" s="546"/>
      <c r="E50" s="547"/>
      <c r="F50" s="545"/>
      <c r="G50" s="547"/>
      <c r="H50" s="207"/>
      <c r="I50" s="207"/>
      <c r="J50" s="208"/>
      <c r="K50" s="239"/>
      <c r="L50" s="239"/>
      <c r="M50" s="208"/>
      <c r="N50" s="208"/>
      <c r="O50" s="208"/>
      <c r="P50" s="240"/>
      <c r="Q50" s="71"/>
      <c r="R50" s="209"/>
      <c r="S50" s="209"/>
      <c r="T50" s="482"/>
      <c r="X50" s="264"/>
      <c r="Y50" s="265"/>
      <c r="Z50" s="264"/>
      <c r="AA50" s="265"/>
      <c r="AB50" s="264"/>
      <c r="AC50" s="265"/>
      <c r="AD50" s="264"/>
      <c r="AE50" s="265"/>
      <c r="AF50" s="264"/>
      <c r="AG50" s="288"/>
    </row>
    <row r="51" spans="1:33" x14ac:dyDescent="0.15">
      <c r="A51" s="220"/>
      <c r="B51" s="545"/>
      <c r="C51" s="546"/>
      <c r="D51" s="546"/>
      <c r="E51" s="547"/>
      <c r="F51" s="545"/>
      <c r="G51" s="547"/>
      <c r="H51" s="45"/>
      <c r="I51" s="207"/>
      <c r="J51" s="45"/>
      <c r="K51" s="45"/>
      <c r="L51" s="70"/>
      <c r="M51" s="46"/>
      <c r="N51" s="46"/>
      <c r="O51" s="46"/>
      <c r="P51" s="71"/>
      <c r="Q51" s="71"/>
      <c r="R51" s="72"/>
      <c r="S51" s="72"/>
      <c r="T51" s="482"/>
      <c r="X51" s="264"/>
      <c r="Y51" s="265"/>
      <c r="Z51" s="264"/>
      <c r="AA51" s="265"/>
      <c r="AB51" s="264"/>
      <c r="AC51" s="265"/>
      <c r="AD51" s="264"/>
      <c r="AE51" s="265"/>
      <c r="AF51" s="264"/>
      <c r="AG51" s="288"/>
    </row>
    <row r="52" spans="1:33" x14ac:dyDescent="0.15">
      <c r="A52" s="220"/>
      <c r="B52" s="545"/>
      <c r="C52" s="546"/>
      <c r="D52" s="546"/>
      <c r="E52" s="547"/>
      <c r="F52" s="545"/>
      <c r="G52" s="547"/>
      <c r="H52" s="45"/>
      <c r="I52" s="207"/>
      <c r="J52" s="46"/>
      <c r="K52" s="220"/>
      <c r="L52" s="70"/>
      <c r="M52" s="46"/>
      <c r="N52" s="46"/>
      <c r="O52" s="46"/>
      <c r="P52" s="48"/>
      <c r="Q52" s="48"/>
      <c r="R52" s="73"/>
      <c r="S52" s="73"/>
      <c r="T52" s="478"/>
      <c r="X52" s="264"/>
      <c r="Y52" s="265"/>
      <c r="Z52" s="264"/>
      <c r="AA52" s="265"/>
    </row>
    <row r="53" spans="1:33" x14ac:dyDescent="0.15">
      <c r="A53" s="74"/>
      <c r="B53" s="571"/>
      <c r="C53" s="572"/>
      <c r="D53" s="572"/>
      <c r="E53" s="573"/>
      <c r="F53" s="554" t="s">
        <v>56</v>
      </c>
      <c r="G53" s="554"/>
      <c r="H53" s="554"/>
      <c r="I53" s="579"/>
      <c r="J53" s="570"/>
      <c r="K53" s="570"/>
      <c r="L53" s="554"/>
      <c r="M53" s="62">
        <f>SUM(M49:M52)</f>
        <v>1.25137024</v>
      </c>
      <c r="N53" s="218"/>
      <c r="O53" s="62">
        <f>SUM(O49:O52)</f>
        <v>0</v>
      </c>
      <c r="P53" s="63" t="s">
        <v>57</v>
      </c>
      <c r="Q53" s="337"/>
      <c r="R53" s="64"/>
      <c r="S53" s="64"/>
      <c r="T53" s="480"/>
    </row>
    <row r="54" spans="1:33" ht="24" x14ac:dyDescent="0.15">
      <c r="A54" s="65"/>
      <c r="B54" s="560" t="s">
        <v>58</v>
      </c>
      <c r="C54" s="561"/>
      <c r="D54" s="561"/>
      <c r="E54" s="562"/>
      <c r="F54" s="565" t="s">
        <v>26</v>
      </c>
      <c r="G54" s="566"/>
      <c r="H54" s="66" t="s">
        <v>59</v>
      </c>
      <c r="I54" s="351"/>
      <c r="J54" s="66" t="s">
        <v>60</v>
      </c>
      <c r="K54" s="66" t="s">
        <v>6</v>
      </c>
      <c r="L54" s="67" t="s">
        <v>61</v>
      </c>
      <c r="M54" s="66" t="s">
        <v>30</v>
      </c>
      <c r="N54" s="68" t="s">
        <v>62</v>
      </c>
      <c r="O54" s="68" t="s">
        <v>34</v>
      </c>
      <c r="P54" s="69" t="s">
        <v>57</v>
      </c>
      <c r="Q54" s="42"/>
      <c r="R54" s="67"/>
      <c r="S54" s="67"/>
      <c r="T54" s="481"/>
    </row>
    <row r="55" spans="1:33" ht="25.5" customHeight="1" x14ac:dyDescent="0.15">
      <c r="A55" s="220">
        <v>1</v>
      </c>
      <c r="B55" s="545"/>
      <c r="C55" s="546"/>
      <c r="D55" s="546"/>
      <c r="E55" s="547"/>
      <c r="F55" s="545" t="s">
        <v>852</v>
      </c>
      <c r="G55" s="547"/>
      <c r="H55" s="45"/>
      <c r="I55" s="207"/>
      <c r="J55" s="45"/>
      <c r="K55" s="46" t="str">
        <f>VLOOKUP($F:$F,材料单价表!$B$3:$G$42,4,0)</f>
        <v>套</v>
      </c>
      <c r="L55" s="72"/>
      <c r="M55" s="46">
        <v>1</v>
      </c>
      <c r="N55" s="46">
        <f>VLOOKUP($F:$F,材料单价表!$B$3:$G$42,5,0)</f>
        <v>0</v>
      </c>
      <c r="O55" s="46">
        <f t="shared" ref="O55" si="7">N55*M55</f>
        <v>0</v>
      </c>
      <c r="P55" s="48"/>
      <c r="Q55" s="48"/>
      <c r="R55" s="73"/>
      <c r="S55" s="73"/>
      <c r="T55" s="478"/>
    </row>
    <row r="56" spans="1:33" ht="25.5" customHeight="1" x14ac:dyDescent="0.15">
      <c r="A56" s="258"/>
      <c r="B56" s="545"/>
      <c r="C56" s="546"/>
      <c r="D56" s="546"/>
      <c r="E56" s="547"/>
      <c r="F56" s="545"/>
      <c r="G56" s="547"/>
      <c r="H56" s="45"/>
      <c r="I56" s="207"/>
      <c r="J56" s="45"/>
      <c r="K56" s="46"/>
      <c r="L56" s="72"/>
      <c r="M56" s="46"/>
      <c r="N56" s="46"/>
      <c r="O56" s="46"/>
      <c r="P56" s="48"/>
      <c r="Q56" s="48"/>
      <c r="R56" s="73"/>
      <c r="S56" s="73"/>
      <c r="T56" s="478"/>
    </row>
    <row r="57" spans="1:33" x14ac:dyDescent="0.15">
      <c r="A57" s="74"/>
      <c r="B57" s="571"/>
      <c r="C57" s="572"/>
      <c r="D57" s="572"/>
      <c r="E57" s="573"/>
      <c r="F57" s="554" t="s">
        <v>64</v>
      </c>
      <c r="G57" s="554"/>
      <c r="H57" s="554"/>
      <c r="I57" s="579"/>
      <c r="J57" s="570"/>
      <c r="K57" s="570"/>
      <c r="L57" s="554"/>
      <c r="M57" s="62">
        <f>M55</f>
        <v>1</v>
      </c>
      <c r="N57" s="218"/>
      <c r="O57" s="62">
        <f>SUM(O55:O55)</f>
        <v>0</v>
      </c>
      <c r="P57" s="63" t="s">
        <v>57</v>
      </c>
      <c r="Q57" s="337"/>
      <c r="R57" s="64"/>
      <c r="S57" s="64"/>
      <c r="T57" s="480"/>
    </row>
    <row r="58" spans="1:33" ht="24" x14ac:dyDescent="0.15">
      <c r="A58" s="65"/>
      <c r="B58" s="560" t="s">
        <v>65</v>
      </c>
      <c r="C58" s="561"/>
      <c r="D58" s="561"/>
      <c r="E58" s="562"/>
      <c r="F58" s="565" t="s">
        <v>26</v>
      </c>
      <c r="G58" s="566"/>
      <c r="H58" s="66" t="s">
        <v>59</v>
      </c>
      <c r="I58" s="351"/>
      <c r="J58" s="66" t="s">
        <v>60</v>
      </c>
      <c r="K58" s="66" t="s">
        <v>6</v>
      </c>
      <c r="L58" s="67" t="s">
        <v>61</v>
      </c>
      <c r="M58" s="66" t="s">
        <v>30</v>
      </c>
      <c r="N58" s="68" t="s">
        <v>62</v>
      </c>
      <c r="O58" s="68" t="s">
        <v>34</v>
      </c>
      <c r="P58" s="69" t="s">
        <v>57</v>
      </c>
      <c r="Q58" s="42"/>
      <c r="R58" s="67"/>
      <c r="S58" s="67"/>
      <c r="T58" s="481"/>
    </row>
    <row r="59" spans="1:33" ht="13.5" customHeight="1" x14ac:dyDescent="0.15">
      <c r="A59" s="76">
        <v>1</v>
      </c>
      <c r="B59" s="545"/>
      <c r="C59" s="546"/>
      <c r="D59" s="546"/>
      <c r="E59" s="547"/>
      <c r="F59" s="558" t="s">
        <v>66</v>
      </c>
      <c r="G59" s="559"/>
      <c r="H59" s="78"/>
      <c r="I59" s="352"/>
      <c r="J59" s="77"/>
      <c r="K59" s="46" t="str">
        <f>VLOOKUP($F:$F,材料单价表!$B$3:$G$42,4,0)</f>
        <v>m</v>
      </c>
      <c r="L59" s="46"/>
      <c r="M59" s="80">
        <f>M15</f>
        <v>6.6</v>
      </c>
      <c r="N59" s="46">
        <f>VLOOKUP($F:$F,材料单价表!$B$3:$G$42,5,0)</f>
        <v>0</v>
      </c>
      <c r="O59" s="46">
        <f>N59*M59</f>
        <v>0</v>
      </c>
      <c r="P59" s="48"/>
      <c r="Q59" s="59"/>
      <c r="R59" s="81"/>
      <c r="S59" s="79"/>
      <c r="T59" s="483"/>
    </row>
    <row r="60" spans="1:33" ht="15.75" customHeight="1" x14ac:dyDescent="0.15">
      <c r="A60" s="76">
        <v>2</v>
      </c>
      <c r="B60" s="545"/>
      <c r="C60" s="546"/>
      <c r="D60" s="546"/>
      <c r="E60" s="547"/>
      <c r="F60" s="558" t="s">
        <v>68</v>
      </c>
      <c r="G60" s="559"/>
      <c r="H60" s="78" t="s">
        <v>67</v>
      </c>
      <c r="I60" s="352"/>
      <c r="J60" s="77"/>
      <c r="K60" s="46" t="str">
        <f>VLOOKUP($F:$F,材料单价表!$B$3:$G$42,4,0)</f>
        <v>m</v>
      </c>
      <c r="L60" s="46"/>
      <c r="M60" s="80">
        <f>(J27*K27+J28*K28)/1000*2</f>
        <v>10.902400000000002</v>
      </c>
      <c r="N60" s="46">
        <f>VLOOKUP($F:$F,材料单价表!$B$3:$G$42,5,0)</f>
        <v>0</v>
      </c>
      <c r="O60" s="46">
        <f t="shared" ref="O60:O65" si="8">N60*M60</f>
        <v>0</v>
      </c>
      <c r="P60" s="48"/>
      <c r="Q60" s="59"/>
      <c r="R60" s="81"/>
      <c r="S60" s="79"/>
      <c r="T60" s="483"/>
      <c r="V60" s="104"/>
      <c r="W60" s="104"/>
    </row>
    <row r="61" spans="1:33" ht="13.5" customHeight="1" x14ac:dyDescent="0.15">
      <c r="A61" s="76">
        <v>3</v>
      </c>
      <c r="B61" s="545"/>
      <c r="C61" s="546"/>
      <c r="D61" s="546"/>
      <c r="E61" s="547"/>
      <c r="F61" s="558" t="s">
        <v>68</v>
      </c>
      <c r="G61" s="559"/>
      <c r="H61" s="78" t="s">
        <v>69</v>
      </c>
      <c r="I61" s="352"/>
      <c r="J61" s="77"/>
      <c r="K61" s="46" t="str">
        <f>VLOOKUP($F:$F,材料单价表!$B$3:$G$42,4,0)</f>
        <v>m</v>
      </c>
      <c r="L61" s="46"/>
      <c r="M61" s="80">
        <f>M15</f>
        <v>6.6</v>
      </c>
      <c r="N61" s="46">
        <f>VLOOKUP($F:$F,材料单价表!$B$3:$G$42,5,0)</f>
        <v>0</v>
      </c>
      <c r="O61" s="46">
        <f t="shared" si="8"/>
        <v>0</v>
      </c>
      <c r="P61" s="48"/>
      <c r="Q61" s="59"/>
      <c r="R61" s="81"/>
      <c r="S61" s="79"/>
      <c r="T61" s="483"/>
      <c r="V61" s="104"/>
      <c r="W61" s="104"/>
    </row>
    <row r="62" spans="1:33" ht="13.5" customHeight="1" x14ac:dyDescent="0.15">
      <c r="A62" s="76">
        <v>4</v>
      </c>
      <c r="B62" s="545"/>
      <c r="C62" s="546"/>
      <c r="D62" s="546"/>
      <c r="E62" s="547"/>
      <c r="F62" s="558" t="s">
        <v>68</v>
      </c>
      <c r="G62" s="559"/>
      <c r="H62" s="78" t="s">
        <v>70</v>
      </c>
      <c r="I62" s="352"/>
      <c r="J62" s="77"/>
      <c r="K62" s="46" t="str">
        <f>VLOOKUP($F:$F,材料单价表!$B$3:$G$42,4,0)</f>
        <v>m</v>
      </c>
      <c r="L62" s="46"/>
      <c r="M62" s="80">
        <f>M15</f>
        <v>6.6</v>
      </c>
      <c r="N62" s="46">
        <f>VLOOKUP($F:$F,材料单价表!$B$3:$G$42,5,0)</f>
        <v>0</v>
      </c>
      <c r="O62" s="46">
        <f t="shared" si="8"/>
        <v>0</v>
      </c>
      <c r="P62" s="48"/>
      <c r="Q62" s="59"/>
      <c r="R62" s="81"/>
      <c r="S62" s="79"/>
      <c r="T62" s="483"/>
      <c r="V62" s="104"/>
      <c r="W62" s="104"/>
    </row>
    <row r="63" spans="1:33" ht="13.5" customHeight="1" x14ac:dyDescent="0.15">
      <c r="A63" s="76">
        <v>5</v>
      </c>
      <c r="B63" s="545"/>
      <c r="C63" s="546"/>
      <c r="D63" s="546"/>
      <c r="E63" s="547"/>
      <c r="F63" s="558" t="s">
        <v>71</v>
      </c>
      <c r="G63" s="559"/>
      <c r="H63" s="78"/>
      <c r="I63" s="352"/>
      <c r="J63" s="77"/>
      <c r="K63" s="46" t="str">
        <f>VLOOKUP($F:$F,材料单价表!$B$3:$G$42,4,0)</f>
        <v>个</v>
      </c>
      <c r="L63" s="79"/>
      <c r="M63" s="80">
        <f>K29+K30</f>
        <v>8</v>
      </c>
      <c r="N63" s="46">
        <f>VLOOKUP($F:$F,材料单价表!$B$3:$G$42,5,0)</f>
        <v>0</v>
      </c>
      <c r="O63" s="46">
        <f t="shared" si="8"/>
        <v>0</v>
      </c>
      <c r="P63" s="48"/>
      <c r="Q63" s="59"/>
      <c r="R63" s="81"/>
      <c r="S63" s="79"/>
      <c r="T63" s="483"/>
    </row>
    <row r="64" spans="1:33" ht="13.5" customHeight="1" x14ac:dyDescent="0.15">
      <c r="A64" s="76">
        <v>6</v>
      </c>
      <c r="B64" s="545"/>
      <c r="C64" s="546"/>
      <c r="D64" s="546"/>
      <c r="E64" s="547"/>
      <c r="F64" s="558" t="s">
        <v>121</v>
      </c>
      <c r="G64" s="559"/>
      <c r="H64" s="78"/>
      <c r="I64" s="352"/>
      <c r="J64" s="77"/>
      <c r="K64" s="46" t="str">
        <f>VLOOKUP($F:$F,材料单价表!$B$3:$G$42,4,0)</f>
        <v>m</v>
      </c>
      <c r="L64" s="79"/>
      <c r="M64" s="80">
        <f>(J21*K21+J22*K22)/1000*2</f>
        <v>11.974400000000001</v>
      </c>
      <c r="N64" s="46">
        <f>VLOOKUP($F:$F,材料单价表!$B$3:$G$42,5,0)</f>
        <v>0</v>
      </c>
      <c r="O64" s="46">
        <f t="shared" si="8"/>
        <v>0</v>
      </c>
      <c r="P64" s="48"/>
      <c r="Q64" s="59"/>
      <c r="R64" s="81"/>
      <c r="S64" s="46"/>
      <c r="T64" s="484"/>
    </row>
    <row r="65" spans="1:20" x14ac:dyDescent="0.15">
      <c r="A65" s="76">
        <v>7</v>
      </c>
      <c r="B65" s="545"/>
      <c r="C65" s="546"/>
      <c r="D65" s="546"/>
      <c r="E65" s="547"/>
      <c r="F65" s="558" t="s">
        <v>72</v>
      </c>
      <c r="G65" s="559"/>
      <c r="H65" s="45"/>
      <c r="I65" s="207"/>
      <c r="J65" s="45"/>
      <c r="K65" s="46" t="str">
        <f>VLOOKUP($F:$F,材料单价表!$B$3:$G$42,4,0)</f>
        <v>m2</v>
      </c>
      <c r="L65" s="72"/>
      <c r="M65" s="46">
        <f>M71</f>
        <v>2.16</v>
      </c>
      <c r="N65" s="46">
        <f>VLOOKUP($F:$F,材料单价表!$B$3:$G$42,5,0)</f>
        <v>0</v>
      </c>
      <c r="O65" s="46">
        <f t="shared" si="8"/>
        <v>0</v>
      </c>
      <c r="P65" s="48"/>
      <c r="Q65" s="48"/>
      <c r="R65" s="73"/>
      <c r="S65" s="73"/>
      <c r="T65" s="478"/>
    </row>
    <row r="66" spans="1:20" x14ac:dyDescent="0.15">
      <c r="A66" s="76">
        <v>8</v>
      </c>
      <c r="B66" s="545"/>
      <c r="C66" s="546"/>
      <c r="D66" s="546"/>
      <c r="E66" s="547"/>
      <c r="F66" s="215"/>
      <c r="G66" s="216"/>
      <c r="H66" s="207"/>
      <c r="I66" s="207"/>
      <c r="J66" s="207"/>
      <c r="K66" s="208"/>
      <c r="L66" s="209"/>
      <c r="M66" s="208"/>
      <c r="N66" s="208"/>
      <c r="O66" s="208"/>
      <c r="P66" s="211"/>
      <c r="Q66" s="48"/>
      <c r="R66" s="212"/>
      <c r="S66" s="212"/>
      <c r="T66" s="478"/>
    </row>
    <row r="67" spans="1:20" x14ac:dyDescent="0.15">
      <c r="A67" s="76">
        <v>9</v>
      </c>
      <c r="B67" s="545"/>
      <c r="C67" s="546"/>
      <c r="D67" s="546"/>
      <c r="E67" s="547"/>
      <c r="F67" s="558"/>
      <c r="G67" s="559"/>
      <c r="H67" s="45"/>
      <c r="I67" s="207"/>
      <c r="J67" s="45"/>
      <c r="K67" s="45"/>
      <c r="L67" s="72"/>
      <c r="M67" s="46"/>
      <c r="N67" s="46"/>
      <c r="O67" s="82"/>
      <c r="P67" s="48"/>
      <c r="Q67" s="48"/>
      <c r="R67" s="73"/>
      <c r="S67" s="73"/>
      <c r="T67" s="478"/>
    </row>
    <row r="68" spans="1:20" x14ac:dyDescent="0.15">
      <c r="A68" s="74"/>
      <c r="B68" s="571"/>
      <c r="C68" s="572"/>
      <c r="D68" s="572"/>
      <c r="E68" s="573"/>
      <c r="F68" s="552" t="s">
        <v>73</v>
      </c>
      <c r="G68" s="557"/>
      <c r="H68" s="557"/>
      <c r="I68" s="557"/>
      <c r="J68" s="557"/>
      <c r="K68" s="557"/>
      <c r="L68" s="557"/>
      <c r="M68" s="61"/>
      <c r="N68" s="61"/>
      <c r="O68" s="62">
        <f>SUM(O59:O67)</f>
        <v>0</v>
      </c>
      <c r="P68" s="63" t="s">
        <v>57</v>
      </c>
      <c r="Q68" s="337"/>
      <c r="R68" s="64"/>
      <c r="S68" s="64"/>
      <c r="T68" s="480"/>
    </row>
    <row r="69" spans="1:20" x14ac:dyDescent="0.15">
      <c r="A69" s="74"/>
      <c r="B69" s="571"/>
      <c r="C69" s="572"/>
      <c r="D69" s="572"/>
      <c r="E69" s="573"/>
      <c r="F69" s="552" t="s">
        <v>74</v>
      </c>
      <c r="G69" s="557"/>
      <c r="H69" s="557"/>
      <c r="I69" s="557"/>
      <c r="J69" s="557"/>
      <c r="K69" s="557"/>
      <c r="L69" s="557"/>
      <c r="M69" s="557"/>
      <c r="N69" s="553"/>
      <c r="O69" s="62">
        <f>O68+O57+O53+O47</f>
        <v>0</v>
      </c>
      <c r="P69" s="63" t="s">
        <v>57</v>
      </c>
      <c r="Q69" s="337"/>
      <c r="R69" s="64"/>
      <c r="S69" s="64"/>
      <c r="T69" s="480"/>
    </row>
    <row r="70" spans="1:20" ht="24" x14ac:dyDescent="0.15">
      <c r="A70" s="65"/>
      <c r="B70" s="560" t="s">
        <v>75</v>
      </c>
      <c r="C70" s="561"/>
      <c r="D70" s="561"/>
      <c r="E70" s="562"/>
      <c r="F70" s="565" t="s">
        <v>26</v>
      </c>
      <c r="G70" s="566"/>
      <c r="H70" s="66"/>
      <c r="I70" s="351"/>
      <c r="J70" s="66"/>
      <c r="K70" s="66" t="s">
        <v>6</v>
      </c>
      <c r="L70" s="83" t="s">
        <v>61</v>
      </c>
      <c r="M70" s="66" t="s">
        <v>76</v>
      </c>
      <c r="N70" s="68" t="s">
        <v>62</v>
      </c>
      <c r="O70" s="68" t="s">
        <v>34</v>
      </c>
      <c r="P70" s="84" t="s">
        <v>57</v>
      </c>
      <c r="Q70" s="84"/>
      <c r="R70" s="67"/>
      <c r="S70" s="67"/>
      <c r="T70" s="481"/>
    </row>
    <row r="71" spans="1:20" x14ac:dyDescent="0.15">
      <c r="A71" s="220">
        <v>1</v>
      </c>
      <c r="B71" s="545"/>
      <c r="C71" s="546"/>
      <c r="D71" s="546"/>
      <c r="E71" s="547"/>
      <c r="F71" s="545" t="s">
        <v>77</v>
      </c>
      <c r="G71" s="547"/>
      <c r="H71" s="45"/>
      <c r="I71" s="207"/>
      <c r="J71" s="46"/>
      <c r="K71" s="45" t="s">
        <v>78</v>
      </c>
      <c r="L71" s="72"/>
      <c r="M71" s="85">
        <f>O2</f>
        <v>2.16</v>
      </c>
      <c r="N71" s="46">
        <f>VLOOKUP($F:$F,材料单价表!$B$3:$G$42,5,0)</f>
        <v>0</v>
      </c>
      <c r="O71" s="46">
        <f>N71*M71</f>
        <v>0</v>
      </c>
      <c r="P71" s="48"/>
      <c r="Q71" s="48"/>
      <c r="R71" s="72"/>
      <c r="S71" s="72"/>
      <c r="T71" s="482"/>
    </row>
    <row r="72" spans="1:20" x14ac:dyDescent="0.15">
      <c r="A72" s="220">
        <v>2</v>
      </c>
      <c r="B72" s="545"/>
      <c r="C72" s="546"/>
      <c r="D72" s="546"/>
      <c r="E72" s="547"/>
      <c r="F72" s="545" t="s">
        <v>79</v>
      </c>
      <c r="G72" s="547"/>
      <c r="H72" s="45"/>
      <c r="I72" s="207"/>
      <c r="J72" s="46"/>
      <c r="K72" s="45" t="s">
        <v>78</v>
      </c>
      <c r="L72" s="72"/>
      <c r="M72" s="85">
        <f>M71</f>
        <v>2.16</v>
      </c>
      <c r="N72" s="46">
        <f>VLOOKUP($F:$F,材料单价表!$B$3:$G$42,5,0)</f>
        <v>0</v>
      </c>
      <c r="O72" s="46">
        <f>N72*M72</f>
        <v>0</v>
      </c>
      <c r="P72" s="48"/>
      <c r="Q72" s="48"/>
      <c r="R72" s="72"/>
      <c r="S72" s="72"/>
      <c r="T72" s="482"/>
    </row>
    <row r="73" spans="1:20" ht="24.75" customHeight="1" x14ac:dyDescent="0.15">
      <c r="A73" s="74"/>
      <c r="B73" s="571"/>
      <c r="C73" s="572"/>
      <c r="D73" s="572"/>
      <c r="E73" s="573"/>
      <c r="F73" s="552" t="s">
        <v>80</v>
      </c>
      <c r="G73" s="553"/>
      <c r="H73" s="217"/>
      <c r="I73" s="379"/>
      <c r="J73" s="554" t="s">
        <v>81</v>
      </c>
      <c r="K73" s="554"/>
      <c r="L73" s="554"/>
      <c r="M73" s="554"/>
      <c r="N73" s="87"/>
      <c r="O73" s="62">
        <f>O69+O71+O72</f>
        <v>0</v>
      </c>
      <c r="P73" s="63" t="s">
        <v>57</v>
      </c>
      <c r="Q73" s="337"/>
      <c r="R73" s="64"/>
      <c r="S73" s="64"/>
      <c r="T73" s="480"/>
    </row>
    <row r="74" spans="1:20" ht="24" customHeight="1" x14ac:dyDescent="0.15">
      <c r="A74" s="74"/>
      <c r="B74" s="571"/>
      <c r="C74" s="572"/>
      <c r="D74" s="572"/>
      <c r="E74" s="573"/>
      <c r="F74" s="555" t="s">
        <v>82</v>
      </c>
      <c r="G74" s="556"/>
      <c r="H74" s="219"/>
      <c r="I74" s="381"/>
      <c r="J74" s="552" t="s">
        <v>81</v>
      </c>
      <c r="K74" s="557"/>
      <c r="L74" s="557"/>
      <c r="M74" s="557"/>
      <c r="N74" s="62"/>
      <c r="O74" s="62">
        <f>O73/O2</f>
        <v>0</v>
      </c>
      <c r="P74" s="89" t="s">
        <v>57</v>
      </c>
      <c r="Q74" s="89"/>
      <c r="R74" s="90"/>
      <c r="S74" s="90"/>
      <c r="T74" s="485"/>
    </row>
    <row r="75" spans="1:20" ht="18.75" customHeight="1" x14ac:dyDescent="0.15">
      <c r="A75" s="549" t="s">
        <v>0</v>
      </c>
      <c r="B75" s="549"/>
      <c r="C75" s="549"/>
      <c r="D75" s="549"/>
      <c r="E75" s="549"/>
      <c r="F75" s="549"/>
      <c r="G75" s="549"/>
      <c r="H75" s="549"/>
      <c r="I75" s="549"/>
      <c r="J75" s="549"/>
      <c r="K75" s="549"/>
      <c r="L75" s="550"/>
      <c r="M75" s="549"/>
      <c r="N75" s="549"/>
      <c r="O75" s="549"/>
      <c r="P75" s="549"/>
      <c r="Q75" s="549"/>
      <c r="R75" s="551"/>
      <c r="S75" s="551"/>
      <c r="T75" s="474"/>
    </row>
    <row r="76" spans="1:20" ht="15" customHeight="1" x14ac:dyDescent="0.15">
      <c r="A76" s="2" t="s">
        <v>1</v>
      </c>
      <c r="B76" s="3" t="str">
        <f>$B$2</f>
        <v>WM</v>
      </c>
      <c r="C76" s="3">
        <v>2</v>
      </c>
      <c r="D76" s="3"/>
      <c r="E76" s="3"/>
      <c r="F76" s="4" t="s">
        <v>2</v>
      </c>
      <c r="G76" s="5">
        <v>50</v>
      </c>
      <c r="H76" s="106" t="s">
        <v>86</v>
      </c>
      <c r="I76" s="106"/>
      <c r="J76" s="4" t="s">
        <v>3</v>
      </c>
      <c r="K76" s="6">
        <f>L79</f>
        <v>1200</v>
      </c>
      <c r="L76" s="7" t="s">
        <v>83</v>
      </c>
      <c r="M76" s="6">
        <f>L78</f>
        <v>2400</v>
      </c>
      <c r="N76" s="8" t="s">
        <v>4</v>
      </c>
      <c r="O76" s="9">
        <f>M88</f>
        <v>2.88</v>
      </c>
      <c r="P76" s="10"/>
      <c r="Q76" s="10"/>
      <c r="R76" s="10" t="s">
        <v>5</v>
      </c>
      <c r="S76" s="11"/>
      <c r="T76" s="475"/>
    </row>
    <row r="77" spans="1:20" ht="15" customHeight="1" x14ac:dyDescent="0.2">
      <c r="A77" s="12"/>
      <c r="B77" s="252"/>
      <c r="C77" s="252"/>
      <c r="D77" s="252"/>
      <c r="E77" s="252"/>
      <c r="F77" s="14"/>
      <c r="G77" s="14" t="s">
        <v>851</v>
      </c>
      <c r="H77" s="15"/>
      <c r="I77" s="15"/>
      <c r="J77" s="16"/>
      <c r="K77" s="16" t="s">
        <v>6</v>
      </c>
      <c r="L77" s="17" t="s">
        <v>7</v>
      </c>
      <c r="M77" s="16" t="s">
        <v>8</v>
      </c>
      <c r="N77" s="18"/>
      <c r="O77" s="548" t="s">
        <v>940</v>
      </c>
      <c r="P77" s="548"/>
      <c r="Q77" s="16" t="s">
        <v>1018</v>
      </c>
      <c r="R77" s="529" t="s">
        <v>1187</v>
      </c>
      <c r="S77" s="530" t="s">
        <v>1592</v>
      </c>
      <c r="T77" s="476"/>
    </row>
    <row r="78" spans="1:20" ht="15" customHeight="1" x14ac:dyDescent="0.2">
      <c r="A78" s="342" t="s">
        <v>918</v>
      </c>
      <c r="B78" s="362" t="s">
        <v>971</v>
      </c>
      <c r="C78"/>
      <c r="D78"/>
      <c r="E78"/>
      <c r="F78" s="23"/>
      <c r="G78" s="23"/>
      <c r="H78" s="107"/>
      <c r="I78" s="107"/>
      <c r="J78" s="24" t="s">
        <v>9</v>
      </c>
      <c r="K78" s="16" t="s">
        <v>10</v>
      </c>
      <c r="L78" s="25">
        <v>2400</v>
      </c>
      <c r="M78" s="113">
        <f>L78-M87*2</f>
        <v>2300</v>
      </c>
      <c r="N78" s="18"/>
      <c r="O78" s="356" t="s">
        <v>941</v>
      </c>
      <c r="P78" s="357"/>
      <c r="Q78" s="16" t="s">
        <v>1019</v>
      </c>
      <c r="R78" s="529"/>
      <c r="S78" s="530"/>
      <c r="T78" s="476"/>
    </row>
    <row r="79" spans="1:20" ht="15" customHeight="1" x14ac:dyDescent="0.2">
      <c r="A79" s="21"/>
      <c r="B79" s="22"/>
      <c r="C79" s="22"/>
      <c r="D79" s="22"/>
      <c r="E79" s="22"/>
      <c r="F79" s="23"/>
      <c r="G79" s="23"/>
      <c r="H79" s="18"/>
      <c r="I79" s="18"/>
      <c r="J79" s="24" t="s">
        <v>11</v>
      </c>
      <c r="K79" s="16" t="s">
        <v>10</v>
      </c>
      <c r="L79" s="25">
        <v>1200</v>
      </c>
      <c r="M79" s="113">
        <f>L79-M87*2</f>
        <v>1100</v>
      </c>
      <c r="N79" s="18"/>
      <c r="O79" s="356" t="s">
        <v>924</v>
      </c>
      <c r="P79" s="357"/>
      <c r="Q79" s="16" t="s">
        <v>1020</v>
      </c>
      <c r="R79" s="529" t="s">
        <v>1188</v>
      </c>
      <c r="S79" s="530" t="s">
        <v>1086</v>
      </c>
      <c r="T79" s="476"/>
    </row>
    <row r="80" spans="1:20" ht="15" customHeight="1" x14ac:dyDescent="0.2">
      <c r="A80" s="21"/>
      <c r="B80" s="22"/>
      <c r="C80" s="22"/>
      <c r="D80" s="22"/>
      <c r="E80" s="22"/>
      <c r="F80" s="23"/>
      <c r="G80" s="23"/>
      <c r="H80" s="18"/>
      <c r="I80" s="18"/>
      <c r="J80" s="24" t="s">
        <v>12</v>
      </c>
      <c r="K80" s="16" t="s">
        <v>10</v>
      </c>
      <c r="L80" s="26"/>
      <c r="M80" s="113">
        <f>M78</f>
        <v>2300</v>
      </c>
      <c r="N80" s="18"/>
      <c r="O80" s="356" t="s">
        <v>925</v>
      </c>
      <c r="P80" s="357"/>
      <c r="Q80" s="16" t="s">
        <v>1021</v>
      </c>
      <c r="R80" s="529"/>
      <c r="S80" s="530"/>
      <c r="T80" s="476"/>
    </row>
    <row r="81" spans="1:33" ht="15" customHeight="1" x14ac:dyDescent="0.2">
      <c r="A81" s="21"/>
      <c r="B81" s="22"/>
      <c r="C81" s="22"/>
      <c r="D81" s="22"/>
      <c r="E81" s="22"/>
      <c r="F81" s="23"/>
      <c r="G81" s="23"/>
      <c r="H81" s="18"/>
      <c r="I81" s="18"/>
      <c r="J81" s="24" t="s">
        <v>13</v>
      </c>
      <c r="K81" s="16" t="s">
        <v>10</v>
      </c>
      <c r="L81" s="26"/>
      <c r="M81" s="113"/>
      <c r="N81" s="18"/>
      <c r="O81" s="356" t="s">
        <v>926</v>
      </c>
      <c r="P81" s="357"/>
      <c r="Q81" s="16" t="s">
        <v>1022</v>
      </c>
      <c r="R81" s="27"/>
      <c r="S81" s="28"/>
      <c r="T81" s="476"/>
    </row>
    <row r="82" spans="1:33" ht="15" customHeight="1" x14ac:dyDescent="0.2">
      <c r="A82" s="21"/>
      <c r="B82" s="22"/>
      <c r="C82" s="22"/>
      <c r="D82" s="22"/>
      <c r="E82" s="22"/>
      <c r="F82" s="23"/>
      <c r="G82" s="23"/>
      <c r="H82" s="18"/>
      <c r="I82" s="18"/>
      <c r="J82" s="24" t="s">
        <v>14</v>
      </c>
      <c r="K82" s="16" t="s">
        <v>10</v>
      </c>
      <c r="L82" s="26"/>
      <c r="M82" s="113"/>
      <c r="N82" s="18"/>
      <c r="O82" s="356" t="s">
        <v>927</v>
      </c>
      <c r="P82" s="357"/>
      <c r="Q82" s="16" t="s">
        <v>1023</v>
      </c>
      <c r="R82" s="27"/>
      <c r="S82" s="28"/>
      <c r="T82" s="476"/>
    </row>
    <row r="83" spans="1:33" ht="15" customHeight="1" x14ac:dyDescent="0.2">
      <c r="A83" s="21"/>
      <c r="B83" s="22"/>
      <c r="C83" s="22"/>
      <c r="D83" s="22"/>
      <c r="E83" s="22"/>
      <c r="F83" s="23"/>
      <c r="G83" s="23"/>
      <c r="H83" s="18"/>
      <c r="I83" s="18"/>
      <c r="J83" s="24" t="s">
        <v>15</v>
      </c>
      <c r="K83" s="16" t="s">
        <v>10</v>
      </c>
      <c r="L83" s="26"/>
      <c r="M83" s="113">
        <f>M79-M84</f>
        <v>700</v>
      </c>
      <c r="N83" s="18"/>
      <c r="O83" s="356" t="s">
        <v>928</v>
      </c>
      <c r="P83" s="357"/>
      <c r="Q83" s="16" t="s">
        <v>1005</v>
      </c>
      <c r="R83" s="27"/>
      <c r="S83" s="28"/>
      <c r="T83" s="476"/>
    </row>
    <row r="84" spans="1:33" ht="15" customHeight="1" x14ac:dyDescent="0.2">
      <c r="A84" s="21"/>
      <c r="B84" s="22"/>
      <c r="C84" s="22"/>
      <c r="D84" s="22"/>
      <c r="E84" s="22"/>
      <c r="F84" s="23"/>
      <c r="G84" s="23"/>
      <c r="H84" s="18"/>
      <c r="I84" s="18"/>
      <c r="J84" s="24" t="s">
        <v>16</v>
      </c>
      <c r="K84" s="16" t="s">
        <v>10</v>
      </c>
      <c r="L84" s="26"/>
      <c r="M84" s="113">
        <f>450-M87</f>
        <v>400</v>
      </c>
      <c r="N84" s="18"/>
      <c r="O84" s="356" t="s">
        <v>929</v>
      </c>
      <c r="P84" s="357"/>
      <c r="Q84" s="16" t="s">
        <v>1024</v>
      </c>
      <c r="R84" s="27"/>
      <c r="S84" s="28"/>
      <c r="T84" s="476"/>
    </row>
    <row r="85" spans="1:33" ht="15" customHeight="1" x14ac:dyDescent="0.2">
      <c r="A85" s="21"/>
      <c r="B85" s="22"/>
      <c r="C85" s="22"/>
      <c r="D85" s="22"/>
      <c r="E85" s="22"/>
      <c r="F85" s="23"/>
      <c r="G85" s="23"/>
      <c r="H85" s="18"/>
      <c r="I85" s="18"/>
      <c r="J85" s="24" t="s">
        <v>17</v>
      </c>
      <c r="K85" s="16" t="s">
        <v>10</v>
      </c>
      <c r="L85" s="26"/>
      <c r="M85" s="113"/>
      <c r="N85" s="18"/>
      <c r="O85" s="356" t="s">
        <v>930</v>
      </c>
      <c r="P85" s="357"/>
      <c r="Q85" s="16" t="s">
        <v>931</v>
      </c>
      <c r="R85" s="27"/>
      <c r="S85" s="28"/>
      <c r="T85" s="476"/>
    </row>
    <row r="86" spans="1:33" ht="15" customHeight="1" x14ac:dyDescent="0.2">
      <c r="A86" s="21"/>
      <c r="B86" s="22"/>
      <c r="C86" s="22"/>
      <c r="D86" s="22"/>
      <c r="E86" s="22"/>
      <c r="F86" s="23"/>
      <c r="G86" s="23"/>
      <c r="H86" s="18"/>
      <c r="I86" s="18"/>
      <c r="J86" s="24" t="s">
        <v>18</v>
      </c>
      <c r="K86" s="16" t="s">
        <v>10</v>
      </c>
      <c r="L86" s="26"/>
      <c r="M86" s="113"/>
      <c r="N86" s="18"/>
      <c r="O86" s="356" t="s">
        <v>932</v>
      </c>
      <c r="P86" s="357"/>
      <c r="Q86" s="16" t="s">
        <v>933</v>
      </c>
      <c r="R86" s="27"/>
      <c r="S86" s="28"/>
      <c r="T86" s="476"/>
    </row>
    <row r="87" spans="1:33" ht="15" customHeight="1" x14ac:dyDescent="0.2">
      <c r="A87" s="21"/>
      <c r="B87" s="22"/>
      <c r="C87" s="22"/>
      <c r="D87" s="22"/>
      <c r="E87" s="22"/>
      <c r="F87" s="23"/>
      <c r="G87" s="23"/>
      <c r="H87" s="18"/>
      <c r="I87" s="18"/>
      <c r="J87" s="24" t="s">
        <v>19</v>
      </c>
      <c r="K87" s="16" t="s">
        <v>10</v>
      </c>
      <c r="L87" s="26"/>
      <c r="M87" s="25">
        <v>50</v>
      </c>
      <c r="N87" s="18"/>
      <c r="O87" s="356" t="s">
        <v>934</v>
      </c>
      <c r="P87" s="357"/>
      <c r="Q87" s="16" t="s">
        <v>935</v>
      </c>
      <c r="R87" s="27"/>
      <c r="S87" s="28"/>
      <c r="T87" s="476"/>
    </row>
    <row r="88" spans="1:33" ht="15" customHeight="1" x14ac:dyDescent="0.2">
      <c r="A88" s="21"/>
      <c r="B88" s="22"/>
      <c r="C88" s="22"/>
      <c r="D88" s="22"/>
      <c r="E88" s="22"/>
      <c r="F88" s="23"/>
      <c r="G88" s="23"/>
      <c r="H88" s="18"/>
      <c r="I88" s="18"/>
      <c r="J88" s="29" t="s">
        <v>20</v>
      </c>
      <c r="K88" s="16" t="s">
        <v>21</v>
      </c>
      <c r="L88" s="30"/>
      <c r="M88" s="31">
        <f>L78*L79/1000000</f>
        <v>2.88</v>
      </c>
      <c r="N88" s="18"/>
      <c r="O88" s="356" t="s">
        <v>936</v>
      </c>
      <c r="P88" s="357"/>
      <c r="Q88" s="16" t="s">
        <v>937</v>
      </c>
      <c r="R88" s="27"/>
      <c r="S88" s="28"/>
      <c r="T88" s="476"/>
    </row>
    <row r="89" spans="1:33" ht="15" customHeight="1" x14ac:dyDescent="0.2">
      <c r="A89" s="32"/>
      <c r="B89" s="33"/>
      <c r="C89" s="33"/>
      <c r="D89" s="33"/>
      <c r="E89" s="33"/>
      <c r="F89" s="34"/>
      <c r="G89" s="34"/>
      <c r="H89" s="35"/>
      <c r="I89" s="35"/>
      <c r="J89" s="29" t="s">
        <v>22</v>
      </c>
      <c r="K89" s="16" t="s">
        <v>23</v>
      </c>
      <c r="L89" s="30"/>
      <c r="M89" s="36">
        <f>(L79+L78)*2/1000</f>
        <v>7.2</v>
      </c>
      <c r="N89" s="35"/>
      <c r="O89" s="356" t="s">
        <v>938</v>
      </c>
      <c r="P89" s="357"/>
      <c r="Q89" s="16" t="s">
        <v>939</v>
      </c>
      <c r="R89" s="37"/>
      <c r="S89" s="38"/>
      <c r="T89" s="476"/>
    </row>
    <row r="90" spans="1:33" ht="48.75" customHeight="1" x14ac:dyDescent="0.15">
      <c r="A90" s="39" t="s">
        <v>24</v>
      </c>
      <c r="B90" s="560" t="s">
        <v>25</v>
      </c>
      <c r="C90" s="561"/>
      <c r="D90" s="561"/>
      <c r="E90" s="562"/>
      <c r="F90" s="40" t="s">
        <v>26</v>
      </c>
      <c r="G90" s="40" t="s">
        <v>27</v>
      </c>
      <c r="H90" s="40" t="s">
        <v>28</v>
      </c>
      <c r="I90" s="40" t="s">
        <v>1334</v>
      </c>
      <c r="J90" s="40" t="s">
        <v>29</v>
      </c>
      <c r="K90" s="40" t="s">
        <v>30</v>
      </c>
      <c r="L90" s="41" t="s">
        <v>31</v>
      </c>
      <c r="M90" s="40" t="s">
        <v>32</v>
      </c>
      <c r="N90" s="40" t="s">
        <v>33</v>
      </c>
      <c r="O90" s="40" t="s">
        <v>34</v>
      </c>
      <c r="P90" s="42" t="s">
        <v>35</v>
      </c>
      <c r="Q90" s="359" t="s">
        <v>962</v>
      </c>
      <c r="R90" s="43" t="s">
        <v>36</v>
      </c>
      <c r="S90" s="43" t="s">
        <v>37</v>
      </c>
      <c r="T90" s="477"/>
      <c r="V90" s="261" t="s">
        <v>128</v>
      </c>
      <c r="W90" s="261"/>
      <c r="X90" s="262" t="s">
        <v>359</v>
      </c>
      <c r="Y90" s="263"/>
      <c r="Z90" s="262" t="s">
        <v>355</v>
      </c>
      <c r="AA90" s="263"/>
      <c r="AB90" s="262" t="s">
        <v>360</v>
      </c>
      <c r="AC90" s="263"/>
      <c r="AD90" s="262" t="s">
        <v>127</v>
      </c>
      <c r="AE90" s="263"/>
      <c r="AF90" s="262" t="s">
        <v>856</v>
      </c>
      <c r="AG90" s="287"/>
    </row>
    <row r="91" spans="1:33" x14ac:dyDescent="0.15">
      <c r="A91" s="220">
        <v>1</v>
      </c>
      <c r="B91" s="531" t="s">
        <v>38</v>
      </c>
      <c r="C91" s="532"/>
      <c r="D91" s="532"/>
      <c r="E91" s="533"/>
      <c r="F91" s="47" t="str">
        <f>VLOOKUP($H:$H,型材表!$B$5:$I$448,2,0)</f>
        <v>门框</v>
      </c>
      <c r="G91" s="45" t="s">
        <v>39</v>
      </c>
      <c r="H91" s="45" t="str">
        <f>IF(G76=55,"SW55MK001",IF(G76=551,"SW55BMK001",IF(G76=60,"SW60MK001",IF(G76=601,"SW60AMK001",IF(G76=65,"SW65AMK001",IF(G76=50,"SW50MK001"))))))</f>
        <v>SW50MK001</v>
      </c>
      <c r="I91" s="207" t="s">
        <v>1337</v>
      </c>
      <c r="J91" s="46">
        <f>M78</f>
        <v>2300</v>
      </c>
      <c r="K91" s="45">
        <v>2</v>
      </c>
      <c r="L91" s="47">
        <f>VLOOKUP($H:$H,型材表!$B$5:$I$448,4,0)</f>
        <v>1.0349999999999999</v>
      </c>
      <c r="M91" s="46">
        <f>J91*K91*L91/1000</f>
        <v>4.7610000000000001</v>
      </c>
      <c r="N91" s="72">
        <f>VLOOKUP($H:$H,型材表!$B$5:$I$448,7,0)</f>
        <v>0</v>
      </c>
      <c r="O91" s="46">
        <f>N91*M91</f>
        <v>0</v>
      </c>
      <c r="P91" s="100">
        <f>VLOOKUP($H:$H,型材表!$B$5:$I$448,5,0)</f>
        <v>0.125</v>
      </c>
      <c r="Q91" s="100" t="str">
        <f>VLOOKUP($H:$H,型材表!$B$5:$I$448,6,0)</f>
        <v>非断桥隔热铝型材</v>
      </c>
      <c r="R91" s="49"/>
      <c r="S91" s="50"/>
      <c r="T91" s="478"/>
      <c r="X91" s="264"/>
      <c r="Y91" s="265"/>
      <c r="Z91" s="264"/>
      <c r="AA91" s="265"/>
      <c r="AB91" s="264"/>
      <c r="AC91" s="265"/>
      <c r="AD91" s="264"/>
      <c r="AE91" s="265"/>
      <c r="AF91" s="264"/>
      <c r="AG91" s="288"/>
    </row>
    <row r="92" spans="1:33" x14ac:dyDescent="0.15">
      <c r="A92" s="220">
        <v>2</v>
      </c>
      <c r="B92" s="534"/>
      <c r="C92" s="535"/>
      <c r="D92" s="535"/>
      <c r="E92" s="536"/>
      <c r="F92" s="47" t="str">
        <f>VLOOKUP($H:$H,型材表!$B$5:$I$448,2,0)</f>
        <v>门框</v>
      </c>
      <c r="G92" s="45" t="s">
        <v>40</v>
      </c>
      <c r="H92" s="45" t="str">
        <f>H91</f>
        <v>SW50MK001</v>
      </c>
      <c r="I92" s="207" t="s">
        <v>1338</v>
      </c>
      <c r="J92" s="46">
        <f>M79</f>
        <v>1100</v>
      </c>
      <c r="K92" s="45">
        <v>2</v>
      </c>
      <c r="L92" s="47">
        <f>VLOOKUP($H:$H,型材表!$B$5:$I$448,4,0)</f>
        <v>1.0349999999999999</v>
      </c>
      <c r="M92" s="46">
        <f t="shared" ref="M92" si="9">J92*K92*L92/1000</f>
        <v>2.2770000000000001</v>
      </c>
      <c r="N92" s="72">
        <f>VLOOKUP($H:$H,型材表!$B$5:$I$448,7,0)</f>
        <v>0</v>
      </c>
      <c r="O92" s="46">
        <f t="shared" ref="O92" si="10">N92*M92</f>
        <v>0</v>
      </c>
      <c r="P92" s="100">
        <f>VLOOKUP($H:$H,型材表!$B$5:$I$448,5,0)</f>
        <v>0.125</v>
      </c>
      <c r="Q92" s="100" t="str">
        <f>VLOOKUP($H:$H,型材表!$B$5:$I$448,6,0)</f>
        <v>非断桥隔热铝型材</v>
      </c>
      <c r="R92" s="49"/>
      <c r="S92" s="50"/>
      <c r="T92" s="478"/>
      <c r="X92" s="264"/>
      <c r="Y92" s="265"/>
      <c r="Z92" s="264"/>
      <c r="AA92" s="265"/>
      <c r="AB92" s="264"/>
      <c r="AC92" s="265"/>
      <c r="AD92" s="264"/>
      <c r="AE92" s="265"/>
      <c r="AF92" s="264"/>
      <c r="AG92" s="288"/>
    </row>
    <row r="93" spans="1:33" x14ac:dyDescent="0.15">
      <c r="A93" s="220">
        <v>3</v>
      </c>
      <c r="B93" s="534"/>
      <c r="C93" s="535"/>
      <c r="D93" s="535"/>
      <c r="E93" s="536"/>
      <c r="F93" s="47"/>
      <c r="G93" s="45"/>
      <c r="H93" s="207"/>
      <c r="I93" s="207"/>
      <c r="J93" s="46"/>
      <c r="K93" s="45"/>
      <c r="L93" s="47"/>
      <c r="M93" s="46"/>
      <c r="N93" s="72"/>
      <c r="O93" s="46"/>
      <c r="P93" s="100"/>
      <c r="Q93" s="100"/>
      <c r="R93" s="210"/>
      <c r="S93" s="50"/>
      <c r="T93" s="478"/>
      <c r="X93" s="264"/>
      <c r="Y93" s="265"/>
      <c r="Z93" s="264"/>
      <c r="AA93" s="265"/>
      <c r="AB93" s="264"/>
      <c r="AC93" s="265"/>
      <c r="AD93" s="264"/>
      <c r="AE93" s="265"/>
      <c r="AF93" s="264"/>
      <c r="AG93" s="288"/>
    </row>
    <row r="94" spans="1:33" s="229" customFormat="1" x14ac:dyDescent="0.15">
      <c r="A94" s="220">
        <v>4</v>
      </c>
      <c r="B94" s="537"/>
      <c r="C94" s="538"/>
      <c r="D94" s="538"/>
      <c r="E94" s="539"/>
      <c r="F94" s="221"/>
      <c r="G94" s="222"/>
      <c r="H94" s="222"/>
      <c r="I94" s="222"/>
      <c r="J94" s="223"/>
      <c r="K94" s="222"/>
      <c r="L94" s="221"/>
      <c r="M94" s="224"/>
      <c r="N94" s="225"/>
      <c r="O94" s="224"/>
      <c r="P94" s="226"/>
      <c r="Q94" s="100"/>
      <c r="R94" s="227"/>
      <c r="S94" s="228"/>
      <c r="T94" s="479"/>
      <c r="U94" s="471"/>
      <c r="V94" s="266"/>
      <c r="W94" s="266"/>
      <c r="X94" s="267"/>
      <c r="Y94" s="268"/>
      <c r="Z94" s="267"/>
      <c r="AA94" s="268"/>
      <c r="AB94" s="267"/>
      <c r="AC94" s="268"/>
      <c r="AD94" s="267"/>
      <c r="AE94" s="268"/>
      <c r="AF94" s="267"/>
      <c r="AG94" s="289"/>
    </row>
    <row r="95" spans="1:33" x14ac:dyDescent="0.15">
      <c r="A95" s="220">
        <v>5</v>
      </c>
      <c r="B95" s="531" t="s">
        <v>41</v>
      </c>
      <c r="C95" s="532"/>
      <c r="D95" s="532"/>
      <c r="E95" s="533"/>
      <c r="F95" s="47" t="str">
        <f>VLOOKUP($H:$H,型材表!$B$5:$I$448,2,0)</f>
        <v>门扇</v>
      </c>
      <c r="G95" s="45" t="s">
        <v>39</v>
      </c>
      <c r="H95" s="45" t="str">
        <f>IF(G76=55,"SW55MS001",IF(G76=551,"SW55BMS001",IF(G76=60,"SW60MS001",IF(G76=601,"SW60AMS001",IF(G76=65,"SW65AMS001",IF(G76=50,"SW50MS001"))))))</f>
        <v>SW50MS001</v>
      </c>
      <c r="I95" s="207" t="s">
        <v>1339</v>
      </c>
      <c r="J95" s="46">
        <f>IF(G76=55,M80-V95,IF(G76=551,M80-X95,IF(G76=60,M80-Z95,IF(G76=601,M80-AB95,IF(G76=65,M80-AD95,IF(G76=50,M80-AF95))))))</f>
        <v>2246.8000000000002</v>
      </c>
      <c r="K95" s="45">
        <v>4</v>
      </c>
      <c r="L95" s="47">
        <f>VLOOKUP($H:$H,型材表!$B$5:$I$448,4,0)</f>
        <v>1.409</v>
      </c>
      <c r="M95" s="46">
        <f t="shared" ref="M95:M97" si="11">J95*K95*L95/1000</f>
        <v>12.662964800000001</v>
      </c>
      <c r="N95" s="72">
        <f>VLOOKUP($H:$H,型材表!$B$5:$I$448,7,0)</f>
        <v>0</v>
      </c>
      <c r="O95" s="46">
        <f t="shared" ref="O95:O97" si="12">N95*M95</f>
        <v>0</v>
      </c>
      <c r="P95" s="100">
        <f>VLOOKUP($H:$H,型材表!$B$5:$I$448,5,0)</f>
        <v>0.125</v>
      </c>
      <c r="Q95" s="100" t="str">
        <f>VLOOKUP($H:$H,型材表!$B$5:$I$448,6,0)</f>
        <v>非断桥隔热铝型材</v>
      </c>
      <c r="R95" s="49"/>
      <c r="S95" s="50"/>
      <c r="T95" s="478"/>
      <c r="U95" s="470" t="s">
        <v>1341</v>
      </c>
      <c r="V95" s="259">
        <f>31*2</f>
        <v>62</v>
      </c>
      <c r="X95" s="286">
        <f>31*2</f>
        <v>62</v>
      </c>
      <c r="Y95" s="265"/>
      <c r="Z95" s="286">
        <f>31*2</f>
        <v>62</v>
      </c>
      <c r="AA95" s="265"/>
      <c r="AB95" s="286">
        <f>31*2</f>
        <v>62</v>
      </c>
      <c r="AC95" s="265"/>
      <c r="AD95" s="286">
        <f>31*2</f>
        <v>62</v>
      </c>
      <c r="AE95" s="265"/>
      <c r="AF95" s="264">
        <f>26.6*2</f>
        <v>53.2</v>
      </c>
      <c r="AG95" s="288"/>
    </row>
    <row r="96" spans="1:33" x14ac:dyDescent="0.15">
      <c r="A96" s="220">
        <v>6</v>
      </c>
      <c r="B96" s="534"/>
      <c r="C96" s="535"/>
      <c r="D96" s="535"/>
      <c r="E96" s="536"/>
      <c r="F96" s="47" t="str">
        <f>VLOOKUP($H:$H,型材表!$B$5:$I$448,2,0)</f>
        <v>门扇</v>
      </c>
      <c r="G96" s="45" t="s">
        <v>40</v>
      </c>
      <c r="H96" s="207" t="str">
        <f>H95</f>
        <v>SW50MS001</v>
      </c>
      <c r="I96" s="207" t="s">
        <v>1353</v>
      </c>
      <c r="J96" s="208">
        <f>IF(G76=55,M79-V96,IF(G76=551,M79-X96,IF(G76=60,M79-Z96,IF(G76=601,M79-AB96,IF(G76=65,M79-AD96,IF(G76=50,M79-AF96))))))</f>
        <v>1042.0999999999999</v>
      </c>
      <c r="K96" s="207">
        <v>2</v>
      </c>
      <c r="L96" s="47">
        <f>VLOOKUP($H:$H,型材表!$B$5:$I$448,4,0)</f>
        <v>1.409</v>
      </c>
      <c r="M96" s="46">
        <f t="shared" si="11"/>
        <v>2.9366378000000002</v>
      </c>
      <c r="N96" s="72">
        <f>VLOOKUP($H:$H,型材表!$B$5:$I$448,7,0)</f>
        <v>0</v>
      </c>
      <c r="O96" s="46">
        <f t="shared" si="12"/>
        <v>0</v>
      </c>
      <c r="P96" s="100">
        <f>VLOOKUP($H:$H,型材表!$B$5:$I$448,5,0)</f>
        <v>0.125</v>
      </c>
      <c r="Q96" s="100" t="str">
        <f>VLOOKUP($H:$H,型材表!$B$5:$I$448,6,0)</f>
        <v>非断桥隔热铝型材</v>
      </c>
      <c r="R96" s="210"/>
      <c r="S96" s="50"/>
      <c r="T96" s="478"/>
      <c r="U96" s="470" t="s">
        <v>1352</v>
      </c>
      <c r="V96" s="259">
        <f>31*2+5</f>
        <v>67</v>
      </c>
      <c r="X96" s="286">
        <f>31*2+5</f>
        <v>67</v>
      </c>
      <c r="Y96" s="265"/>
      <c r="Z96" s="264">
        <f>31*2+5</f>
        <v>67</v>
      </c>
      <c r="AA96" s="265"/>
      <c r="AB96" s="264">
        <f>31*2+5</f>
        <v>67</v>
      </c>
      <c r="AC96" s="265"/>
      <c r="AD96" s="264">
        <f>31*2+5</f>
        <v>67</v>
      </c>
      <c r="AE96" s="265"/>
      <c r="AF96" s="264">
        <f>26.6*2+4.7</f>
        <v>57.900000000000006</v>
      </c>
      <c r="AG96" s="288"/>
    </row>
    <row r="97" spans="1:33" x14ac:dyDescent="0.15">
      <c r="A97" s="220">
        <v>7</v>
      </c>
      <c r="B97" s="534"/>
      <c r="C97" s="535"/>
      <c r="D97" s="535"/>
      <c r="E97" s="536"/>
      <c r="F97" s="47" t="str">
        <f>VLOOKUP($H:$H,型材表!$B$5:$I$448,2,0)</f>
        <v>假中梃</v>
      </c>
      <c r="G97" s="45"/>
      <c r="H97" s="45" t="str">
        <f>IF(G76=55,"SN55T101",IF(G76=551,"SN55BT101",IF(G76=60,"SN60T101",IF(G76=601,"SN60AT101",IF(G76=65,"SN65AT101",IF(G76=50,"SW50MZ101"))))))</f>
        <v>SW50MZ101</v>
      </c>
      <c r="I97" s="207" t="s">
        <v>1354</v>
      </c>
      <c r="J97" s="46">
        <f>IF(G76=55,M80-V97,IF(G76=551,M80-X97,IF(G76=60,M80-Z97,IF(G76=601,M80-AB97,IF(G76=65,M80-AD97,IF(G76=50,M80-AF97))))))</f>
        <v>2244.8000000000002</v>
      </c>
      <c r="K97" s="45">
        <v>1</v>
      </c>
      <c r="L97" s="47">
        <f>VLOOKUP($H:$H,型材表!$B$5:$I$448,4,0)</f>
        <v>0.57499999999999996</v>
      </c>
      <c r="M97" s="46">
        <f t="shared" si="11"/>
        <v>1.2907599999999999</v>
      </c>
      <c r="N97" s="72">
        <f>VLOOKUP($H:$H,型材表!$B$5:$I$448,7,0)</f>
        <v>0</v>
      </c>
      <c r="O97" s="46">
        <f t="shared" si="12"/>
        <v>0</v>
      </c>
      <c r="P97" s="100">
        <f>VLOOKUP($H:$H,型材表!$B$5:$I$448,5,0)</f>
        <v>0.125</v>
      </c>
      <c r="Q97" s="100" t="str">
        <f>VLOOKUP($H:$H,型材表!$B$5:$I$448,6,0)</f>
        <v>非断桥隔热铝型材</v>
      </c>
      <c r="R97" s="49"/>
      <c r="S97" s="50"/>
      <c r="T97" s="478"/>
      <c r="U97" s="470" t="s">
        <v>1355</v>
      </c>
      <c r="V97" s="259">
        <f>32*2</f>
        <v>64</v>
      </c>
      <c r="X97" s="286">
        <f>32*2</f>
        <v>64</v>
      </c>
      <c r="Y97" s="265"/>
      <c r="Z97" s="286">
        <f>32*2</f>
        <v>64</v>
      </c>
      <c r="AA97" s="265"/>
      <c r="AB97" s="286">
        <f>32*2</f>
        <v>64</v>
      </c>
      <c r="AC97" s="265"/>
      <c r="AD97" s="286">
        <f>32*2</f>
        <v>64</v>
      </c>
      <c r="AE97" s="265"/>
      <c r="AF97" s="264">
        <f>27.6*2</f>
        <v>55.2</v>
      </c>
      <c r="AG97" s="288"/>
    </row>
    <row r="98" spans="1:33" x14ac:dyDescent="0.15">
      <c r="A98" s="220">
        <v>8</v>
      </c>
      <c r="B98" s="534"/>
      <c r="C98" s="535"/>
      <c r="D98" s="535"/>
      <c r="E98" s="536"/>
      <c r="F98" s="47"/>
      <c r="G98" s="45"/>
      <c r="H98" s="45"/>
      <c r="I98" s="207"/>
      <c r="J98" s="46"/>
      <c r="K98" s="45"/>
      <c r="L98" s="47"/>
      <c r="M98" s="46"/>
      <c r="N98" s="72"/>
      <c r="O98" s="46"/>
      <c r="P98" s="100"/>
      <c r="Q98" s="100"/>
      <c r="R98" s="49"/>
      <c r="S98" s="50"/>
      <c r="T98" s="478"/>
      <c r="X98" s="286"/>
      <c r="Y98" s="265"/>
      <c r="Z98" s="264"/>
      <c r="AA98" s="265"/>
      <c r="AB98" s="264"/>
      <c r="AC98" s="265"/>
      <c r="AD98" s="264"/>
      <c r="AE98" s="265"/>
      <c r="AF98" s="264"/>
      <c r="AG98" s="288"/>
    </row>
    <row r="99" spans="1:33" x14ac:dyDescent="0.15">
      <c r="A99" s="220">
        <v>9</v>
      </c>
      <c r="B99" s="534"/>
      <c r="C99" s="535"/>
      <c r="D99" s="535"/>
      <c r="E99" s="536"/>
      <c r="F99" s="47"/>
      <c r="G99" s="45"/>
      <c r="H99" s="207"/>
      <c r="I99" s="207"/>
      <c r="J99" s="208"/>
      <c r="K99" s="207"/>
      <c r="L99" s="47"/>
      <c r="M99" s="46"/>
      <c r="N99" s="72"/>
      <c r="O99" s="46"/>
      <c r="P99" s="100"/>
      <c r="Q99" s="100"/>
      <c r="R99" s="210"/>
      <c r="S99" s="50"/>
      <c r="T99" s="478"/>
      <c r="X99" s="286"/>
      <c r="Y99" s="265"/>
      <c r="Z99" s="264"/>
      <c r="AA99" s="265"/>
      <c r="AB99" s="264"/>
      <c r="AC99" s="265"/>
      <c r="AD99" s="264"/>
      <c r="AE99" s="265"/>
      <c r="AF99" s="264"/>
      <c r="AG99" s="288"/>
    </row>
    <row r="100" spans="1:33" x14ac:dyDescent="0.15">
      <c r="A100" s="220">
        <v>10</v>
      </c>
      <c r="B100" s="537"/>
      <c r="C100" s="538"/>
      <c r="D100" s="538"/>
      <c r="E100" s="539"/>
      <c r="F100" s="47"/>
      <c r="G100" s="45"/>
      <c r="H100" s="45"/>
      <c r="I100" s="207"/>
      <c r="J100" s="46"/>
      <c r="K100" s="45"/>
      <c r="L100" s="47"/>
      <c r="M100" s="46"/>
      <c r="N100" s="72"/>
      <c r="O100" s="46"/>
      <c r="P100" s="100"/>
      <c r="Q100" s="100"/>
      <c r="R100" s="49"/>
      <c r="S100" s="50"/>
      <c r="T100" s="478"/>
      <c r="X100" s="286"/>
      <c r="Y100" s="265"/>
      <c r="Z100" s="264"/>
      <c r="AA100" s="265"/>
      <c r="AB100" s="264"/>
      <c r="AC100" s="265"/>
      <c r="AD100" s="264"/>
      <c r="AE100" s="265"/>
      <c r="AF100" s="264"/>
      <c r="AG100" s="288"/>
    </row>
    <row r="101" spans="1:33" x14ac:dyDescent="0.15">
      <c r="A101" s="220">
        <v>11</v>
      </c>
      <c r="B101" s="531" t="s">
        <v>44</v>
      </c>
      <c r="C101" s="532"/>
      <c r="D101" s="532"/>
      <c r="E101" s="533"/>
      <c r="F101" s="47" t="str">
        <f>VLOOKUP($H:$H,型材表!$B$5:$I$448,2,0)</f>
        <v>压线</v>
      </c>
      <c r="G101" s="45" t="s">
        <v>39</v>
      </c>
      <c r="H101" s="45" t="str">
        <f>IF(G76=55,"SN55Y001",IF(G76=551,"SW55BY001",IF(G76=60,"SN60Y001",IF(G76=601,"SW60AY001",IF(G76=65,"SN65AY001",IF(G76=50,"SW50Y001"))))))</f>
        <v>SW50Y001</v>
      </c>
      <c r="I101" s="207" t="s">
        <v>1346</v>
      </c>
      <c r="J101" s="52">
        <f>IF(G76=55,M80-V101,IF(G76=551,M80-X101,IF(G76=60,M80-Z101,IF(G76=601,M80-AB101,IF(G76=65,M80-AD101,IF(G76=50,M80-AF101))))))</f>
        <v>2112.8000000000002</v>
      </c>
      <c r="K101" s="45">
        <v>4</v>
      </c>
      <c r="L101" s="47">
        <f>VLOOKUP($H:$H,型材表!$B$5:$I$448,4,0)</f>
        <v>0.192</v>
      </c>
      <c r="M101" s="46">
        <f t="shared" ref="M101:M105" si="13">J101*K101*L101/1000</f>
        <v>1.6226304000000003</v>
      </c>
      <c r="N101" s="72">
        <f>VLOOKUP($H:$H,型材表!$B$5:$I$448,7,0)</f>
        <v>0</v>
      </c>
      <c r="O101" s="46">
        <f t="shared" ref="O101:O105" si="14">N101*M101</f>
        <v>0</v>
      </c>
      <c r="P101" s="100">
        <f>VLOOKUP($H:$H,型材表!$B$5:$I$448,5,0)</f>
        <v>0.125</v>
      </c>
      <c r="Q101" s="100" t="str">
        <f>VLOOKUP($H:$H,型材表!$B$5:$I$448,6,0)</f>
        <v>非断桥隔热铝型材</v>
      </c>
      <c r="R101" s="49"/>
      <c r="S101" s="50"/>
      <c r="T101" s="478"/>
      <c r="U101" s="470" t="s">
        <v>1348</v>
      </c>
      <c r="V101" s="269">
        <f>98.5*2</f>
        <v>197</v>
      </c>
      <c r="X101" s="279">
        <f>98.5*2</f>
        <v>197</v>
      </c>
      <c r="Y101" s="265"/>
      <c r="Z101" s="279">
        <f>98.5*2</f>
        <v>197</v>
      </c>
      <c r="AA101" s="265"/>
      <c r="AB101" s="279">
        <f>98.5*2</f>
        <v>197</v>
      </c>
      <c r="AC101" s="265"/>
      <c r="AD101" s="279">
        <f>98.5*2</f>
        <v>197</v>
      </c>
      <c r="AE101" s="265"/>
      <c r="AF101" s="264">
        <f>93.6*2</f>
        <v>187.2</v>
      </c>
      <c r="AG101" s="288"/>
    </row>
    <row r="102" spans="1:33" x14ac:dyDescent="0.15">
      <c r="A102" s="220">
        <v>12</v>
      </c>
      <c r="B102" s="534"/>
      <c r="C102" s="535"/>
      <c r="D102" s="535"/>
      <c r="E102" s="536"/>
      <c r="F102" s="47" t="str">
        <f>VLOOKUP($H:$H,型材表!$B$5:$I$448,2,0)</f>
        <v>压线</v>
      </c>
      <c r="G102" s="45" t="s">
        <v>40</v>
      </c>
      <c r="H102" s="207" t="str">
        <f>H101</f>
        <v>SW50Y001</v>
      </c>
      <c r="I102" s="207" t="s">
        <v>1357</v>
      </c>
      <c r="J102" s="214">
        <f>IF(G76=55,M79-V102,IF(G76=551,M79-X102,IF(G76=60,M79-Z102,IF(G76=601,M79-AB102,IF(G76=65,M79-AD102,IF(G76=50,M79-AF102))))))</f>
        <v>774.1</v>
      </c>
      <c r="K102" s="207">
        <v>2</v>
      </c>
      <c r="L102" s="47">
        <f>VLOOKUP($H:$H,型材表!$B$5:$I$448,4,0)</f>
        <v>0.192</v>
      </c>
      <c r="M102" s="46">
        <f t="shared" si="13"/>
        <v>0.29725440000000003</v>
      </c>
      <c r="N102" s="72">
        <f>VLOOKUP($H:$H,型材表!$B$5:$I$448,7,0)</f>
        <v>0</v>
      </c>
      <c r="O102" s="46">
        <f t="shared" si="14"/>
        <v>0</v>
      </c>
      <c r="P102" s="100">
        <f>VLOOKUP($H:$H,型材表!$B$5:$I$448,5,0)</f>
        <v>0.125</v>
      </c>
      <c r="Q102" s="100" t="str">
        <f>VLOOKUP($H:$H,型材表!$B$5:$I$448,6,0)</f>
        <v>非断桥隔热铝型材</v>
      </c>
      <c r="R102" s="210"/>
      <c r="S102" s="50"/>
      <c r="T102" s="478"/>
      <c r="U102" s="470" t="s">
        <v>1356</v>
      </c>
      <c r="V102" s="259">
        <f>98.5*2+140</f>
        <v>337</v>
      </c>
      <c r="X102" s="286">
        <f>98.5*2+140</f>
        <v>337</v>
      </c>
      <c r="Y102" s="265"/>
      <c r="Z102" s="286">
        <f>98.5*2+140</f>
        <v>337</v>
      </c>
      <c r="AA102" s="265"/>
      <c r="AB102" s="286">
        <f>98.5*2+140</f>
        <v>337</v>
      </c>
      <c r="AC102" s="265"/>
      <c r="AD102" s="286">
        <f>98.5*2+140</f>
        <v>337</v>
      </c>
      <c r="AE102" s="265"/>
      <c r="AF102" s="264">
        <f>93.6*2+138.7</f>
        <v>325.89999999999998</v>
      </c>
      <c r="AG102" s="288"/>
    </row>
    <row r="103" spans="1:33" x14ac:dyDescent="0.15">
      <c r="A103" s="220">
        <v>13</v>
      </c>
      <c r="B103" s="534"/>
      <c r="C103" s="535"/>
      <c r="D103" s="535"/>
      <c r="E103" s="536"/>
      <c r="F103" s="47" t="str">
        <f>VLOOKUP($H:$H,型材表!$B$5:$I$448,2,0)</f>
        <v>角码</v>
      </c>
      <c r="G103" s="213" t="s">
        <v>446</v>
      </c>
      <c r="H103" s="207" t="str">
        <f>IF(G76=50,"SW50F002","SN55MF004")</f>
        <v>SW50F002</v>
      </c>
      <c r="I103" s="207" t="s">
        <v>1343</v>
      </c>
      <c r="J103" s="214">
        <f>IF(G76=55,V103,IF(G76=551,X103,IF(G76=60,Z103,IF(G76=601,AB103,IF(G76=65,AD103,IF(G76=50,AF103))))))</f>
        <v>14</v>
      </c>
      <c r="K103" s="207">
        <v>4</v>
      </c>
      <c r="L103" s="47">
        <f>VLOOKUP($H:$H,型材表!$B$5:$I$448,4,0)</f>
        <v>2.3119999999999998</v>
      </c>
      <c r="M103" s="46">
        <f t="shared" si="13"/>
        <v>0.12947199999999998</v>
      </c>
      <c r="N103" s="72">
        <f>VLOOKUP($H:$H,型材表!$B$5:$I$448,7,0)</f>
        <v>0</v>
      </c>
      <c r="O103" s="46">
        <f t="shared" si="14"/>
        <v>0</v>
      </c>
      <c r="P103" s="100">
        <f>VLOOKUP($H:$H,型材表!$B$5:$I$448,5,0)</f>
        <v>0.125</v>
      </c>
      <c r="Q103" s="100" t="str">
        <f>VLOOKUP($H:$H,型材表!$B$5:$I$448,6,0)</f>
        <v>阳极氧化铝型材</v>
      </c>
      <c r="R103" s="210"/>
      <c r="S103" s="50"/>
      <c r="T103" s="478"/>
      <c r="U103" s="470" t="s">
        <v>1343</v>
      </c>
      <c r="V103" s="259">
        <f>9.9-1+18.5-1</f>
        <v>26.4</v>
      </c>
      <c r="X103" s="264">
        <f>18.5-1+9.9-1</f>
        <v>26.4</v>
      </c>
      <c r="Y103" s="265"/>
      <c r="Z103" s="317">
        <f>18.5-1+13.7-1</f>
        <v>30.2</v>
      </c>
      <c r="AA103" s="265"/>
      <c r="AB103" s="264">
        <f>18.5-1+9.9-1</f>
        <v>26.4</v>
      </c>
      <c r="AC103" s="265"/>
      <c r="AD103" s="317">
        <f>18.5-1+13.7-1</f>
        <v>30.2</v>
      </c>
      <c r="AE103" s="265"/>
      <c r="AF103" s="264">
        <f>15-1</f>
        <v>14</v>
      </c>
      <c r="AG103" s="288"/>
    </row>
    <row r="104" spans="1:33" s="229" customFormat="1" x14ac:dyDescent="0.15">
      <c r="A104" s="220">
        <v>14</v>
      </c>
      <c r="B104" s="534"/>
      <c r="C104" s="535"/>
      <c r="D104" s="535"/>
      <c r="E104" s="536"/>
      <c r="F104" s="47" t="str">
        <f>VLOOKUP($H:$H,型材表!$B$5:$I$448,2,0)</f>
        <v>角码</v>
      </c>
      <c r="G104" s="230" t="s">
        <v>447</v>
      </c>
      <c r="H104" s="222" t="str">
        <f>IF(G76=50,"SW50MF001","SN55MF005")</f>
        <v>SW50MF001</v>
      </c>
      <c r="I104" s="222" t="s">
        <v>1344</v>
      </c>
      <c r="J104" s="214">
        <f>IF(G76=55,V104,IF(G76=551,X104,IF(G76=60,Z104,IF(G76=601,AB104,IF(G76=65,AD104,IF(G76=50,AF104))))))</f>
        <v>45.6</v>
      </c>
      <c r="K104" s="207">
        <v>8</v>
      </c>
      <c r="L104" s="47">
        <f>VLOOKUP($H:$H,型材表!$B$5:$I$448,4,0)</f>
        <v>3.3159999999999998</v>
      </c>
      <c r="M104" s="46">
        <f t="shared" si="13"/>
        <v>1.2096768</v>
      </c>
      <c r="N104" s="72">
        <f>VLOOKUP($H:$H,型材表!$B$5:$I$448,7,0)</f>
        <v>0</v>
      </c>
      <c r="O104" s="46">
        <f t="shared" si="14"/>
        <v>0</v>
      </c>
      <c r="P104" s="100">
        <f>VLOOKUP($H:$H,型材表!$B$5:$I$448,5,0)</f>
        <v>0.125</v>
      </c>
      <c r="Q104" s="100" t="str">
        <f>VLOOKUP($H:$H,型材表!$B$5:$I$448,6,0)</f>
        <v>阳极氧化铝型材</v>
      </c>
      <c r="R104" s="227"/>
      <c r="S104" s="228"/>
      <c r="T104" s="479"/>
      <c r="U104" s="471" t="s">
        <v>1344</v>
      </c>
      <c r="V104" s="266">
        <f>25.7-1</f>
        <v>24.7</v>
      </c>
      <c r="W104" s="266"/>
      <c r="X104" s="267">
        <f>25.4-1</f>
        <v>24.4</v>
      </c>
      <c r="Y104" s="268"/>
      <c r="Z104" s="267">
        <f>25.7-1</f>
        <v>24.7</v>
      </c>
      <c r="AA104" s="268"/>
      <c r="AB104" s="267">
        <f>25.4-1</f>
        <v>24.4</v>
      </c>
      <c r="AC104" s="268"/>
      <c r="AD104" s="267">
        <f>25.7-1</f>
        <v>24.7</v>
      </c>
      <c r="AE104" s="268"/>
      <c r="AF104" s="267">
        <f>46.6-1</f>
        <v>45.6</v>
      </c>
      <c r="AG104" s="289"/>
    </row>
    <row r="105" spans="1:33" x14ac:dyDescent="0.15">
      <c r="A105" s="220">
        <v>15</v>
      </c>
      <c r="B105" s="534"/>
      <c r="C105" s="535"/>
      <c r="D105" s="535"/>
      <c r="E105" s="536"/>
      <c r="F105" s="47">
        <f>VLOOKUP($H:$H,型材表!$B$5:$I$448,2,0)</f>
        <v>0</v>
      </c>
      <c r="G105" s="230" t="s">
        <v>447</v>
      </c>
      <c r="H105" s="45">
        <f>IF(G76=551,"SW55BMF001",IF(G76=601,"SW55BMF001",IF(G76=50,0,"SN55MF005")))</f>
        <v>0</v>
      </c>
      <c r="I105" s="207" t="s">
        <v>1345</v>
      </c>
      <c r="J105" s="52">
        <f>IF(G76=55,V105,IF(G76=551,X105,IF(G76=60,Z105,IF(G76=601,AB105,IF(G76=65,AD105,IF(G76=50,AF105))))))</f>
        <v>0</v>
      </c>
      <c r="K105" s="45">
        <f>K104</f>
        <v>8</v>
      </c>
      <c r="L105" s="47">
        <f>VLOOKUP($H:$H,型材表!$B$5:$I$448,4,0)</f>
        <v>0</v>
      </c>
      <c r="M105" s="46">
        <f t="shared" si="13"/>
        <v>0</v>
      </c>
      <c r="N105" s="72">
        <f>VLOOKUP($H:$H,型材表!$B$5:$I$448,7,0)</f>
        <v>0</v>
      </c>
      <c r="O105" s="46">
        <f t="shared" si="14"/>
        <v>0</v>
      </c>
      <c r="P105" s="100">
        <f>VLOOKUP($H:$H,型材表!$B$5:$I$448,5,0)</f>
        <v>0</v>
      </c>
      <c r="Q105" s="46">
        <f>VLOOKUP($H:$H,型材表!$B$5:$I$448,6,0)</f>
        <v>0</v>
      </c>
      <c r="R105" s="49"/>
      <c r="S105" s="50"/>
      <c r="T105" s="478"/>
      <c r="U105" s="470" t="s">
        <v>1345</v>
      </c>
      <c r="V105" s="259">
        <f>14.7-1</f>
        <v>13.7</v>
      </c>
      <c r="X105" s="317">
        <f>11.2-1</f>
        <v>10.199999999999999</v>
      </c>
      <c r="Y105" s="265"/>
      <c r="Z105" s="264">
        <f>14.7-1</f>
        <v>13.7</v>
      </c>
      <c r="AA105" s="265"/>
      <c r="AB105" s="317">
        <f>11.2-1</f>
        <v>10.199999999999999</v>
      </c>
      <c r="AC105" s="265"/>
      <c r="AD105" s="264">
        <f>14.7-1</f>
        <v>13.7</v>
      </c>
      <c r="AE105" s="265"/>
      <c r="AF105" s="264"/>
      <c r="AG105" s="288"/>
    </row>
    <row r="106" spans="1:33" x14ac:dyDescent="0.15">
      <c r="A106" s="302">
        <v>16</v>
      </c>
      <c r="B106" s="534"/>
      <c r="C106" s="535"/>
      <c r="D106" s="535"/>
      <c r="E106" s="536"/>
      <c r="F106" s="306"/>
      <c r="G106" s="230"/>
      <c r="H106" s="207"/>
      <c r="I106" s="207"/>
      <c r="J106" s="214"/>
      <c r="K106" s="207"/>
      <c r="L106" s="306"/>
      <c r="M106" s="208"/>
      <c r="N106" s="209"/>
      <c r="O106" s="208"/>
      <c r="P106" s="307"/>
      <c r="Q106" s="100"/>
      <c r="R106" s="210"/>
      <c r="S106" s="50"/>
      <c r="T106" s="478"/>
      <c r="X106" s="264"/>
      <c r="Y106" s="265"/>
      <c r="Z106" s="264"/>
      <c r="AA106" s="265"/>
      <c r="AB106" s="264"/>
      <c r="AC106" s="265"/>
      <c r="AD106" s="264"/>
      <c r="AE106" s="265"/>
      <c r="AF106" s="264"/>
      <c r="AG106" s="288"/>
    </row>
    <row r="107" spans="1:33" x14ac:dyDescent="0.15">
      <c r="A107" s="302">
        <v>17</v>
      </c>
      <c r="B107" s="534"/>
      <c r="C107" s="535"/>
      <c r="D107" s="535"/>
      <c r="E107" s="536"/>
      <c r="F107" s="306"/>
      <c r="G107" s="230"/>
      <c r="H107" s="207"/>
      <c r="I107" s="207"/>
      <c r="J107" s="214"/>
      <c r="K107" s="207"/>
      <c r="L107" s="306"/>
      <c r="M107" s="208"/>
      <c r="N107" s="209"/>
      <c r="O107" s="208"/>
      <c r="P107" s="307"/>
      <c r="Q107" s="100"/>
      <c r="R107" s="210"/>
      <c r="S107" s="50"/>
      <c r="T107" s="478"/>
      <c r="X107" s="264"/>
      <c r="Y107" s="265"/>
      <c r="Z107" s="264"/>
      <c r="AA107" s="265"/>
      <c r="AB107" s="264"/>
      <c r="AC107" s="265"/>
      <c r="AD107" s="264"/>
      <c r="AE107" s="265"/>
      <c r="AF107" s="264"/>
      <c r="AG107" s="288"/>
    </row>
    <row r="108" spans="1:33" x14ac:dyDescent="0.15">
      <c r="A108" s="302">
        <v>18</v>
      </c>
      <c r="B108" s="534"/>
      <c r="C108" s="535"/>
      <c r="D108" s="535"/>
      <c r="E108" s="536"/>
      <c r="F108" s="306"/>
      <c r="G108" s="230"/>
      <c r="H108" s="207"/>
      <c r="I108" s="207"/>
      <c r="J108" s="214"/>
      <c r="K108" s="207"/>
      <c r="L108" s="306"/>
      <c r="M108" s="208"/>
      <c r="N108" s="209"/>
      <c r="O108" s="208"/>
      <c r="P108" s="307"/>
      <c r="Q108" s="100"/>
      <c r="R108" s="210"/>
      <c r="S108" s="50"/>
      <c r="T108" s="478"/>
      <c r="X108" s="264"/>
      <c r="Y108" s="265"/>
      <c r="Z108" s="264"/>
      <c r="AA108" s="265"/>
      <c r="AB108" s="264"/>
      <c r="AC108" s="265"/>
      <c r="AD108" s="264"/>
      <c r="AE108" s="265"/>
      <c r="AF108" s="264"/>
      <c r="AG108" s="288"/>
    </row>
    <row r="109" spans="1:33" x14ac:dyDescent="0.15">
      <c r="A109" s="302">
        <v>19</v>
      </c>
      <c r="B109" s="534"/>
      <c r="C109" s="535"/>
      <c r="D109" s="535"/>
      <c r="E109" s="536"/>
      <c r="F109" s="306"/>
      <c r="G109" s="230"/>
      <c r="H109" s="207"/>
      <c r="I109" s="207"/>
      <c r="J109" s="214"/>
      <c r="K109" s="207"/>
      <c r="L109" s="306"/>
      <c r="M109" s="208"/>
      <c r="N109" s="209"/>
      <c r="O109" s="208"/>
      <c r="P109" s="307"/>
      <c r="Q109" s="100"/>
      <c r="R109" s="210"/>
      <c r="S109" s="50"/>
      <c r="T109" s="478"/>
      <c r="X109" s="264"/>
      <c r="Y109" s="265"/>
      <c r="Z109" s="264"/>
      <c r="AA109" s="265"/>
      <c r="AB109" s="264"/>
      <c r="AC109" s="265"/>
      <c r="AD109" s="264"/>
      <c r="AE109" s="265"/>
      <c r="AF109" s="264"/>
      <c r="AG109" s="288"/>
    </row>
    <row r="110" spans="1:33" x14ac:dyDescent="0.15">
      <c r="A110" s="413">
        <v>20</v>
      </c>
      <c r="B110" s="534"/>
      <c r="C110" s="535"/>
      <c r="D110" s="535"/>
      <c r="E110" s="536"/>
      <c r="F110" s="306"/>
      <c r="G110" s="230"/>
      <c r="H110" s="207"/>
      <c r="I110" s="207"/>
      <c r="J110" s="214"/>
      <c r="K110" s="207"/>
      <c r="L110" s="306"/>
      <c r="M110" s="208"/>
      <c r="N110" s="209"/>
      <c r="O110" s="208"/>
      <c r="P110" s="307"/>
      <c r="Q110" s="307"/>
      <c r="R110" s="210"/>
      <c r="S110" s="50"/>
      <c r="T110" s="478"/>
      <c r="X110" s="264"/>
      <c r="Y110" s="265"/>
      <c r="Z110" s="264"/>
      <c r="AA110" s="265"/>
      <c r="AB110" s="264"/>
      <c r="AC110" s="265"/>
      <c r="AD110" s="264"/>
      <c r="AE110" s="265"/>
      <c r="AF110" s="264"/>
      <c r="AG110" s="288"/>
    </row>
    <row r="111" spans="1:33" x14ac:dyDescent="0.15">
      <c r="A111" s="413">
        <v>21</v>
      </c>
      <c r="B111" s="534"/>
      <c r="C111" s="535"/>
      <c r="D111" s="535"/>
      <c r="E111" s="536"/>
      <c r="F111" s="306"/>
      <c r="G111" s="230"/>
      <c r="H111" s="207"/>
      <c r="I111" s="207"/>
      <c r="J111" s="214"/>
      <c r="K111" s="207"/>
      <c r="L111" s="306"/>
      <c r="M111" s="208"/>
      <c r="N111" s="209"/>
      <c r="O111" s="208"/>
      <c r="P111" s="307"/>
      <c r="Q111" s="307"/>
      <c r="R111" s="210"/>
      <c r="S111" s="50"/>
      <c r="T111" s="478"/>
      <c r="X111" s="264"/>
      <c r="Y111" s="265"/>
      <c r="Z111" s="264"/>
      <c r="AA111" s="265"/>
      <c r="AB111" s="264"/>
      <c r="AC111" s="265"/>
      <c r="AD111" s="264"/>
      <c r="AE111" s="265"/>
      <c r="AF111" s="264"/>
      <c r="AG111" s="288"/>
    </row>
    <row r="112" spans="1:33" x14ac:dyDescent="0.15">
      <c r="A112" s="413">
        <v>22</v>
      </c>
      <c r="B112" s="534"/>
      <c r="C112" s="535"/>
      <c r="D112" s="535"/>
      <c r="E112" s="536"/>
      <c r="F112" s="306"/>
      <c r="G112" s="230"/>
      <c r="H112" s="207"/>
      <c r="I112" s="207"/>
      <c r="J112" s="214"/>
      <c r="K112" s="207"/>
      <c r="L112" s="306"/>
      <c r="M112" s="208"/>
      <c r="N112" s="209"/>
      <c r="O112" s="208"/>
      <c r="P112" s="307"/>
      <c r="Q112" s="307"/>
      <c r="R112" s="210"/>
      <c r="S112" s="50"/>
      <c r="T112" s="478"/>
      <c r="X112" s="264"/>
      <c r="Y112" s="265"/>
      <c r="Z112" s="264"/>
      <c r="AA112" s="265"/>
      <c r="AB112" s="264"/>
      <c r="AC112" s="265"/>
      <c r="AD112" s="264"/>
      <c r="AE112" s="265"/>
      <c r="AF112" s="264"/>
      <c r="AG112" s="288"/>
    </row>
    <row r="113" spans="1:33" x14ac:dyDescent="0.15">
      <c r="A113" s="413">
        <v>23</v>
      </c>
      <c r="B113" s="534"/>
      <c r="C113" s="535"/>
      <c r="D113" s="535"/>
      <c r="E113" s="536"/>
      <c r="F113" s="306"/>
      <c r="G113" s="230"/>
      <c r="H113" s="207"/>
      <c r="I113" s="207"/>
      <c r="J113" s="214"/>
      <c r="K113" s="207"/>
      <c r="L113" s="306"/>
      <c r="M113" s="208"/>
      <c r="N113" s="209"/>
      <c r="O113" s="208"/>
      <c r="P113" s="307"/>
      <c r="Q113" s="307"/>
      <c r="R113" s="210"/>
      <c r="S113" s="50"/>
      <c r="T113" s="478"/>
      <c r="X113" s="264"/>
      <c r="Y113" s="265"/>
      <c r="Z113" s="264"/>
      <c r="AA113" s="265"/>
      <c r="AB113" s="264"/>
      <c r="AC113" s="265"/>
      <c r="AD113" s="264"/>
      <c r="AE113" s="265"/>
      <c r="AF113" s="264"/>
      <c r="AG113" s="288"/>
    </row>
    <row r="114" spans="1:33" x14ac:dyDescent="0.15">
      <c r="A114" s="413">
        <v>24</v>
      </c>
      <c r="B114" s="534"/>
      <c r="C114" s="535"/>
      <c r="D114" s="535"/>
      <c r="E114" s="536"/>
      <c r="F114" s="306"/>
      <c r="G114" s="230"/>
      <c r="H114" s="207"/>
      <c r="I114" s="207"/>
      <c r="J114" s="214"/>
      <c r="K114" s="207"/>
      <c r="L114" s="306"/>
      <c r="M114" s="208"/>
      <c r="N114" s="209"/>
      <c r="O114" s="208"/>
      <c r="P114" s="307"/>
      <c r="Q114" s="100"/>
      <c r="R114" s="210"/>
      <c r="S114" s="50"/>
      <c r="T114" s="478"/>
      <c r="X114" s="264"/>
      <c r="Y114" s="265"/>
      <c r="Z114" s="264"/>
      <c r="AA114" s="265"/>
      <c r="AB114" s="264"/>
      <c r="AC114" s="265"/>
      <c r="AD114" s="264"/>
      <c r="AE114" s="265"/>
      <c r="AF114" s="264"/>
      <c r="AG114" s="288"/>
    </row>
    <row r="115" spans="1:33" x14ac:dyDescent="0.15">
      <c r="A115" s="413">
        <v>25</v>
      </c>
      <c r="B115" s="534"/>
      <c r="C115" s="535"/>
      <c r="D115" s="535"/>
      <c r="E115" s="536"/>
      <c r="F115" s="306"/>
      <c r="G115" s="230"/>
      <c r="H115" s="207"/>
      <c r="I115" s="207"/>
      <c r="J115" s="214"/>
      <c r="K115" s="207"/>
      <c r="L115" s="306"/>
      <c r="M115" s="208"/>
      <c r="N115" s="209"/>
      <c r="O115" s="208"/>
      <c r="P115" s="307"/>
      <c r="Q115" s="100"/>
      <c r="R115" s="210"/>
      <c r="S115" s="50"/>
      <c r="T115" s="478"/>
      <c r="X115" s="264"/>
      <c r="Y115" s="265"/>
      <c r="Z115" s="264"/>
      <c r="AA115" s="265"/>
      <c r="AB115" s="264"/>
      <c r="AC115" s="265"/>
      <c r="AD115" s="264"/>
      <c r="AE115" s="265"/>
      <c r="AF115" s="264"/>
      <c r="AG115" s="288"/>
    </row>
    <row r="116" spans="1:33" x14ac:dyDescent="0.15">
      <c r="A116" s="413">
        <v>26</v>
      </c>
      <c r="B116" s="534"/>
      <c r="C116" s="535"/>
      <c r="D116" s="535"/>
      <c r="E116" s="536"/>
      <c r="F116" s="47"/>
      <c r="G116" s="213"/>
      <c r="H116" s="207"/>
      <c r="I116" s="207"/>
      <c r="J116" s="214"/>
      <c r="K116" s="207"/>
      <c r="L116" s="47"/>
      <c r="M116" s="46"/>
      <c r="N116" s="72"/>
      <c r="O116" s="46"/>
      <c r="P116" s="100"/>
      <c r="Q116" s="100"/>
      <c r="R116" s="210"/>
      <c r="S116" s="50"/>
      <c r="T116" s="478"/>
      <c r="X116" s="264"/>
      <c r="Y116" s="265"/>
      <c r="Z116" s="264"/>
      <c r="AA116" s="265"/>
      <c r="AB116" s="264"/>
      <c r="AC116" s="265"/>
      <c r="AD116" s="264"/>
      <c r="AE116" s="265"/>
      <c r="AF116" s="264"/>
      <c r="AG116" s="288"/>
    </row>
    <row r="117" spans="1:33" s="229" customFormat="1" x14ac:dyDescent="0.15">
      <c r="A117" s="413">
        <v>27</v>
      </c>
      <c r="B117" s="537"/>
      <c r="C117" s="538"/>
      <c r="D117" s="538"/>
      <c r="E117" s="539"/>
      <c r="F117" s="221"/>
      <c r="G117" s="232"/>
      <c r="H117" s="233"/>
      <c r="I117" s="222"/>
      <c r="J117" s="234"/>
      <c r="K117" s="233"/>
      <c r="L117" s="221"/>
      <c r="M117" s="224"/>
      <c r="N117" s="225"/>
      <c r="O117" s="224"/>
      <c r="P117" s="226"/>
      <c r="Q117" s="100"/>
      <c r="R117" s="235"/>
      <c r="S117" s="228"/>
      <c r="T117" s="479"/>
      <c r="U117" s="471"/>
      <c r="V117" s="266"/>
      <c r="W117" s="266"/>
      <c r="X117" s="267"/>
      <c r="Y117" s="268"/>
      <c r="Z117" s="267"/>
      <c r="AA117" s="268"/>
      <c r="AB117" s="267"/>
      <c r="AC117" s="268"/>
      <c r="AD117" s="267"/>
      <c r="AE117" s="268"/>
      <c r="AF117" s="267"/>
      <c r="AG117" s="289"/>
    </row>
    <row r="118" spans="1:33" s="229" customFormat="1" x14ac:dyDescent="0.15">
      <c r="A118" s="567" t="s">
        <v>919</v>
      </c>
      <c r="B118" s="568"/>
      <c r="C118" s="568"/>
      <c r="D118" s="568"/>
      <c r="E118" s="568"/>
      <c r="F118" s="568"/>
      <c r="G118" s="568"/>
      <c r="H118" s="568"/>
      <c r="I118" s="568"/>
      <c r="J118" s="568"/>
      <c r="K118" s="568"/>
      <c r="L118" s="569"/>
      <c r="M118" s="224">
        <f>SUMIF($Q$91:$Q$117,A118,$M$91:$M$117)</f>
        <v>0</v>
      </c>
      <c r="N118" s="353"/>
      <c r="O118" s="224"/>
      <c r="P118" s="354"/>
      <c r="Q118" s="355"/>
      <c r="R118" s="296"/>
      <c r="S118" s="228"/>
      <c r="T118" s="479"/>
      <c r="U118" s="471"/>
      <c r="V118" s="266"/>
      <c r="W118" s="266"/>
      <c r="X118" s="267"/>
      <c r="Y118" s="268"/>
      <c r="Z118" s="267"/>
      <c r="AA118" s="268"/>
      <c r="AB118" s="267"/>
      <c r="AC118" s="268"/>
      <c r="AD118" s="267"/>
      <c r="AE118" s="268"/>
      <c r="AF118" s="267"/>
      <c r="AG118" s="289"/>
    </row>
    <row r="119" spans="1:33" s="229" customFormat="1" x14ac:dyDescent="0.15">
      <c r="A119" s="567" t="s">
        <v>920</v>
      </c>
      <c r="B119" s="568"/>
      <c r="C119" s="568"/>
      <c r="D119" s="568"/>
      <c r="E119" s="568"/>
      <c r="F119" s="568"/>
      <c r="G119" s="568"/>
      <c r="H119" s="568"/>
      <c r="I119" s="568"/>
      <c r="J119" s="568"/>
      <c r="K119" s="568"/>
      <c r="L119" s="569"/>
      <c r="M119" s="224">
        <f>SUMIF($Q$91:$Q$117,A119,$M$91:$M$117)</f>
        <v>25.848247399999998</v>
      </c>
      <c r="N119" s="353"/>
      <c r="O119" s="224"/>
      <c r="P119" s="354"/>
      <c r="Q119" s="355"/>
      <c r="R119" s="296"/>
      <c r="S119" s="228"/>
      <c r="T119" s="479"/>
      <c r="U119" s="471"/>
      <c r="V119" s="266"/>
      <c r="W119" s="266"/>
      <c r="X119" s="267"/>
      <c r="Y119" s="268"/>
      <c r="Z119" s="267"/>
      <c r="AA119" s="268"/>
      <c r="AB119" s="267"/>
      <c r="AC119" s="268"/>
      <c r="AD119" s="267"/>
      <c r="AE119" s="268"/>
      <c r="AF119" s="267"/>
      <c r="AG119" s="289"/>
    </row>
    <row r="120" spans="1:33" s="229" customFormat="1" x14ac:dyDescent="0.15">
      <c r="A120" s="567" t="s">
        <v>921</v>
      </c>
      <c r="B120" s="568"/>
      <c r="C120" s="568"/>
      <c r="D120" s="568"/>
      <c r="E120" s="568"/>
      <c r="F120" s="568"/>
      <c r="G120" s="568"/>
      <c r="H120" s="568"/>
      <c r="I120" s="568"/>
      <c r="J120" s="568"/>
      <c r="K120" s="568"/>
      <c r="L120" s="569"/>
      <c r="M120" s="224">
        <f>SUMIF($Q$91:$Q$117,A120,$M$91:$M$117)</f>
        <v>1.3391488</v>
      </c>
      <c r="N120" s="353"/>
      <c r="O120" s="224"/>
      <c r="P120" s="354"/>
      <c r="Q120" s="355"/>
      <c r="R120" s="296"/>
      <c r="S120" s="228"/>
      <c r="T120" s="479"/>
      <c r="U120" s="471"/>
      <c r="V120" s="266"/>
      <c r="W120" s="266"/>
      <c r="X120" s="267"/>
      <c r="Y120" s="268"/>
      <c r="Z120" s="267"/>
      <c r="AA120" s="268"/>
      <c r="AB120" s="267"/>
      <c r="AC120" s="268"/>
      <c r="AD120" s="267"/>
      <c r="AE120" s="268"/>
      <c r="AF120" s="267"/>
      <c r="AG120" s="289"/>
    </row>
    <row r="121" spans="1:33" x14ac:dyDescent="0.15">
      <c r="A121" s="61"/>
      <c r="B121" s="571"/>
      <c r="C121" s="572"/>
      <c r="D121" s="572"/>
      <c r="E121" s="573"/>
      <c r="F121" s="552" t="s">
        <v>48</v>
      </c>
      <c r="G121" s="557"/>
      <c r="H121" s="557"/>
      <c r="I121" s="557"/>
      <c r="J121" s="557"/>
      <c r="K121" s="557"/>
      <c r="L121" s="553"/>
      <c r="M121" s="62">
        <f>SUM(M118:M120)</f>
        <v>27.187396199999998</v>
      </c>
      <c r="N121" s="63"/>
      <c r="O121" s="62">
        <f>SUM(O91:O117)</f>
        <v>0</v>
      </c>
      <c r="P121" s="63"/>
      <c r="Q121" s="337"/>
      <c r="R121" s="64"/>
      <c r="S121" s="64"/>
      <c r="T121" s="480"/>
      <c r="X121" s="264"/>
      <c r="Y121" s="265"/>
      <c r="Z121" s="264"/>
      <c r="AA121" s="265"/>
      <c r="AB121" s="264"/>
      <c r="AC121" s="265"/>
      <c r="AD121" s="264"/>
      <c r="AE121" s="265"/>
      <c r="AF121" s="264"/>
      <c r="AG121" s="288"/>
    </row>
    <row r="122" spans="1:33" ht="24" x14ac:dyDescent="0.15">
      <c r="A122" s="65"/>
      <c r="B122" s="560" t="s">
        <v>49</v>
      </c>
      <c r="C122" s="561"/>
      <c r="D122" s="561"/>
      <c r="E122" s="562"/>
      <c r="F122" s="565" t="s">
        <v>26</v>
      </c>
      <c r="G122" s="566"/>
      <c r="H122" s="66" t="s">
        <v>1335</v>
      </c>
      <c r="I122" s="351" t="s">
        <v>1336</v>
      </c>
      <c r="J122" s="66" t="s">
        <v>50</v>
      </c>
      <c r="K122" s="66" t="s">
        <v>51</v>
      </c>
      <c r="L122" s="67" t="s">
        <v>30</v>
      </c>
      <c r="M122" s="66" t="s">
        <v>52</v>
      </c>
      <c r="N122" s="68" t="s">
        <v>53</v>
      </c>
      <c r="O122" s="68" t="s">
        <v>34</v>
      </c>
      <c r="P122" s="69" t="s">
        <v>35</v>
      </c>
      <c r="Q122" s="42"/>
      <c r="R122" s="67"/>
      <c r="S122" s="67"/>
      <c r="T122" s="481"/>
      <c r="V122" s="270" t="s">
        <v>352</v>
      </c>
      <c r="W122" s="270" t="s">
        <v>353</v>
      </c>
      <c r="X122" s="271" t="s">
        <v>352</v>
      </c>
      <c r="Y122" s="272" t="s">
        <v>353</v>
      </c>
      <c r="Z122" s="271" t="s">
        <v>352</v>
      </c>
      <c r="AA122" s="272" t="s">
        <v>353</v>
      </c>
      <c r="AB122" s="271" t="s">
        <v>352</v>
      </c>
      <c r="AC122" s="272" t="s">
        <v>353</v>
      </c>
      <c r="AD122" s="271" t="s">
        <v>352</v>
      </c>
      <c r="AE122" s="272" t="s">
        <v>353</v>
      </c>
      <c r="AF122" s="271" t="s">
        <v>859</v>
      </c>
      <c r="AG122" s="290" t="s">
        <v>860</v>
      </c>
    </row>
    <row r="123" spans="1:33" x14ac:dyDescent="0.15">
      <c r="A123" s="220">
        <v>1</v>
      </c>
      <c r="B123" s="545" t="s">
        <v>133</v>
      </c>
      <c r="C123" s="546"/>
      <c r="D123" s="546"/>
      <c r="E123" s="547"/>
      <c r="F123" s="545" t="s">
        <v>55</v>
      </c>
      <c r="G123" s="547"/>
      <c r="H123" s="45" t="s">
        <v>1358</v>
      </c>
      <c r="I123" s="207" t="s">
        <v>1351</v>
      </c>
      <c r="J123" s="46">
        <f>IF(G76=55,M83-V123,IF(G76=551,M83-X123,IF(G76=60,M83-Z123,IF(G76=601,M83-AB123,IF(G76=65,M83-AD123,IF(G76=50,M83-AF123))))))</f>
        <v>521.04999999999995</v>
      </c>
      <c r="K123" s="70">
        <f>IF(G76=55,M80-W123,IF(G76=551,M80-Y123,IF(G76=60,M80-AA123,IF(G76=601,M80-AC123,IF(G76=65,M80-AE123,IF(G76=50,M80-AG123))))))</f>
        <v>2096.8000000000002</v>
      </c>
      <c r="L123" s="70">
        <v>1</v>
      </c>
      <c r="M123" s="46">
        <f>J123*K123*L123/1000000</f>
        <v>1.09253764</v>
      </c>
      <c r="N123" s="46"/>
      <c r="O123" s="46">
        <f>N123*M123</f>
        <v>0</v>
      </c>
      <c r="P123" s="71"/>
      <c r="Q123" s="71"/>
      <c r="R123" s="72"/>
      <c r="S123" s="72"/>
      <c r="T123" s="482" t="s">
        <v>1612</v>
      </c>
      <c r="U123" s="470" t="s">
        <v>1611</v>
      </c>
      <c r="V123" s="259">
        <f>110.5+80</f>
        <v>190.5</v>
      </c>
      <c r="W123" s="259">
        <f>110.5*2</f>
        <v>221</v>
      </c>
      <c r="X123" s="264">
        <f>110.5+80</f>
        <v>190.5</v>
      </c>
      <c r="Y123" s="259">
        <f>110.5*2</f>
        <v>221</v>
      </c>
      <c r="Z123" s="264">
        <f>110.5+80</f>
        <v>190.5</v>
      </c>
      <c r="AA123" s="259">
        <f>110.5*2</f>
        <v>221</v>
      </c>
      <c r="AB123" s="264">
        <f>110.5+80</f>
        <v>190.5</v>
      </c>
      <c r="AC123" s="259">
        <f>110.5*2</f>
        <v>221</v>
      </c>
      <c r="AD123" s="264">
        <f>108.5+80</f>
        <v>188.5</v>
      </c>
      <c r="AE123" s="318">
        <f>108.5*2</f>
        <v>217</v>
      </c>
      <c r="AF123" s="264">
        <f>101.6+77.35</f>
        <v>178.95</v>
      </c>
      <c r="AG123" s="288">
        <f>101.6*2</f>
        <v>203.2</v>
      </c>
    </row>
    <row r="124" spans="1:33" x14ac:dyDescent="0.15">
      <c r="A124" s="238">
        <v>2</v>
      </c>
      <c r="B124" s="545" t="s">
        <v>133</v>
      </c>
      <c r="C124" s="546"/>
      <c r="D124" s="546"/>
      <c r="E124" s="547"/>
      <c r="F124" s="545" t="s">
        <v>135</v>
      </c>
      <c r="G124" s="547"/>
      <c r="H124" s="45" t="s">
        <v>1359</v>
      </c>
      <c r="I124" s="207" t="s">
        <v>1351</v>
      </c>
      <c r="J124" s="208">
        <f>IF(G76=55,M84-V124,IF(G76=551,M84-X124,IF(G76=60,M84-Z124,IF(G76=601,M84-AB124,IF(G76=65,M84-AD124,IF(G76=50,M84-AF124))))))</f>
        <v>221.05</v>
      </c>
      <c r="K124" s="239">
        <f>IF(G76=55,M80-W124,IF(G76=551,M80-Y124,IF(G76=60,M80-AA124,IF(G76=601,M80-AC124,IF(G76=65,M80-AE124,IF(G76=50,M80-AG124))))))</f>
        <v>2096.8000000000002</v>
      </c>
      <c r="L124" s="239">
        <v>1</v>
      </c>
      <c r="M124" s="46">
        <f>J124*K124*L124/1000000</f>
        <v>0.4634976400000001</v>
      </c>
      <c r="N124" s="208"/>
      <c r="O124" s="46">
        <f>N124*M124</f>
        <v>0</v>
      </c>
      <c r="P124" s="240"/>
      <c r="Q124" s="71"/>
      <c r="R124" s="209"/>
      <c r="S124" s="209"/>
      <c r="T124" s="482" t="s">
        <v>1612</v>
      </c>
      <c r="U124" s="470" t="s">
        <v>1611</v>
      </c>
      <c r="V124" s="259">
        <f>110.5+80</f>
        <v>190.5</v>
      </c>
      <c r="W124" s="259">
        <f>110.5*2</f>
        <v>221</v>
      </c>
      <c r="X124" s="264">
        <f>110.5+80</f>
        <v>190.5</v>
      </c>
      <c r="Y124" s="259">
        <f>110.5*2</f>
        <v>221</v>
      </c>
      <c r="Z124" s="264">
        <f>110.5+80</f>
        <v>190.5</v>
      </c>
      <c r="AA124" s="259">
        <f>110.5*2</f>
        <v>221</v>
      </c>
      <c r="AB124" s="264">
        <f>110.5+80</f>
        <v>190.5</v>
      </c>
      <c r="AC124" s="259">
        <f>110.5*2</f>
        <v>221</v>
      </c>
      <c r="AD124" s="264">
        <f>108.5+80</f>
        <v>188.5</v>
      </c>
      <c r="AE124" s="318">
        <f>108.5*2</f>
        <v>217</v>
      </c>
      <c r="AF124" s="264">
        <f>77.35+101.6</f>
        <v>178.95</v>
      </c>
      <c r="AG124" s="288">
        <f>101.6*2</f>
        <v>203.2</v>
      </c>
    </row>
    <row r="125" spans="1:33" x14ac:dyDescent="0.15">
      <c r="A125" s="220"/>
      <c r="B125" s="545"/>
      <c r="C125" s="546"/>
      <c r="D125" s="546"/>
      <c r="E125" s="547"/>
      <c r="F125" s="545"/>
      <c r="G125" s="547"/>
      <c r="H125" s="45"/>
      <c r="I125" s="207"/>
      <c r="J125" s="45"/>
      <c r="K125" s="45"/>
      <c r="L125" s="70"/>
      <c r="M125" s="46"/>
      <c r="N125" s="46"/>
      <c r="O125" s="46"/>
      <c r="P125" s="71"/>
      <c r="Q125" s="71"/>
      <c r="R125" s="72"/>
      <c r="S125" s="72"/>
      <c r="T125" s="482"/>
      <c r="X125" s="264"/>
      <c r="Y125" s="265"/>
      <c r="Z125" s="264"/>
      <c r="AA125" s="265"/>
      <c r="AB125" s="264"/>
      <c r="AC125" s="265"/>
      <c r="AD125" s="264"/>
      <c r="AE125" s="265"/>
      <c r="AF125" s="264"/>
      <c r="AG125" s="288"/>
    </row>
    <row r="126" spans="1:33" x14ac:dyDescent="0.15">
      <c r="A126" s="220"/>
      <c r="B126" s="545"/>
      <c r="C126" s="546"/>
      <c r="D126" s="546"/>
      <c r="E126" s="547"/>
      <c r="F126" s="545"/>
      <c r="G126" s="547"/>
      <c r="H126" s="45"/>
      <c r="I126" s="207"/>
      <c r="J126" s="46"/>
      <c r="K126" s="220"/>
      <c r="L126" s="70"/>
      <c r="M126" s="46"/>
      <c r="N126" s="46"/>
      <c r="O126" s="46"/>
      <c r="P126" s="48"/>
      <c r="Q126" s="48"/>
      <c r="R126" s="73"/>
      <c r="S126" s="73"/>
      <c r="T126" s="478"/>
      <c r="X126" s="264"/>
      <c r="Y126" s="265"/>
      <c r="Z126" s="264"/>
      <c r="AA126" s="265"/>
    </row>
    <row r="127" spans="1:33" x14ac:dyDescent="0.15">
      <c r="A127" s="74"/>
      <c r="B127" s="571"/>
      <c r="C127" s="572"/>
      <c r="D127" s="572"/>
      <c r="E127" s="573"/>
      <c r="F127" s="554" t="s">
        <v>56</v>
      </c>
      <c r="G127" s="554"/>
      <c r="H127" s="554"/>
      <c r="I127" s="579"/>
      <c r="J127" s="570"/>
      <c r="K127" s="570"/>
      <c r="L127" s="554"/>
      <c r="M127" s="62">
        <f>SUM(M123:M126)</f>
        <v>1.5560352800000001</v>
      </c>
      <c r="N127" s="218"/>
      <c r="O127" s="62">
        <f>SUM(O123:O126)</f>
        <v>0</v>
      </c>
      <c r="P127" s="63" t="s">
        <v>57</v>
      </c>
      <c r="Q127" s="337"/>
      <c r="R127" s="64"/>
      <c r="S127" s="64"/>
      <c r="T127" s="480"/>
    </row>
    <row r="128" spans="1:33" ht="24" x14ac:dyDescent="0.15">
      <c r="A128" s="65"/>
      <c r="B128" s="560" t="s">
        <v>58</v>
      </c>
      <c r="C128" s="561"/>
      <c r="D128" s="561"/>
      <c r="E128" s="562"/>
      <c r="F128" s="565" t="s">
        <v>26</v>
      </c>
      <c r="G128" s="566"/>
      <c r="H128" s="66" t="s">
        <v>59</v>
      </c>
      <c r="I128" s="351"/>
      <c r="J128" s="66" t="s">
        <v>60</v>
      </c>
      <c r="K128" s="66" t="s">
        <v>6</v>
      </c>
      <c r="L128" s="67" t="s">
        <v>61</v>
      </c>
      <c r="M128" s="66" t="s">
        <v>30</v>
      </c>
      <c r="N128" s="68" t="s">
        <v>62</v>
      </c>
      <c r="O128" s="68" t="s">
        <v>34</v>
      </c>
      <c r="P128" s="69" t="s">
        <v>57</v>
      </c>
      <c r="Q128" s="42"/>
      <c r="R128" s="67"/>
      <c r="S128" s="67"/>
      <c r="T128" s="481"/>
    </row>
    <row r="129" spans="1:23" ht="25.5" customHeight="1" x14ac:dyDescent="0.15">
      <c r="A129" s="220">
        <v>1</v>
      </c>
      <c r="B129" s="545"/>
      <c r="C129" s="546"/>
      <c r="D129" s="546"/>
      <c r="E129" s="547"/>
      <c r="F129" s="545" t="s">
        <v>852</v>
      </c>
      <c r="G129" s="547"/>
      <c r="H129" s="45"/>
      <c r="I129" s="207"/>
      <c r="J129" s="45"/>
      <c r="K129" s="46" t="str">
        <f>VLOOKUP($F:$F,材料单价表!$B$3:$G$42,4,0)</f>
        <v>套</v>
      </c>
      <c r="L129" s="72"/>
      <c r="M129" s="46">
        <v>2</v>
      </c>
      <c r="N129" s="46">
        <f>VLOOKUP($F:$F,材料单价表!$B$3:$G$42,5,0)</f>
        <v>0</v>
      </c>
      <c r="O129" s="46">
        <f t="shared" ref="O129" si="15">N129*M129</f>
        <v>0</v>
      </c>
      <c r="P129" s="48"/>
      <c r="Q129" s="48"/>
      <c r="R129" s="73"/>
      <c r="S129" s="73"/>
      <c r="T129" s="478"/>
    </row>
    <row r="130" spans="1:23" ht="25.5" customHeight="1" x14ac:dyDescent="0.15">
      <c r="A130" s="258"/>
      <c r="B130" s="545"/>
      <c r="C130" s="546"/>
      <c r="D130" s="546"/>
      <c r="E130" s="547"/>
      <c r="F130" s="545"/>
      <c r="G130" s="547"/>
      <c r="H130" s="45"/>
      <c r="I130" s="207"/>
      <c r="J130" s="45"/>
      <c r="K130" s="46"/>
      <c r="L130" s="72"/>
      <c r="M130" s="46"/>
      <c r="N130" s="46"/>
      <c r="O130" s="46"/>
      <c r="P130" s="48"/>
      <c r="Q130" s="48"/>
      <c r="R130" s="73"/>
      <c r="S130" s="73"/>
      <c r="T130" s="478"/>
    </row>
    <row r="131" spans="1:23" x14ac:dyDescent="0.15">
      <c r="A131" s="74"/>
      <c r="B131" s="571"/>
      <c r="C131" s="572"/>
      <c r="D131" s="572"/>
      <c r="E131" s="573"/>
      <c r="F131" s="554" t="s">
        <v>64</v>
      </c>
      <c r="G131" s="554"/>
      <c r="H131" s="554"/>
      <c r="I131" s="579"/>
      <c r="J131" s="570"/>
      <c r="K131" s="570"/>
      <c r="L131" s="554"/>
      <c r="M131" s="62">
        <f>M129</f>
        <v>2</v>
      </c>
      <c r="N131" s="218"/>
      <c r="O131" s="62">
        <f>SUM(O129:O129)</f>
        <v>0</v>
      </c>
      <c r="P131" s="63" t="s">
        <v>57</v>
      </c>
      <c r="Q131" s="337"/>
      <c r="R131" s="64"/>
      <c r="S131" s="64"/>
      <c r="T131" s="480"/>
    </row>
    <row r="132" spans="1:23" ht="24" x14ac:dyDescent="0.15">
      <c r="A132" s="65"/>
      <c r="B132" s="560" t="s">
        <v>65</v>
      </c>
      <c r="C132" s="561"/>
      <c r="D132" s="561"/>
      <c r="E132" s="562"/>
      <c r="F132" s="565" t="s">
        <v>26</v>
      </c>
      <c r="G132" s="566"/>
      <c r="H132" s="66" t="s">
        <v>59</v>
      </c>
      <c r="I132" s="351"/>
      <c r="J132" s="66" t="s">
        <v>60</v>
      </c>
      <c r="K132" s="66" t="s">
        <v>6</v>
      </c>
      <c r="L132" s="67" t="s">
        <v>61</v>
      </c>
      <c r="M132" s="66" t="s">
        <v>30</v>
      </c>
      <c r="N132" s="68" t="s">
        <v>62</v>
      </c>
      <c r="O132" s="68" t="s">
        <v>34</v>
      </c>
      <c r="P132" s="69" t="s">
        <v>57</v>
      </c>
      <c r="Q132" s="42"/>
      <c r="R132" s="67"/>
      <c r="S132" s="67"/>
      <c r="T132" s="481"/>
    </row>
    <row r="133" spans="1:23" ht="13.5" customHeight="1" x14ac:dyDescent="0.15">
      <c r="A133" s="76">
        <v>1</v>
      </c>
      <c r="B133" s="545"/>
      <c r="C133" s="546"/>
      <c r="D133" s="546"/>
      <c r="E133" s="547"/>
      <c r="F133" s="558" t="s">
        <v>66</v>
      </c>
      <c r="G133" s="559"/>
      <c r="H133" s="78"/>
      <c r="I133" s="352"/>
      <c r="J133" s="77"/>
      <c r="K133" s="46" t="str">
        <f>VLOOKUP($F:$F,材料单价表!$B$3:$G$42,4,0)</f>
        <v>m</v>
      </c>
      <c r="L133" s="46"/>
      <c r="M133" s="80">
        <f>M89</f>
        <v>7.2</v>
      </c>
      <c r="N133" s="46">
        <f>VLOOKUP($F:$F,材料单价表!$B$3:$G$42,5,0)</f>
        <v>0</v>
      </c>
      <c r="O133" s="46">
        <f>N133*M133</f>
        <v>0</v>
      </c>
      <c r="P133" s="48"/>
      <c r="Q133" s="59"/>
      <c r="R133" s="81"/>
      <c r="S133" s="79"/>
      <c r="T133" s="483"/>
    </row>
    <row r="134" spans="1:23" ht="15.75" customHeight="1" x14ac:dyDescent="0.15">
      <c r="A134" s="76">
        <v>2</v>
      </c>
      <c r="B134" s="545"/>
      <c r="C134" s="546"/>
      <c r="D134" s="546"/>
      <c r="E134" s="547"/>
      <c r="F134" s="558" t="s">
        <v>68</v>
      </c>
      <c r="G134" s="559"/>
      <c r="H134" s="78" t="s">
        <v>67</v>
      </c>
      <c r="I134" s="352"/>
      <c r="J134" s="77"/>
      <c r="K134" s="46" t="str">
        <f>VLOOKUP($F:$F,材料单价表!$B$3:$G$42,4,0)</f>
        <v>m</v>
      </c>
      <c r="L134" s="46"/>
      <c r="M134" s="80">
        <f>(J101*K101+J102*K102)/1000*2</f>
        <v>19.998800000000003</v>
      </c>
      <c r="N134" s="46">
        <f>VLOOKUP($F:$F,材料单价表!$B$3:$G$42,5,0)</f>
        <v>0</v>
      </c>
      <c r="O134" s="46">
        <f t="shared" ref="O134:O139" si="16">N134*M134</f>
        <v>0</v>
      </c>
      <c r="P134" s="48"/>
      <c r="Q134" s="59"/>
      <c r="R134" s="81"/>
      <c r="S134" s="79"/>
      <c r="T134" s="483"/>
      <c r="V134" s="104"/>
      <c r="W134" s="104"/>
    </row>
    <row r="135" spans="1:23" ht="13.5" customHeight="1" x14ac:dyDescent="0.15">
      <c r="A135" s="76">
        <v>3</v>
      </c>
      <c r="B135" s="545"/>
      <c r="C135" s="546"/>
      <c r="D135" s="546"/>
      <c r="E135" s="547"/>
      <c r="F135" s="558" t="s">
        <v>68</v>
      </c>
      <c r="G135" s="559"/>
      <c r="H135" s="78" t="s">
        <v>69</v>
      </c>
      <c r="I135" s="352"/>
      <c r="J135" s="77"/>
      <c r="K135" s="46" t="str">
        <f>VLOOKUP($F:$F,材料单价表!$B$3:$G$42,4,0)</f>
        <v>m</v>
      </c>
      <c r="L135" s="46"/>
      <c r="M135" s="80">
        <f>M89</f>
        <v>7.2</v>
      </c>
      <c r="N135" s="46">
        <f>VLOOKUP($F:$F,材料单价表!$B$3:$G$42,5,0)</f>
        <v>0</v>
      </c>
      <c r="O135" s="46">
        <f t="shared" si="16"/>
        <v>0</v>
      </c>
      <c r="P135" s="48"/>
      <c r="Q135" s="59"/>
      <c r="R135" s="81"/>
      <c r="S135" s="79"/>
      <c r="T135" s="483"/>
      <c r="V135" s="104"/>
      <c r="W135" s="104"/>
    </row>
    <row r="136" spans="1:23" ht="13.5" customHeight="1" x14ac:dyDescent="0.15">
      <c r="A136" s="76">
        <v>4</v>
      </c>
      <c r="B136" s="545"/>
      <c r="C136" s="546"/>
      <c r="D136" s="546"/>
      <c r="E136" s="547"/>
      <c r="F136" s="558" t="s">
        <v>68</v>
      </c>
      <c r="G136" s="559"/>
      <c r="H136" s="78" t="s">
        <v>70</v>
      </c>
      <c r="I136" s="352"/>
      <c r="J136" s="77"/>
      <c r="K136" s="46" t="str">
        <f>VLOOKUP($F:$F,材料单价表!$B$3:$G$42,4,0)</f>
        <v>m</v>
      </c>
      <c r="L136" s="46"/>
      <c r="M136" s="80">
        <f>M89</f>
        <v>7.2</v>
      </c>
      <c r="N136" s="46">
        <f>VLOOKUP($F:$F,材料单价表!$B$3:$G$42,5,0)</f>
        <v>0</v>
      </c>
      <c r="O136" s="46">
        <f t="shared" si="16"/>
        <v>0</v>
      </c>
      <c r="P136" s="48"/>
      <c r="Q136" s="59"/>
      <c r="R136" s="81"/>
      <c r="S136" s="79"/>
      <c r="T136" s="483"/>
      <c r="V136" s="104"/>
      <c r="W136" s="104"/>
    </row>
    <row r="137" spans="1:23" ht="13.5" customHeight="1" x14ac:dyDescent="0.15">
      <c r="A137" s="76">
        <v>5</v>
      </c>
      <c r="B137" s="545"/>
      <c r="C137" s="546"/>
      <c r="D137" s="546"/>
      <c r="E137" s="547"/>
      <c r="F137" s="558" t="s">
        <v>71</v>
      </c>
      <c r="G137" s="559"/>
      <c r="H137" s="78"/>
      <c r="I137" s="352"/>
      <c r="J137" s="77"/>
      <c r="K137" s="46" t="str">
        <f>VLOOKUP($F:$F,材料单价表!$B$3:$G$42,4,0)</f>
        <v>个</v>
      </c>
      <c r="L137" s="79"/>
      <c r="M137" s="80">
        <f>K103+K104</f>
        <v>12</v>
      </c>
      <c r="N137" s="46">
        <f>VLOOKUP($F:$F,材料单价表!$B$3:$G$42,5,0)</f>
        <v>0</v>
      </c>
      <c r="O137" s="46">
        <f t="shared" si="16"/>
        <v>0</v>
      </c>
      <c r="P137" s="48"/>
      <c r="Q137" s="59"/>
      <c r="R137" s="81"/>
      <c r="S137" s="79"/>
      <c r="T137" s="483"/>
    </row>
    <row r="138" spans="1:23" ht="13.5" customHeight="1" x14ac:dyDescent="0.15">
      <c r="A138" s="76">
        <v>6</v>
      </c>
      <c r="B138" s="545"/>
      <c r="C138" s="546"/>
      <c r="D138" s="546"/>
      <c r="E138" s="547"/>
      <c r="F138" s="558" t="s">
        <v>121</v>
      </c>
      <c r="G138" s="559"/>
      <c r="H138" s="78"/>
      <c r="I138" s="352"/>
      <c r="J138" s="77"/>
      <c r="K138" s="46" t="str">
        <f>VLOOKUP($F:$F,材料单价表!$B$3:$G$42,4,0)</f>
        <v>m</v>
      </c>
      <c r="L138" s="79"/>
      <c r="M138" s="80">
        <f>(J95*K95+J96*K96)/1000*2</f>
        <v>22.142800000000001</v>
      </c>
      <c r="N138" s="46">
        <f>VLOOKUP($F:$F,材料单价表!$B$3:$G$42,5,0)</f>
        <v>0</v>
      </c>
      <c r="O138" s="46">
        <f t="shared" si="16"/>
        <v>0</v>
      </c>
      <c r="P138" s="48"/>
      <c r="Q138" s="59"/>
      <c r="R138" s="81"/>
      <c r="S138" s="46"/>
      <c r="T138" s="484"/>
    </row>
    <row r="139" spans="1:23" x14ac:dyDescent="0.15">
      <c r="A139" s="76">
        <v>7</v>
      </c>
      <c r="B139" s="545"/>
      <c r="C139" s="546"/>
      <c r="D139" s="546"/>
      <c r="E139" s="547"/>
      <c r="F139" s="558" t="s">
        <v>72</v>
      </c>
      <c r="G139" s="559"/>
      <c r="H139" s="45"/>
      <c r="I139" s="207"/>
      <c r="J139" s="45"/>
      <c r="K139" s="46" t="str">
        <f>VLOOKUP($F:$F,材料单价表!$B$3:$G$42,4,0)</f>
        <v>m2</v>
      </c>
      <c r="L139" s="72"/>
      <c r="M139" s="46">
        <f>M145</f>
        <v>2.88</v>
      </c>
      <c r="N139" s="46">
        <f>VLOOKUP($F:$F,材料单价表!$B$3:$G$42,5,0)</f>
        <v>0</v>
      </c>
      <c r="O139" s="46">
        <f t="shared" si="16"/>
        <v>0</v>
      </c>
      <c r="P139" s="48"/>
      <c r="Q139" s="48"/>
      <c r="R139" s="73"/>
      <c r="S139" s="73"/>
      <c r="T139" s="478"/>
    </row>
    <row r="140" spans="1:23" x14ac:dyDescent="0.15">
      <c r="A140" s="76">
        <v>8</v>
      </c>
      <c r="B140" s="545"/>
      <c r="C140" s="546"/>
      <c r="D140" s="546"/>
      <c r="E140" s="547"/>
      <c r="F140" s="215"/>
      <c r="G140" s="216"/>
      <c r="H140" s="207"/>
      <c r="I140" s="207"/>
      <c r="J140" s="207"/>
      <c r="K140" s="208"/>
      <c r="L140" s="209"/>
      <c r="M140" s="208"/>
      <c r="N140" s="208"/>
      <c r="O140" s="208"/>
      <c r="P140" s="211"/>
      <c r="Q140" s="48"/>
      <c r="R140" s="212"/>
      <c r="S140" s="212"/>
      <c r="T140" s="478"/>
    </row>
    <row r="141" spans="1:23" x14ac:dyDescent="0.15">
      <c r="A141" s="76">
        <v>9</v>
      </c>
      <c r="B141" s="545"/>
      <c r="C141" s="546"/>
      <c r="D141" s="546"/>
      <c r="E141" s="547"/>
      <c r="F141" s="558"/>
      <c r="G141" s="559"/>
      <c r="H141" s="45"/>
      <c r="I141" s="207"/>
      <c r="J141" s="45"/>
      <c r="K141" s="45"/>
      <c r="L141" s="72"/>
      <c r="M141" s="46"/>
      <c r="N141" s="46"/>
      <c r="O141" s="82"/>
      <c r="P141" s="48"/>
      <c r="Q141" s="48"/>
      <c r="R141" s="73"/>
      <c r="S141" s="73"/>
      <c r="T141" s="478"/>
    </row>
    <row r="142" spans="1:23" x14ac:dyDescent="0.15">
      <c r="A142" s="74"/>
      <c r="B142" s="571"/>
      <c r="C142" s="572"/>
      <c r="D142" s="572"/>
      <c r="E142" s="573"/>
      <c r="F142" s="552" t="s">
        <v>73</v>
      </c>
      <c r="G142" s="557"/>
      <c r="H142" s="557"/>
      <c r="I142" s="557"/>
      <c r="J142" s="557"/>
      <c r="K142" s="557"/>
      <c r="L142" s="557"/>
      <c r="M142" s="61"/>
      <c r="N142" s="61"/>
      <c r="O142" s="62">
        <f>SUM(O133:O141)</f>
        <v>0</v>
      </c>
      <c r="P142" s="63" t="s">
        <v>57</v>
      </c>
      <c r="Q142" s="337"/>
      <c r="R142" s="64"/>
      <c r="S142" s="64"/>
      <c r="T142" s="480"/>
    </row>
    <row r="143" spans="1:23" x14ac:dyDescent="0.15">
      <c r="A143" s="74"/>
      <c r="B143" s="571"/>
      <c r="C143" s="572"/>
      <c r="D143" s="572"/>
      <c r="E143" s="573"/>
      <c r="F143" s="552" t="s">
        <v>74</v>
      </c>
      <c r="G143" s="557"/>
      <c r="H143" s="557"/>
      <c r="I143" s="557"/>
      <c r="J143" s="557"/>
      <c r="K143" s="557"/>
      <c r="L143" s="557"/>
      <c r="M143" s="557"/>
      <c r="N143" s="553"/>
      <c r="O143" s="62">
        <f>O142+O131+O127+O121</f>
        <v>0</v>
      </c>
      <c r="P143" s="63" t="s">
        <v>57</v>
      </c>
      <c r="Q143" s="337"/>
      <c r="R143" s="64"/>
      <c r="S143" s="64"/>
      <c r="T143" s="480"/>
    </row>
    <row r="144" spans="1:23" ht="24" x14ac:dyDescent="0.15">
      <c r="A144" s="65"/>
      <c r="B144" s="560" t="s">
        <v>75</v>
      </c>
      <c r="C144" s="561"/>
      <c r="D144" s="561"/>
      <c r="E144" s="562"/>
      <c r="F144" s="565" t="s">
        <v>26</v>
      </c>
      <c r="G144" s="566"/>
      <c r="H144" s="66"/>
      <c r="I144" s="351"/>
      <c r="J144" s="66"/>
      <c r="K144" s="66" t="s">
        <v>6</v>
      </c>
      <c r="L144" s="83" t="s">
        <v>61</v>
      </c>
      <c r="M144" s="66" t="s">
        <v>76</v>
      </c>
      <c r="N144" s="68" t="s">
        <v>62</v>
      </c>
      <c r="O144" s="68" t="s">
        <v>34</v>
      </c>
      <c r="P144" s="84" t="s">
        <v>57</v>
      </c>
      <c r="Q144" s="84"/>
      <c r="R144" s="67"/>
      <c r="S144" s="67"/>
      <c r="T144" s="481"/>
    </row>
    <row r="145" spans="1:20" x14ac:dyDescent="0.15">
      <c r="A145" s="220">
        <v>1</v>
      </c>
      <c r="B145" s="545"/>
      <c r="C145" s="546"/>
      <c r="D145" s="546"/>
      <c r="E145" s="547"/>
      <c r="F145" s="545" t="s">
        <v>77</v>
      </c>
      <c r="G145" s="547"/>
      <c r="H145" s="45"/>
      <c r="I145" s="207"/>
      <c r="J145" s="46"/>
      <c r="K145" s="45" t="s">
        <v>78</v>
      </c>
      <c r="L145" s="72"/>
      <c r="M145" s="85">
        <f>O76</f>
        <v>2.88</v>
      </c>
      <c r="N145" s="46">
        <f>VLOOKUP($F:$F,材料单价表!$B$3:$G$42,5,0)</f>
        <v>0</v>
      </c>
      <c r="O145" s="46">
        <f>N145*M145</f>
        <v>0</v>
      </c>
      <c r="P145" s="48"/>
      <c r="Q145" s="48"/>
      <c r="R145" s="72"/>
      <c r="S145" s="72"/>
      <c r="T145" s="482"/>
    </row>
    <row r="146" spans="1:20" x14ac:dyDescent="0.15">
      <c r="A146" s="220">
        <v>2</v>
      </c>
      <c r="B146" s="545"/>
      <c r="C146" s="546"/>
      <c r="D146" s="546"/>
      <c r="E146" s="547"/>
      <c r="F146" s="545" t="s">
        <v>79</v>
      </c>
      <c r="G146" s="547"/>
      <c r="H146" s="45"/>
      <c r="I146" s="207"/>
      <c r="J146" s="46"/>
      <c r="K146" s="45" t="s">
        <v>78</v>
      </c>
      <c r="L146" s="72"/>
      <c r="M146" s="85">
        <f>M145</f>
        <v>2.88</v>
      </c>
      <c r="N146" s="46">
        <f>VLOOKUP($F:$F,材料单价表!$B$3:$G$42,5,0)</f>
        <v>0</v>
      </c>
      <c r="O146" s="46">
        <f>N146*M146</f>
        <v>0</v>
      </c>
      <c r="P146" s="48"/>
      <c r="Q146" s="48"/>
      <c r="R146" s="72"/>
      <c r="S146" s="72"/>
      <c r="T146" s="482"/>
    </row>
    <row r="147" spans="1:20" ht="24.75" customHeight="1" x14ac:dyDescent="0.15">
      <c r="A147" s="74"/>
      <c r="B147" s="571"/>
      <c r="C147" s="572"/>
      <c r="D147" s="572"/>
      <c r="E147" s="573"/>
      <c r="F147" s="552" t="s">
        <v>80</v>
      </c>
      <c r="G147" s="553"/>
      <c r="H147" s="217"/>
      <c r="I147" s="379"/>
      <c r="J147" s="554" t="s">
        <v>81</v>
      </c>
      <c r="K147" s="554"/>
      <c r="L147" s="554"/>
      <c r="M147" s="554"/>
      <c r="N147" s="87"/>
      <c r="O147" s="62">
        <f>O143+O145+O146</f>
        <v>0</v>
      </c>
      <c r="P147" s="63" t="s">
        <v>57</v>
      </c>
      <c r="Q147" s="337"/>
      <c r="R147" s="64"/>
      <c r="S147" s="64"/>
      <c r="T147" s="480"/>
    </row>
    <row r="148" spans="1:20" ht="24" customHeight="1" x14ac:dyDescent="0.15">
      <c r="A148" s="74"/>
      <c r="B148" s="571"/>
      <c r="C148" s="572"/>
      <c r="D148" s="572"/>
      <c r="E148" s="573"/>
      <c r="F148" s="555" t="s">
        <v>82</v>
      </c>
      <c r="G148" s="556"/>
      <c r="H148" s="219"/>
      <c r="I148" s="381"/>
      <c r="J148" s="552" t="s">
        <v>81</v>
      </c>
      <c r="K148" s="557"/>
      <c r="L148" s="557"/>
      <c r="M148" s="557"/>
      <c r="N148" s="62"/>
      <c r="O148" s="62">
        <f>O147/O76</f>
        <v>0</v>
      </c>
      <c r="P148" s="89" t="s">
        <v>57</v>
      </c>
      <c r="Q148" s="89"/>
      <c r="R148" s="90"/>
      <c r="S148" s="90"/>
      <c r="T148" s="485"/>
    </row>
    <row r="149" spans="1:20" ht="18.75" customHeight="1" x14ac:dyDescent="0.15">
      <c r="A149" s="549" t="s">
        <v>0</v>
      </c>
      <c r="B149" s="549"/>
      <c r="C149" s="549"/>
      <c r="D149" s="549"/>
      <c r="E149" s="549"/>
      <c r="F149" s="549"/>
      <c r="G149" s="549"/>
      <c r="H149" s="549"/>
      <c r="I149" s="549"/>
      <c r="J149" s="549"/>
      <c r="K149" s="549"/>
      <c r="L149" s="550"/>
      <c r="M149" s="549"/>
      <c r="N149" s="549"/>
      <c r="O149" s="549"/>
      <c r="P149" s="549"/>
      <c r="Q149" s="549"/>
      <c r="R149" s="551"/>
      <c r="S149" s="551"/>
      <c r="T149" s="474"/>
    </row>
    <row r="150" spans="1:20" ht="15" customHeight="1" x14ac:dyDescent="0.15">
      <c r="A150" s="2" t="s">
        <v>1</v>
      </c>
      <c r="B150" s="3" t="str">
        <f>$B$2</f>
        <v>WM</v>
      </c>
      <c r="C150" s="3">
        <v>3</v>
      </c>
      <c r="D150" s="3"/>
      <c r="E150" s="3"/>
      <c r="F150" s="4" t="s">
        <v>2</v>
      </c>
      <c r="G150" s="5">
        <v>50</v>
      </c>
      <c r="H150" s="106" t="s">
        <v>86</v>
      </c>
      <c r="I150" s="106"/>
      <c r="J150" s="4" t="s">
        <v>3</v>
      </c>
      <c r="K150" s="6">
        <f>L153</f>
        <v>1400</v>
      </c>
      <c r="L150" s="7" t="s">
        <v>83</v>
      </c>
      <c r="M150" s="6">
        <f>L152</f>
        <v>2400</v>
      </c>
      <c r="N150" s="8" t="s">
        <v>4</v>
      </c>
      <c r="O150" s="9">
        <f>M162</f>
        <v>3.36</v>
      </c>
      <c r="P150" s="10"/>
      <c r="Q150" s="10"/>
      <c r="R150" s="10" t="s">
        <v>5</v>
      </c>
      <c r="S150" s="11"/>
      <c r="T150" s="475"/>
    </row>
    <row r="151" spans="1:20" ht="15" customHeight="1" x14ac:dyDescent="0.2">
      <c r="A151" s="12"/>
      <c r="B151" s="252"/>
      <c r="C151" s="252"/>
      <c r="D151" s="252"/>
      <c r="E151" s="252"/>
      <c r="F151" s="14"/>
      <c r="G151" s="14" t="s">
        <v>851</v>
      </c>
      <c r="H151" s="15"/>
      <c r="I151" s="15"/>
      <c r="J151" s="16"/>
      <c r="K151" s="16" t="s">
        <v>6</v>
      </c>
      <c r="L151" s="17" t="s">
        <v>7</v>
      </c>
      <c r="M151" s="16" t="s">
        <v>8</v>
      </c>
      <c r="N151" s="18"/>
      <c r="O151" s="548" t="s">
        <v>940</v>
      </c>
      <c r="P151" s="548"/>
      <c r="Q151" s="16" t="s">
        <v>1018</v>
      </c>
      <c r="R151" s="529" t="s">
        <v>1187</v>
      </c>
      <c r="S151" s="530" t="s">
        <v>1592</v>
      </c>
      <c r="T151" s="476"/>
    </row>
    <row r="152" spans="1:20" ht="15" customHeight="1" x14ac:dyDescent="0.2">
      <c r="A152" s="398" t="s">
        <v>918</v>
      </c>
      <c r="B152" s="406" t="s">
        <v>970</v>
      </c>
      <c r="C152"/>
      <c r="D152"/>
      <c r="E152"/>
      <c r="F152" s="23"/>
      <c r="G152" s="23"/>
      <c r="H152" s="107"/>
      <c r="I152" s="107"/>
      <c r="J152" s="24" t="s">
        <v>9</v>
      </c>
      <c r="K152" s="16" t="s">
        <v>10</v>
      </c>
      <c r="L152" s="25">
        <v>2400</v>
      </c>
      <c r="M152" s="113">
        <f>L152-M161*2</f>
        <v>2300</v>
      </c>
      <c r="N152" s="18"/>
      <c r="O152" s="356" t="s">
        <v>941</v>
      </c>
      <c r="P152" s="357"/>
      <c r="Q152" s="16" t="s">
        <v>1019</v>
      </c>
      <c r="R152" s="529"/>
      <c r="S152" s="530"/>
      <c r="T152" s="476"/>
    </row>
    <row r="153" spans="1:20" ht="15" customHeight="1" x14ac:dyDescent="0.2">
      <c r="A153" s="21"/>
      <c r="B153" s="22"/>
      <c r="C153" s="22"/>
      <c r="D153" s="22"/>
      <c r="E153" s="22"/>
      <c r="F153" s="23"/>
      <c r="G153" s="23"/>
      <c r="H153" s="18"/>
      <c r="I153" s="18"/>
      <c r="J153" s="24" t="s">
        <v>11</v>
      </c>
      <c r="K153" s="16" t="s">
        <v>10</v>
      </c>
      <c r="L153" s="25">
        <v>1400</v>
      </c>
      <c r="M153" s="113">
        <f>L153-M161*2</f>
        <v>1300</v>
      </c>
      <c r="N153" s="18"/>
      <c r="O153" s="356" t="s">
        <v>924</v>
      </c>
      <c r="P153" s="357"/>
      <c r="Q153" s="16" t="s">
        <v>1020</v>
      </c>
      <c r="R153" s="529" t="s">
        <v>1188</v>
      </c>
      <c r="S153" s="530" t="s">
        <v>1086</v>
      </c>
      <c r="T153" s="476"/>
    </row>
    <row r="154" spans="1:20" ht="15" customHeight="1" x14ac:dyDescent="0.2">
      <c r="A154" s="21"/>
      <c r="B154" s="22"/>
      <c r="C154" s="22"/>
      <c r="D154" s="22"/>
      <c r="E154" s="22"/>
      <c r="F154" s="23"/>
      <c r="G154" s="23"/>
      <c r="H154" s="18"/>
      <c r="I154" s="18"/>
      <c r="J154" s="24" t="s">
        <v>12</v>
      </c>
      <c r="K154" s="16" t="s">
        <v>10</v>
      </c>
      <c r="L154" s="26"/>
      <c r="M154" s="113">
        <f>M152</f>
        <v>2300</v>
      </c>
      <c r="N154" s="18"/>
      <c r="O154" s="356" t="s">
        <v>925</v>
      </c>
      <c r="P154" s="357"/>
      <c r="Q154" s="16" t="s">
        <v>1021</v>
      </c>
      <c r="R154" s="529"/>
      <c r="S154" s="530"/>
      <c r="T154" s="476"/>
    </row>
    <row r="155" spans="1:20" ht="15" customHeight="1" x14ac:dyDescent="0.2">
      <c r="A155" s="21"/>
      <c r="B155" s="22"/>
      <c r="C155" s="22"/>
      <c r="D155" s="22"/>
      <c r="E155" s="22"/>
      <c r="F155" s="23"/>
      <c r="G155" s="23"/>
      <c r="H155" s="18"/>
      <c r="I155" s="18"/>
      <c r="J155" s="24" t="s">
        <v>13</v>
      </c>
      <c r="K155" s="16" t="s">
        <v>10</v>
      </c>
      <c r="L155" s="26"/>
      <c r="M155" s="113"/>
      <c r="N155" s="18"/>
      <c r="O155" s="356" t="s">
        <v>926</v>
      </c>
      <c r="P155" s="357"/>
      <c r="Q155" s="16" t="s">
        <v>1022</v>
      </c>
      <c r="R155" s="27"/>
      <c r="S155" s="28"/>
      <c r="T155" s="476"/>
    </row>
    <row r="156" spans="1:20" ht="15" customHeight="1" x14ac:dyDescent="0.2">
      <c r="A156" s="21"/>
      <c r="B156" s="22"/>
      <c r="C156" s="22"/>
      <c r="D156" s="22"/>
      <c r="E156" s="22"/>
      <c r="F156" s="23"/>
      <c r="G156" s="23"/>
      <c r="H156" s="18"/>
      <c r="I156" s="18"/>
      <c r="J156" s="24" t="s">
        <v>14</v>
      </c>
      <c r="K156" s="16" t="s">
        <v>10</v>
      </c>
      <c r="L156" s="26"/>
      <c r="M156" s="113"/>
      <c r="N156" s="18"/>
      <c r="O156" s="356" t="s">
        <v>927</v>
      </c>
      <c r="P156" s="357"/>
      <c r="Q156" s="16" t="s">
        <v>1023</v>
      </c>
      <c r="R156" s="27"/>
      <c r="S156" s="28"/>
      <c r="T156" s="476"/>
    </row>
    <row r="157" spans="1:20" ht="15" customHeight="1" x14ac:dyDescent="0.2">
      <c r="A157" s="21"/>
      <c r="B157" s="22"/>
      <c r="C157" s="22"/>
      <c r="D157" s="22"/>
      <c r="E157" s="22"/>
      <c r="F157" s="23"/>
      <c r="G157" s="23"/>
      <c r="H157" s="18"/>
      <c r="I157" s="18"/>
      <c r="J157" s="24" t="s">
        <v>15</v>
      </c>
      <c r="K157" s="16" t="s">
        <v>10</v>
      </c>
      <c r="L157" s="26"/>
      <c r="M157" s="113">
        <f>M153/2</f>
        <v>650</v>
      </c>
      <c r="N157" s="18"/>
      <c r="O157" s="356" t="s">
        <v>928</v>
      </c>
      <c r="P157" s="357"/>
      <c r="Q157" s="16" t="s">
        <v>1005</v>
      </c>
      <c r="R157" s="27"/>
      <c r="S157" s="28"/>
      <c r="T157" s="476"/>
    </row>
    <row r="158" spans="1:20" ht="15" customHeight="1" x14ac:dyDescent="0.2">
      <c r="A158" s="21"/>
      <c r="B158" s="22"/>
      <c r="C158" s="22"/>
      <c r="D158" s="22"/>
      <c r="E158" s="22"/>
      <c r="F158" s="23"/>
      <c r="G158" s="23"/>
      <c r="H158" s="18"/>
      <c r="I158" s="18"/>
      <c r="J158" s="24" t="s">
        <v>16</v>
      </c>
      <c r="K158" s="16" t="s">
        <v>10</v>
      </c>
      <c r="L158" s="26"/>
      <c r="M158" s="113"/>
      <c r="N158" s="18"/>
      <c r="O158" s="356" t="s">
        <v>929</v>
      </c>
      <c r="P158" s="357"/>
      <c r="Q158" s="16" t="s">
        <v>1024</v>
      </c>
      <c r="R158" s="27"/>
      <c r="S158" s="28"/>
      <c r="T158" s="476"/>
    </row>
    <row r="159" spans="1:20" ht="15" customHeight="1" x14ac:dyDescent="0.2">
      <c r="A159" s="21"/>
      <c r="B159" s="22"/>
      <c r="C159" s="22"/>
      <c r="D159" s="22"/>
      <c r="E159" s="22"/>
      <c r="F159" s="23"/>
      <c r="G159" s="23"/>
      <c r="H159" s="18"/>
      <c r="I159" s="18"/>
      <c r="J159" s="24" t="s">
        <v>17</v>
      </c>
      <c r="K159" s="16" t="s">
        <v>10</v>
      </c>
      <c r="L159" s="26"/>
      <c r="M159" s="113"/>
      <c r="N159" s="18"/>
      <c r="O159" s="356" t="s">
        <v>930</v>
      </c>
      <c r="P159" s="357"/>
      <c r="Q159" s="16" t="s">
        <v>931</v>
      </c>
      <c r="R159" s="27"/>
      <c r="S159" s="28"/>
      <c r="T159" s="476"/>
    </row>
    <row r="160" spans="1:20" ht="15" customHeight="1" x14ac:dyDescent="0.2">
      <c r="A160" s="21"/>
      <c r="B160" s="22"/>
      <c r="C160" s="22"/>
      <c r="D160" s="22"/>
      <c r="E160" s="22"/>
      <c r="F160" s="23"/>
      <c r="G160" s="23"/>
      <c r="H160" s="18"/>
      <c r="I160" s="18"/>
      <c r="J160" s="24" t="s">
        <v>18</v>
      </c>
      <c r="K160" s="16" t="s">
        <v>10</v>
      </c>
      <c r="L160" s="26"/>
      <c r="M160" s="113"/>
      <c r="N160" s="18"/>
      <c r="O160" s="356" t="s">
        <v>932</v>
      </c>
      <c r="P160" s="357"/>
      <c r="Q160" s="16" t="s">
        <v>933</v>
      </c>
      <c r="R160" s="27"/>
      <c r="S160" s="28"/>
      <c r="T160" s="476"/>
    </row>
    <row r="161" spans="1:33" ht="15" customHeight="1" x14ac:dyDescent="0.2">
      <c r="A161" s="21"/>
      <c r="B161" s="22"/>
      <c r="C161" s="22"/>
      <c r="D161" s="22"/>
      <c r="E161" s="22"/>
      <c r="F161" s="23"/>
      <c r="G161" s="23"/>
      <c r="H161" s="18"/>
      <c r="I161" s="18"/>
      <c r="J161" s="24" t="s">
        <v>19</v>
      </c>
      <c r="K161" s="16" t="s">
        <v>10</v>
      </c>
      <c r="L161" s="26"/>
      <c r="M161" s="25">
        <v>50</v>
      </c>
      <c r="N161" s="18"/>
      <c r="O161" s="356" t="s">
        <v>934</v>
      </c>
      <c r="P161" s="357"/>
      <c r="Q161" s="16" t="s">
        <v>935</v>
      </c>
      <c r="R161" s="27"/>
      <c r="S161" s="28"/>
      <c r="T161" s="476"/>
    </row>
    <row r="162" spans="1:33" ht="15" customHeight="1" x14ac:dyDescent="0.2">
      <c r="A162" s="21"/>
      <c r="B162" s="22"/>
      <c r="C162" s="22"/>
      <c r="D162" s="22"/>
      <c r="E162" s="22"/>
      <c r="F162" s="23"/>
      <c r="G162" s="23"/>
      <c r="H162" s="18"/>
      <c r="I162" s="18"/>
      <c r="J162" s="29" t="s">
        <v>20</v>
      </c>
      <c r="K162" s="16" t="s">
        <v>21</v>
      </c>
      <c r="L162" s="30"/>
      <c r="M162" s="31">
        <f>L152*L153/1000000</f>
        <v>3.36</v>
      </c>
      <c r="N162" s="18"/>
      <c r="O162" s="356" t="s">
        <v>936</v>
      </c>
      <c r="P162" s="357"/>
      <c r="Q162" s="16" t="s">
        <v>937</v>
      </c>
      <c r="R162" s="27"/>
      <c r="S162" s="28"/>
      <c r="T162" s="476"/>
    </row>
    <row r="163" spans="1:33" ht="15" customHeight="1" x14ac:dyDescent="0.2">
      <c r="A163" s="32"/>
      <c r="B163" s="33"/>
      <c r="C163" s="33"/>
      <c r="D163" s="33"/>
      <c r="E163" s="33"/>
      <c r="F163" s="34"/>
      <c r="G163" s="34"/>
      <c r="H163" s="35"/>
      <c r="I163" s="35"/>
      <c r="J163" s="29" t="s">
        <v>22</v>
      </c>
      <c r="K163" s="16" t="s">
        <v>23</v>
      </c>
      <c r="L163" s="30"/>
      <c r="M163" s="36">
        <f>(L153+L152)*2/1000</f>
        <v>7.6</v>
      </c>
      <c r="N163" s="35"/>
      <c r="O163" s="356" t="s">
        <v>938</v>
      </c>
      <c r="P163" s="357"/>
      <c r="Q163" s="16" t="s">
        <v>939</v>
      </c>
      <c r="R163" s="37"/>
      <c r="S163" s="38"/>
      <c r="T163" s="476"/>
    </row>
    <row r="164" spans="1:33" ht="48.75" customHeight="1" x14ac:dyDescent="0.15">
      <c r="A164" s="39" t="s">
        <v>24</v>
      </c>
      <c r="B164" s="560" t="s">
        <v>25</v>
      </c>
      <c r="C164" s="561"/>
      <c r="D164" s="561"/>
      <c r="E164" s="562"/>
      <c r="F164" s="40" t="s">
        <v>26</v>
      </c>
      <c r="G164" s="40" t="s">
        <v>27</v>
      </c>
      <c r="H164" s="40" t="s">
        <v>28</v>
      </c>
      <c r="I164" s="40" t="s">
        <v>1334</v>
      </c>
      <c r="J164" s="40" t="s">
        <v>29</v>
      </c>
      <c r="K164" s="40" t="s">
        <v>30</v>
      </c>
      <c r="L164" s="41" t="s">
        <v>31</v>
      </c>
      <c r="M164" s="40" t="s">
        <v>32</v>
      </c>
      <c r="N164" s="40" t="s">
        <v>33</v>
      </c>
      <c r="O164" s="40" t="s">
        <v>34</v>
      </c>
      <c r="P164" s="42" t="s">
        <v>35</v>
      </c>
      <c r="Q164" s="359" t="s">
        <v>962</v>
      </c>
      <c r="R164" s="43" t="s">
        <v>36</v>
      </c>
      <c r="S164" s="43" t="s">
        <v>37</v>
      </c>
      <c r="T164" s="477"/>
      <c r="V164" s="261" t="s">
        <v>128</v>
      </c>
      <c r="W164" s="261"/>
      <c r="X164" s="262" t="s">
        <v>359</v>
      </c>
      <c r="Y164" s="263"/>
      <c r="Z164" s="262" t="s">
        <v>355</v>
      </c>
      <c r="AA164" s="263"/>
      <c r="AB164" s="262" t="s">
        <v>360</v>
      </c>
      <c r="AC164" s="263"/>
      <c r="AD164" s="262" t="s">
        <v>127</v>
      </c>
      <c r="AE164" s="263"/>
      <c r="AF164" s="262" t="s">
        <v>856</v>
      </c>
      <c r="AG164" s="287"/>
    </row>
    <row r="165" spans="1:33" x14ac:dyDescent="0.15">
      <c r="A165" s="220">
        <v>1</v>
      </c>
      <c r="B165" s="531" t="s">
        <v>38</v>
      </c>
      <c r="C165" s="532"/>
      <c r="D165" s="532"/>
      <c r="E165" s="533"/>
      <c r="F165" s="47" t="str">
        <f>VLOOKUP($H:$H,型材表!$B$5:$I$448,2,0)</f>
        <v>门框</v>
      </c>
      <c r="G165" s="45" t="s">
        <v>39</v>
      </c>
      <c r="H165" s="45" t="str">
        <f>IF(G150=55,"SW55MK001",IF(G150=551,"SW55BMK001",IF(G150=60,"SW60MK001",IF(G150=601,"SW60AMK001",IF(G150=65,"SW65AMK001",IF(G150=50,"SW50MK001"))))))</f>
        <v>SW50MK001</v>
      </c>
      <c r="I165" s="207" t="s">
        <v>1337</v>
      </c>
      <c r="J165" s="46">
        <f>M152</f>
        <v>2300</v>
      </c>
      <c r="K165" s="45">
        <v>2</v>
      </c>
      <c r="L165" s="47">
        <f>VLOOKUP($H:$H,型材表!$B$5:$I$448,4,0)</f>
        <v>1.0349999999999999</v>
      </c>
      <c r="M165" s="46">
        <f>J165*K165*L165/1000</f>
        <v>4.7610000000000001</v>
      </c>
      <c r="N165" s="72">
        <f>VLOOKUP($H:$H,型材表!$B$5:$I$448,7,0)</f>
        <v>0</v>
      </c>
      <c r="O165" s="46">
        <f>N165*M165</f>
        <v>0</v>
      </c>
      <c r="P165" s="100">
        <f>VLOOKUP($H:$H,型材表!$B$5:$I$448,5,0)</f>
        <v>0.125</v>
      </c>
      <c r="Q165" s="100" t="str">
        <f>VLOOKUP($H:$H,型材表!$B$5:$I$448,6,0)</f>
        <v>非断桥隔热铝型材</v>
      </c>
      <c r="R165" s="49"/>
      <c r="S165" s="50"/>
      <c r="T165" s="478"/>
      <c r="X165" s="264"/>
      <c r="Y165" s="265"/>
      <c r="Z165" s="264"/>
      <c r="AA165" s="265"/>
      <c r="AB165" s="264"/>
      <c r="AC165" s="265"/>
      <c r="AD165" s="264"/>
      <c r="AE165" s="265"/>
      <c r="AF165" s="264"/>
      <c r="AG165" s="288"/>
    </row>
    <row r="166" spans="1:33" x14ac:dyDescent="0.15">
      <c r="A166" s="220">
        <v>2</v>
      </c>
      <c r="B166" s="534"/>
      <c r="C166" s="535"/>
      <c r="D166" s="535"/>
      <c r="E166" s="536"/>
      <c r="F166" s="47" t="str">
        <f>VLOOKUP($H:$H,型材表!$B$5:$I$448,2,0)</f>
        <v>门框</v>
      </c>
      <c r="G166" s="45" t="s">
        <v>40</v>
      </c>
      <c r="H166" s="45" t="str">
        <f>H165</f>
        <v>SW50MK001</v>
      </c>
      <c r="I166" s="207" t="s">
        <v>1338</v>
      </c>
      <c r="J166" s="46">
        <f>M153</f>
        <v>1300</v>
      </c>
      <c r="K166" s="45">
        <v>2</v>
      </c>
      <c r="L166" s="47">
        <f>VLOOKUP($H:$H,型材表!$B$5:$I$448,4,0)</f>
        <v>1.0349999999999999</v>
      </c>
      <c r="M166" s="46">
        <f t="shared" ref="M166" si="17">J166*K166*L166/1000</f>
        <v>2.6909999999999998</v>
      </c>
      <c r="N166" s="72">
        <f>VLOOKUP($H:$H,型材表!$B$5:$I$448,7,0)</f>
        <v>0</v>
      </c>
      <c r="O166" s="46">
        <f t="shared" ref="O166" si="18">N166*M166</f>
        <v>0</v>
      </c>
      <c r="P166" s="100">
        <f>VLOOKUP($H:$H,型材表!$B$5:$I$448,5,0)</f>
        <v>0.125</v>
      </c>
      <c r="Q166" s="100" t="str">
        <f>VLOOKUP($H:$H,型材表!$B$5:$I$448,6,0)</f>
        <v>非断桥隔热铝型材</v>
      </c>
      <c r="R166" s="49"/>
      <c r="S166" s="50"/>
      <c r="T166" s="478"/>
      <c r="X166" s="264"/>
      <c r="Y166" s="265"/>
      <c r="Z166" s="264"/>
      <c r="AA166" s="265"/>
      <c r="AB166" s="264"/>
      <c r="AC166" s="265"/>
      <c r="AD166" s="264"/>
      <c r="AE166" s="265"/>
      <c r="AF166" s="264"/>
      <c r="AG166" s="288"/>
    </row>
    <row r="167" spans="1:33" x14ac:dyDescent="0.15">
      <c r="A167" s="220">
        <v>3</v>
      </c>
      <c r="B167" s="534"/>
      <c r="C167" s="535"/>
      <c r="D167" s="535"/>
      <c r="E167" s="536"/>
      <c r="F167" s="47"/>
      <c r="G167" s="45"/>
      <c r="H167" s="207"/>
      <c r="I167" s="207"/>
      <c r="J167" s="46"/>
      <c r="K167" s="45"/>
      <c r="L167" s="47"/>
      <c r="M167" s="46"/>
      <c r="N167" s="72"/>
      <c r="O167" s="46"/>
      <c r="P167" s="100"/>
      <c r="Q167" s="100"/>
      <c r="R167" s="210"/>
      <c r="S167" s="50"/>
      <c r="T167" s="478"/>
      <c r="X167" s="264"/>
      <c r="Y167" s="265"/>
      <c r="Z167" s="264"/>
      <c r="AA167" s="265"/>
      <c r="AB167" s="264"/>
      <c r="AC167" s="265"/>
      <c r="AD167" s="264"/>
      <c r="AE167" s="265"/>
      <c r="AF167" s="264"/>
      <c r="AG167" s="288"/>
    </row>
    <row r="168" spans="1:33" s="229" customFormat="1" x14ac:dyDescent="0.15">
      <c r="A168" s="220">
        <v>4</v>
      </c>
      <c r="B168" s="537"/>
      <c r="C168" s="538"/>
      <c r="D168" s="538"/>
      <c r="E168" s="539"/>
      <c r="F168" s="221"/>
      <c r="G168" s="222"/>
      <c r="H168" s="222"/>
      <c r="I168" s="222"/>
      <c r="J168" s="223"/>
      <c r="K168" s="222"/>
      <c r="L168" s="221"/>
      <c r="M168" s="224"/>
      <c r="N168" s="225"/>
      <c r="O168" s="224"/>
      <c r="P168" s="226"/>
      <c r="Q168" s="100"/>
      <c r="R168" s="227"/>
      <c r="S168" s="228"/>
      <c r="T168" s="479"/>
      <c r="U168" s="471"/>
      <c r="V168" s="266"/>
      <c r="W168" s="266"/>
      <c r="X168" s="267"/>
      <c r="Y168" s="268"/>
      <c r="Z168" s="267"/>
      <c r="AA168" s="268"/>
      <c r="AB168" s="267"/>
      <c r="AC168" s="268"/>
      <c r="AD168" s="267"/>
      <c r="AE168" s="268"/>
      <c r="AF168" s="267"/>
      <c r="AG168" s="289"/>
    </row>
    <row r="169" spans="1:33" x14ac:dyDescent="0.15">
      <c r="A169" s="220">
        <v>5</v>
      </c>
      <c r="B169" s="531" t="s">
        <v>41</v>
      </c>
      <c r="C169" s="532"/>
      <c r="D169" s="532"/>
      <c r="E169" s="533"/>
      <c r="F169" s="47" t="str">
        <f>VLOOKUP($H:$H,型材表!$B$5:$I$448,2,0)</f>
        <v>门扇</v>
      </c>
      <c r="G169" s="45" t="s">
        <v>39</v>
      </c>
      <c r="H169" s="45" t="str">
        <f>IF(G150=55,"SW55MS001",IF(G150=551,"SW55BMS001",IF(G150=60,"SW60MS001",IF(G150=601,"SW60AMS001",IF(G150=65,"SW65AMS001",IF(G150=50,"SW50MS001"))))))</f>
        <v>SW50MS001</v>
      </c>
      <c r="I169" s="207" t="s">
        <v>1339</v>
      </c>
      <c r="J169" s="46">
        <f>IF(G150=55,M154-V169,IF(G150=551,M154-X169,IF(G150=60,M154-Z169,IF(G150=601,M154-AB169,IF(G150=65,M154-AD169,IF(G150=50,M154-AF169))))))</f>
        <v>2246.8000000000002</v>
      </c>
      <c r="K169" s="45">
        <v>4</v>
      </c>
      <c r="L169" s="47">
        <f>VLOOKUP($H:$H,型材表!$B$5:$I$448,4,0)</f>
        <v>1.409</v>
      </c>
      <c r="M169" s="46">
        <f t="shared" ref="M169:M171" si="19">J169*K169*L169/1000</f>
        <v>12.662964800000001</v>
      </c>
      <c r="N169" s="72">
        <f>VLOOKUP($H:$H,型材表!$B$5:$I$448,7,0)</f>
        <v>0</v>
      </c>
      <c r="O169" s="46">
        <f t="shared" ref="O169:O171" si="20">N169*M169</f>
        <v>0</v>
      </c>
      <c r="P169" s="100">
        <f>VLOOKUP($H:$H,型材表!$B$5:$I$448,5,0)</f>
        <v>0.125</v>
      </c>
      <c r="Q169" s="100" t="str">
        <f>VLOOKUP($H:$H,型材表!$B$5:$I$448,6,0)</f>
        <v>非断桥隔热铝型材</v>
      </c>
      <c r="R169" s="49"/>
      <c r="S169" s="50"/>
      <c r="T169" s="478"/>
      <c r="U169" s="470" t="s">
        <v>1341</v>
      </c>
      <c r="V169" s="259">
        <f>31*2</f>
        <v>62</v>
      </c>
      <c r="X169" s="286">
        <f>31*2</f>
        <v>62</v>
      </c>
      <c r="Y169" s="265"/>
      <c r="Z169" s="286">
        <f>31*2</f>
        <v>62</v>
      </c>
      <c r="AA169" s="265"/>
      <c r="AB169" s="286">
        <f>31*2</f>
        <v>62</v>
      </c>
      <c r="AC169" s="265"/>
      <c r="AD169" s="286">
        <f>31*2</f>
        <v>62</v>
      </c>
      <c r="AE169" s="265"/>
      <c r="AF169" s="264">
        <f>26.6*2</f>
        <v>53.2</v>
      </c>
      <c r="AG169" s="288"/>
    </row>
    <row r="170" spans="1:33" x14ac:dyDescent="0.15">
      <c r="A170" s="220">
        <v>6</v>
      </c>
      <c r="B170" s="534"/>
      <c r="C170" s="535"/>
      <c r="D170" s="535"/>
      <c r="E170" s="536"/>
      <c r="F170" s="47" t="str">
        <f>VLOOKUP($H:$H,型材表!$B$5:$I$448,2,0)</f>
        <v>门扇</v>
      </c>
      <c r="G170" s="45" t="s">
        <v>40</v>
      </c>
      <c r="H170" s="207" t="str">
        <f>H169</f>
        <v>SW50MS001</v>
      </c>
      <c r="I170" s="207" t="s">
        <v>1353</v>
      </c>
      <c r="J170" s="208">
        <f>IF(G150=55,M153-V170,IF(G150=551,M153-X170,IF(G150=60,M153-Z170,IF(G150=601,M153-AB170,IF(G150=65,M153-AD170,IF(G150=50,M153-AF170))))))</f>
        <v>1242.0999999999999</v>
      </c>
      <c r="K170" s="207">
        <v>2</v>
      </c>
      <c r="L170" s="47">
        <f>VLOOKUP($H:$H,型材表!$B$5:$I$448,4,0)</f>
        <v>1.409</v>
      </c>
      <c r="M170" s="46">
        <f t="shared" si="19"/>
        <v>3.5002377999999998</v>
      </c>
      <c r="N170" s="72">
        <f>VLOOKUP($H:$H,型材表!$B$5:$I$448,7,0)</f>
        <v>0</v>
      </c>
      <c r="O170" s="46">
        <f t="shared" si="20"/>
        <v>0</v>
      </c>
      <c r="P170" s="100">
        <f>VLOOKUP($H:$H,型材表!$B$5:$I$448,5,0)</f>
        <v>0.125</v>
      </c>
      <c r="Q170" s="100" t="str">
        <f>VLOOKUP($H:$H,型材表!$B$5:$I$448,6,0)</f>
        <v>非断桥隔热铝型材</v>
      </c>
      <c r="R170" s="210"/>
      <c r="S170" s="50"/>
      <c r="T170" s="478"/>
      <c r="U170" s="470" t="s">
        <v>1352</v>
      </c>
      <c r="V170" s="259">
        <f>31*2+5</f>
        <v>67</v>
      </c>
      <c r="X170" s="286">
        <f>31*2+5</f>
        <v>67</v>
      </c>
      <c r="Y170" s="265"/>
      <c r="Z170" s="264">
        <f>31*2+5</f>
        <v>67</v>
      </c>
      <c r="AA170" s="265"/>
      <c r="AB170" s="264">
        <f>31*2+5</f>
        <v>67</v>
      </c>
      <c r="AC170" s="265"/>
      <c r="AD170" s="264">
        <f>31*2+5</f>
        <v>67</v>
      </c>
      <c r="AE170" s="265"/>
      <c r="AF170" s="264">
        <f>26.6*2+4.7</f>
        <v>57.900000000000006</v>
      </c>
      <c r="AG170" s="288"/>
    </row>
    <row r="171" spans="1:33" x14ac:dyDescent="0.15">
      <c r="A171" s="220">
        <v>7</v>
      </c>
      <c r="B171" s="534"/>
      <c r="C171" s="535"/>
      <c r="D171" s="535"/>
      <c r="E171" s="536"/>
      <c r="F171" s="47" t="str">
        <f>VLOOKUP($H:$H,型材表!$B$5:$I$448,2,0)</f>
        <v>假中梃</v>
      </c>
      <c r="G171" s="45"/>
      <c r="H171" s="45" t="str">
        <f>IF(G150=55,"SN55T101",IF(G150=551,"SN55BT101",IF(G150=60,"SN60T101",IF(G150=601,"SN60AT101",IF(G150=65,"SN65AT101",IF(G150=50,"SW50MZ101"))))))</f>
        <v>SW50MZ101</v>
      </c>
      <c r="I171" s="207" t="s">
        <v>1354</v>
      </c>
      <c r="J171" s="46">
        <f>IF(G150=55,M154-V171,IF(G150=551,M154-X171,IF(G150=60,M154-Z171,IF(G150=601,M154-AB171,IF(G150=65,M154-AD171,IF(G150=50,M154-AF171))))))</f>
        <v>2244.8000000000002</v>
      </c>
      <c r="K171" s="45">
        <v>1</v>
      </c>
      <c r="L171" s="47">
        <f>VLOOKUP($H:$H,型材表!$B$5:$I$448,4,0)</f>
        <v>0.57499999999999996</v>
      </c>
      <c r="M171" s="46">
        <f t="shared" si="19"/>
        <v>1.2907599999999999</v>
      </c>
      <c r="N171" s="72">
        <f>VLOOKUP($H:$H,型材表!$B$5:$I$448,7,0)</f>
        <v>0</v>
      </c>
      <c r="O171" s="46">
        <f t="shared" si="20"/>
        <v>0</v>
      </c>
      <c r="P171" s="100">
        <f>VLOOKUP($H:$H,型材表!$B$5:$I$448,5,0)</f>
        <v>0.125</v>
      </c>
      <c r="Q171" s="100" t="str">
        <f>VLOOKUP($H:$H,型材表!$B$5:$I$448,6,0)</f>
        <v>非断桥隔热铝型材</v>
      </c>
      <c r="R171" s="49"/>
      <c r="S171" s="50"/>
      <c r="T171" s="478"/>
      <c r="U171" s="470" t="s">
        <v>1355</v>
      </c>
      <c r="V171" s="259">
        <f>32*2</f>
        <v>64</v>
      </c>
      <c r="X171" s="286">
        <f>32*2</f>
        <v>64</v>
      </c>
      <c r="Y171" s="265"/>
      <c r="Z171" s="286">
        <f>32*2</f>
        <v>64</v>
      </c>
      <c r="AA171" s="265"/>
      <c r="AB171" s="286">
        <f>32*2</f>
        <v>64</v>
      </c>
      <c r="AC171" s="265"/>
      <c r="AD171" s="286">
        <f>32*2</f>
        <v>64</v>
      </c>
      <c r="AE171" s="265"/>
      <c r="AF171" s="264">
        <f>27.6*2</f>
        <v>55.2</v>
      </c>
      <c r="AG171" s="288"/>
    </row>
    <row r="172" spans="1:33" x14ac:dyDescent="0.15">
      <c r="A172" s="220">
        <v>8</v>
      </c>
      <c r="B172" s="534"/>
      <c r="C172" s="535"/>
      <c r="D172" s="535"/>
      <c r="E172" s="536"/>
      <c r="F172" s="47"/>
      <c r="G172" s="45"/>
      <c r="H172" s="45"/>
      <c r="I172" s="207"/>
      <c r="J172" s="46"/>
      <c r="K172" s="45"/>
      <c r="L172" s="47"/>
      <c r="M172" s="46"/>
      <c r="N172" s="72"/>
      <c r="O172" s="46"/>
      <c r="P172" s="100"/>
      <c r="Q172" s="100"/>
      <c r="R172" s="49"/>
      <c r="S172" s="50"/>
      <c r="T172" s="478"/>
      <c r="X172" s="286"/>
      <c r="Y172" s="265"/>
      <c r="Z172" s="264"/>
      <c r="AA172" s="265"/>
      <c r="AB172" s="264"/>
      <c r="AC172" s="265"/>
      <c r="AD172" s="264"/>
      <c r="AE172" s="265"/>
      <c r="AF172" s="264"/>
      <c r="AG172" s="288"/>
    </row>
    <row r="173" spans="1:33" x14ac:dyDescent="0.15">
      <c r="A173" s="220">
        <v>9</v>
      </c>
      <c r="B173" s="534"/>
      <c r="C173" s="535"/>
      <c r="D173" s="535"/>
      <c r="E173" s="536"/>
      <c r="F173" s="47"/>
      <c r="G173" s="45"/>
      <c r="H173" s="207"/>
      <c r="I173" s="207"/>
      <c r="J173" s="208"/>
      <c r="K173" s="207"/>
      <c r="L173" s="47"/>
      <c r="M173" s="46"/>
      <c r="N173" s="72"/>
      <c r="O173" s="46"/>
      <c r="P173" s="100"/>
      <c r="Q173" s="100"/>
      <c r="R173" s="210"/>
      <c r="S173" s="50"/>
      <c r="T173" s="478"/>
      <c r="X173" s="286"/>
      <c r="Y173" s="265"/>
      <c r="Z173" s="264"/>
      <c r="AA173" s="265"/>
      <c r="AB173" s="264"/>
      <c r="AC173" s="265"/>
      <c r="AD173" s="264"/>
      <c r="AE173" s="265"/>
      <c r="AF173" s="264"/>
      <c r="AG173" s="288"/>
    </row>
    <row r="174" spans="1:33" x14ac:dyDescent="0.15">
      <c r="A174" s="220">
        <v>10</v>
      </c>
      <c r="B174" s="537"/>
      <c r="C174" s="538"/>
      <c r="D174" s="538"/>
      <c r="E174" s="539"/>
      <c r="F174" s="47"/>
      <c r="G174" s="45"/>
      <c r="H174" s="45"/>
      <c r="I174" s="207"/>
      <c r="J174" s="46"/>
      <c r="K174" s="45"/>
      <c r="L174" s="47"/>
      <c r="M174" s="46"/>
      <c r="N174" s="72"/>
      <c r="O174" s="46"/>
      <c r="P174" s="100"/>
      <c r="Q174" s="100"/>
      <c r="R174" s="49"/>
      <c r="S174" s="50"/>
      <c r="T174" s="478"/>
      <c r="X174" s="286"/>
      <c r="Y174" s="265"/>
      <c r="Z174" s="264"/>
      <c r="AA174" s="265"/>
      <c r="AB174" s="264"/>
      <c r="AC174" s="265"/>
      <c r="AD174" s="264"/>
      <c r="AE174" s="265"/>
      <c r="AF174" s="264"/>
      <c r="AG174" s="288"/>
    </row>
    <row r="175" spans="1:33" x14ac:dyDescent="0.15">
      <c r="A175" s="220">
        <v>11</v>
      </c>
      <c r="B175" s="531" t="s">
        <v>44</v>
      </c>
      <c r="C175" s="532"/>
      <c r="D175" s="532"/>
      <c r="E175" s="533"/>
      <c r="F175" s="47" t="str">
        <f>VLOOKUP($H:$H,型材表!$B$5:$I$448,2,0)</f>
        <v>压线</v>
      </c>
      <c r="G175" s="45" t="s">
        <v>39</v>
      </c>
      <c r="H175" s="45" t="str">
        <f>IF(G150=55,"SN55Y001",IF(G150=551,"SW55BY001",IF(G150=60,"SN60Y001",IF(G150=601,"SW60AY001",IF(G150=65,"SN65AY001",IF(G150=50,"SW50Y001"))))))</f>
        <v>SW50Y001</v>
      </c>
      <c r="I175" s="207" t="s">
        <v>1346</v>
      </c>
      <c r="J175" s="52">
        <f>IF(G150=55,M154-V175,IF(G150=551,M154-X175,IF(G150=60,M154-Z175,IF(G150=601,M154-AB175,IF(G150=65,M154-AD175,IF(G150=50,M154-AF175))))))</f>
        <v>2112.8000000000002</v>
      </c>
      <c r="K175" s="45">
        <v>4</v>
      </c>
      <c r="L175" s="47">
        <f>VLOOKUP($H:$H,型材表!$B$5:$I$448,4,0)</f>
        <v>0.192</v>
      </c>
      <c r="M175" s="46">
        <f t="shared" ref="M175:M179" si="21">J175*K175*L175/1000</f>
        <v>1.6226304000000003</v>
      </c>
      <c r="N175" s="72">
        <f>VLOOKUP($H:$H,型材表!$B$5:$I$448,7,0)</f>
        <v>0</v>
      </c>
      <c r="O175" s="46">
        <f t="shared" ref="O175:O179" si="22">N175*M175</f>
        <v>0</v>
      </c>
      <c r="P175" s="100">
        <f>VLOOKUP($H:$H,型材表!$B$5:$I$448,5,0)</f>
        <v>0.125</v>
      </c>
      <c r="Q175" s="100" t="str">
        <f>VLOOKUP($H:$H,型材表!$B$5:$I$448,6,0)</f>
        <v>非断桥隔热铝型材</v>
      </c>
      <c r="R175" s="49"/>
      <c r="S175" s="50"/>
      <c r="T175" s="478"/>
      <c r="U175" s="470" t="s">
        <v>1348</v>
      </c>
      <c r="V175" s="269">
        <f>98.5*2</f>
        <v>197</v>
      </c>
      <c r="X175" s="279">
        <f>98.5*2</f>
        <v>197</v>
      </c>
      <c r="Y175" s="265"/>
      <c r="Z175" s="279">
        <f>98.5*2</f>
        <v>197</v>
      </c>
      <c r="AA175" s="265"/>
      <c r="AB175" s="279">
        <f>98.5*2</f>
        <v>197</v>
      </c>
      <c r="AC175" s="265"/>
      <c r="AD175" s="279">
        <f>98.5*2</f>
        <v>197</v>
      </c>
      <c r="AE175" s="265"/>
      <c r="AF175" s="264">
        <f>93.6*2</f>
        <v>187.2</v>
      </c>
      <c r="AG175" s="288"/>
    </row>
    <row r="176" spans="1:33" x14ac:dyDescent="0.15">
      <c r="A176" s="220">
        <v>12</v>
      </c>
      <c r="B176" s="534"/>
      <c r="C176" s="535"/>
      <c r="D176" s="535"/>
      <c r="E176" s="536"/>
      <c r="F176" s="47" t="str">
        <f>VLOOKUP($H:$H,型材表!$B$5:$I$448,2,0)</f>
        <v>压线</v>
      </c>
      <c r="G176" s="45" t="s">
        <v>40</v>
      </c>
      <c r="H176" s="207" t="str">
        <f>H175</f>
        <v>SW50Y001</v>
      </c>
      <c r="I176" s="207" t="s">
        <v>1357</v>
      </c>
      <c r="J176" s="214">
        <f>IF(G150=55,M153-V176,IF(G150=551,M153-X176,IF(G150=60,M153-Z176,IF(G150=601,M153-AB176,IF(G150=65,M153-AD176,IF(G150=50,M153-AF176))))))</f>
        <v>974.1</v>
      </c>
      <c r="K176" s="207">
        <v>2</v>
      </c>
      <c r="L176" s="47">
        <f>VLOOKUP($H:$H,型材表!$B$5:$I$448,4,0)</f>
        <v>0.192</v>
      </c>
      <c r="M176" s="46">
        <f t="shared" si="21"/>
        <v>0.37405440000000006</v>
      </c>
      <c r="N176" s="72">
        <f>VLOOKUP($H:$H,型材表!$B$5:$I$448,7,0)</f>
        <v>0</v>
      </c>
      <c r="O176" s="46">
        <f t="shared" si="22"/>
        <v>0</v>
      </c>
      <c r="P176" s="100">
        <f>VLOOKUP($H:$H,型材表!$B$5:$I$448,5,0)</f>
        <v>0.125</v>
      </c>
      <c r="Q176" s="100" t="str">
        <f>VLOOKUP($H:$H,型材表!$B$5:$I$448,6,0)</f>
        <v>非断桥隔热铝型材</v>
      </c>
      <c r="R176" s="210"/>
      <c r="S176" s="50"/>
      <c r="T176" s="478"/>
      <c r="U176" s="470" t="s">
        <v>1356</v>
      </c>
      <c r="V176" s="259">
        <f>98.5*2+140</f>
        <v>337</v>
      </c>
      <c r="X176" s="286">
        <f>98.5*2+140</f>
        <v>337</v>
      </c>
      <c r="Y176" s="265"/>
      <c r="Z176" s="286">
        <f>98.5*2+140</f>
        <v>337</v>
      </c>
      <c r="AA176" s="265"/>
      <c r="AB176" s="286">
        <f>98.5*2+140</f>
        <v>337</v>
      </c>
      <c r="AC176" s="265"/>
      <c r="AD176" s="286">
        <f>98.5*2+140</f>
        <v>337</v>
      </c>
      <c r="AE176" s="265"/>
      <c r="AF176" s="264">
        <f>93.6*2+138.7</f>
        <v>325.89999999999998</v>
      </c>
      <c r="AG176" s="288"/>
    </row>
    <row r="177" spans="1:33" x14ac:dyDescent="0.15">
      <c r="A177" s="220">
        <v>13</v>
      </c>
      <c r="B177" s="534"/>
      <c r="C177" s="535"/>
      <c r="D177" s="535"/>
      <c r="E177" s="536"/>
      <c r="F177" s="47" t="str">
        <f>VLOOKUP($H:$H,型材表!$B$5:$I$448,2,0)</f>
        <v>角码</v>
      </c>
      <c r="G177" s="213" t="s">
        <v>446</v>
      </c>
      <c r="H177" s="207" t="str">
        <f>IF(G150=50,"SW50F002","SN55MF004")</f>
        <v>SW50F002</v>
      </c>
      <c r="I177" s="207" t="s">
        <v>1343</v>
      </c>
      <c r="J177" s="214">
        <f>IF(G150=55,V177,IF(G150=551,X177,IF(G150=60,Z177,IF(G150=601,AB177,IF(G150=65,AD177,IF(G150=50,AF177))))))</f>
        <v>14</v>
      </c>
      <c r="K177" s="207">
        <v>4</v>
      </c>
      <c r="L177" s="47">
        <f>VLOOKUP($H:$H,型材表!$B$5:$I$448,4,0)</f>
        <v>2.3119999999999998</v>
      </c>
      <c r="M177" s="46">
        <f t="shared" si="21"/>
        <v>0.12947199999999998</v>
      </c>
      <c r="N177" s="72">
        <f>VLOOKUP($H:$H,型材表!$B$5:$I$448,7,0)</f>
        <v>0</v>
      </c>
      <c r="O177" s="46">
        <f t="shared" si="22"/>
        <v>0</v>
      </c>
      <c r="P177" s="100">
        <f>VLOOKUP($H:$H,型材表!$B$5:$I$448,5,0)</f>
        <v>0.125</v>
      </c>
      <c r="Q177" s="100" t="str">
        <f>VLOOKUP($H:$H,型材表!$B$5:$I$448,6,0)</f>
        <v>阳极氧化铝型材</v>
      </c>
      <c r="R177" s="210"/>
      <c r="S177" s="50"/>
      <c r="T177" s="478"/>
      <c r="U177" s="470" t="s">
        <v>1343</v>
      </c>
      <c r="V177" s="259">
        <f>9.9-1+18.5-1</f>
        <v>26.4</v>
      </c>
      <c r="X177" s="264">
        <f>18.5-1+9.9-1</f>
        <v>26.4</v>
      </c>
      <c r="Y177" s="265"/>
      <c r="Z177" s="317">
        <f>18.5-1+13.7-1</f>
        <v>30.2</v>
      </c>
      <c r="AA177" s="265"/>
      <c r="AB177" s="264">
        <f>18.5-1+9.9-1</f>
        <v>26.4</v>
      </c>
      <c r="AC177" s="265"/>
      <c r="AD177" s="317">
        <f>18.5-1+13.7-1</f>
        <v>30.2</v>
      </c>
      <c r="AE177" s="265"/>
      <c r="AF177" s="264">
        <f>15-1</f>
        <v>14</v>
      </c>
      <c r="AG177" s="288"/>
    </row>
    <row r="178" spans="1:33" s="229" customFormat="1" x14ac:dyDescent="0.15">
      <c r="A178" s="220">
        <v>14</v>
      </c>
      <c r="B178" s="534"/>
      <c r="C178" s="535"/>
      <c r="D178" s="535"/>
      <c r="E178" s="536"/>
      <c r="F178" s="47" t="str">
        <f>VLOOKUP($H:$H,型材表!$B$5:$I$448,2,0)</f>
        <v>角码</v>
      </c>
      <c r="G178" s="230" t="s">
        <v>447</v>
      </c>
      <c r="H178" s="222" t="str">
        <f>IF(G150=50,"SW50MF001","SN55MF005")</f>
        <v>SW50MF001</v>
      </c>
      <c r="I178" s="222" t="s">
        <v>1344</v>
      </c>
      <c r="J178" s="214">
        <f>IF(G150=55,V178,IF(G150=551,X178,IF(G150=60,Z178,IF(G150=601,AB178,IF(G150=65,AD178,IF(G150=50,AF178))))))</f>
        <v>45.6</v>
      </c>
      <c r="K178" s="207">
        <v>8</v>
      </c>
      <c r="L178" s="47">
        <f>VLOOKUP($H:$H,型材表!$B$5:$I$448,4,0)</f>
        <v>3.3159999999999998</v>
      </c>
      <c r="M178" s="46">
        <f t="shared" si="21"/>
        <v>1.2096768</v>
      </c>
      <c r="N178" s="72">
        <f>VLOOKUP($H:$H,型材表!$B$5:$I$448,7,0)</f>
        <v>0</v>
      </c>
      <c r="O178" s="46">
        <f t="shared" si="22"/>
        <v>0</v>
      </c>
      <c r="P178" s="100">
        <f>VLOOKUP($H:$H,型材表!$B$5:$I$448,5,0)</f>
        <v>0.125</v>
      </c>
      <c r="Q178" s="46" t="str">
        <f>VLOOKUP($H:$H,型材表!$B$5:$I$448,6,0)</f>
        <v>阳极氧化铝型材</v>
      </c>
      <c r="R178" s="227"/>
      <c r="S178" s="228"/>
      <c r="T178" s="479"/>
      <c r="U178" s="471" t="s">
        <v>1344</v>
      </c>
      <c r="V178" s="266">
        <f>25.7-1</f>
        <v>24.7</v>
      </c>
      <c r="W178" s="266"/>
      <c r="X178" s="267">
        <f>25.4-1</f>
        <v>24.4</v>
      </c>
      <c r="Y178" s="268"/>
      <c r="Z178" s="267">
        <f>25.7-1</f>
        <v>24.7</v>
      </c>
      <c r="AA178" s="268"/>
      <c r="AB178" s="267">
        <f>25.4-1</f>
        <v>24.4</v>
      </c>
      <c r="AC178" s="268"/>
      <c r="AD178" s="267">
        <f>25.7-1</f>
        <v>24.7</v>
      </c>
      <c r="AE178" s="268"/>
      <c r="AF178" s="267">
        <f>46.6-1</f>
        <v>45.6</v>
      </c>
      <c r="AG178" s="289"/>
    </row>
    <row r="179" spans="1:33" x14ac:dyDescent="0.15">
      <c r="A179" s="220">
        <v>15</v>
      </c>
      <c r="B179" s="534"/>
      <c r="C179" s="535"/>
      <c r="D179" s="535"/>
      <c r="E179" s="536"/>
      <c r="F179" s="47">
        <f>VLOOKUP($H:$H,型材表!$B$5:$I$448,2,0)</f>
        <v>0</v>
      </c>
      <c r="G179" s="230" t="s">
        <v>447</v>
      </c>
      <c r="H179" s="45">
        <f>IF(G150=551,"SW55BMF001",IF(G150=601,"SW55BMF001",IF(G150=50,0,"SN55MF005")))</f>
        <v>0</v>
      </c>
      <c r="I179" s="207" t="s">
        <v>1345</v>
      </c>
      <c r="J179" s="52">
        <f>IF(G150=55,V179,IF(G150=551,X179,IF(G150=60,Z179,IF(G150=601,AB179,IF(G150=65,AD179,IF(G150=50,AF179))))))</f>
        <v>0</v>
      </c>
      <c r="K179" s="45">
        <f>K178</f>
        <v>8</v>
      </c>
      <c r="L179" s="47">
        <f>VLOOKUP($H:$H,型材表!$B$5:$I$448,4,0)</f>
        <v>0</v>
      </c>
      <c r="M179" s="46">
        <f t="shared" si="21"/>
        <v>0</v>
      </c>
      <c r="N179" s="72">
        <f>VLOOKUP($H:$H,型材表!$B$5:$I$448,7,0)</f>
        <v>0</v>
      </c>
      <c r="O179" s="46">
        <f t="shared" si="22"/>
        <v>0</v>
      </c>
      <c r="P179" s="100">
        <f>VLOOKUP($H:$H,型材表!$B$5:$I$448,5,0)</f>
        <v>0</v>
      </c>
      <c r="Q179" s="46">
        <f>VLOOKUP($H:$H,型材表!$B$5:$I$448,6,0)</f>
        <v>0</v>
      </c>
      <c r="R179" s="49"/>
      <c r="S179" s="50"/>
      <c r="T179" s="478"/>
      <c r="U179" s="470" t="s">
        <v>1345</v>
      </c>
      <c r="V179" s="259">
        <f>14.7-1</f>
        <v>13.7</v>
      </c>
      <c r="X179" s="317">
        <f>11.2-1</f>
        <v>10.199999999999999</v>
      </c>
      <c r="Y179" s="265"/>
      <c r="Z179" s="264">
        <f>14.7-1</f>
        <v>13.7</v>
      </c>
      <c r="AA179" s="265"/>
      <c r="AB179" s="317">
        <f>11.2-1</f>
        <v>10.199999999999999</v>
      </c>
      <c r="AC179" s="265"/>
      <c r="AD179" s="264">
        <f>14.7-1</f>
        <v>13.7</v>
      </c>
      <c r="AE179" s="265"/>
      <c r="AF179" s="264"/>
      <c r="AG179" s="288"/>
    </row>
    <row r="180" spans="1:33" x14ac:dyDescent="0.15">
      <c r="A180" s="302">
        <v>16</v>
      </c>
      <c r="B180" s="534"/>
      <c r="C180" s="535"/>
      <c r="D180" s="535"/>
      <c r="E180" s="536"/>
      <c r="F180" s="306"/>
      <c r="G180" s="230"/>
      <c r="H180" s="207"/>
      <c r="I180" s="207"/>
      <c r="J180" s="214"/>
      <c r="K180" s="207"/>
      <c r="L180" s="306"/>
      <c r="M180" s="208"/>
      <c r="N180" s="209"/>
      <c r="O180" s="208"/>
      <c r="P180" s="307"/>
      <c r="Q180" s="100"/>
      <c r="R180" s="210"/>
      <c r="S180" s="50"/>
      <c r="T180" s="478"/>
      <c r="X180" s="264"/>
      <c r="Y180" s="265"/>
      <c r="Z180" s="264"/>
      <c r="AA180" s="265"/>
      <c r="AB180" s="264"/>
      <c r="AC180" s="265"/>
      <c r="AD180" s="264"/>
      <c r="AE180" s="265"/>
      <c r="AF180" s="264"/>
      <c r="AG180" s="288"/>
    </row>
    <row r="181" spans="1:33" x14ac:dyDescent="0.15">
      <c r="A181" s="302">
        <v>17</v>
      </c>
      <c r="B181" s="534"/>
      <c r="C181" s="535"/>
      <c r="D181" s="535"/>
      <c r="E181" s="536"/>
      <c r="F181" s="306"/>
      <c r="G181" s="230"/>
      <c r="H181" s="207"/>
      <c r="I181" s="207"/>
      <c r="J181" s="214"/>
      <c r="K181" s="207"/>
      <c r="L181" s="306"/>
      <c r="M181" s="208"/>
      <c r="N181" s="209"/>
      <c r="O181" s="208"/>
      <c r="P181" s="307"/>
      <c r="Q181" s="100"/>
      <c r="R181" s="210"/>
      <c r="S181" s="50"/>
      <c r="T181" s="478"/>
      <c r="X181" s="264"/>
      <c r="Y181" s="265"/>
      <c r="Z181" s="264"/>
      <c r="AA181" s="265"/>
      <c r="AB181" s="264"/>
      <c r="AC181" s="265"/>
      <c r="AD181" s="264"/>
      <c r="AE181" s="265"/>
      <c r="AF181" s="264"/>
      <c r="AG181" s="288"/>
    </row>
    <row r="182" spans="1:33" x14ac:dyDescent="0.15">
      <c r="A182" s="302">
        <v>18</v>
      </c>
      <c r="B182" s="534"/>
      <c r="C182" s="535"/>
      <c r="D182" s="535"/>
      <c r="E182" s="536"/>
      <c r="F182" s="306"/>
      <c r="G182" s="230"/>
      <c r="H182" s="207"/>
      <c r="I182" s="207"/>
      <c r="J182" s="214"/>
      <c r="K182" s="207"/>
      <c r="L182" s="306"/>
      <c r="M182" s="208"/>
      <c r="N182" s="209"/>
      <c r="O182" s="208"/>
      <c r="P182" s="307"/>
      <c r="Q182" s="100"/>
      <c r="R182" s="210"/>
      <c r="S182" s="50"/>
      <c r="T182" s="478"/>
      <c r="X182" s="264"/>
      <c r="Y182" s="265"/>
      <c r="Z182" s="264"/>
      <c r="AA182" s="265"/>
      <c r="AB182" s="264"/>
      <c r="AC182" s="265"/>
      <c r="AD182" s="264"/>
      <c r="AE182" s="265"/>
      <c r="AF182" s="264"/>
      <c r="AG182" s="288"/>
    </row>
    <row r="183" spans="1:33" x14ac:dyDescent="0.15">
      <c r="A183" s="302">
        <v>19</v>
      </c>
      <c r="B183" s="534"/>
      <c r="C183" s="535"/>
      <c r="D183" s="535"/>
      <c r="E183" s="536"/>
      <c r="F183" s="306"/>
      <c r="G183" s="230"/>
      <c r="H183" s="207"/>
      <c r="I183" s="207"/>
      <c r="J183" s="214"/>
      <c r="K183" s="207"/>
      <c r="L183" s="306"/>
      <c r="M183" s="208"/>
      <c r="N183" s="209"/>
      <c r="O183" s="208"/>
      <c r="P183" s="307"/>
      <c r="Q183" s="100"/>
      <c r="R183" s="210"/>
      <c r="S183" s="50"/>
      <c r="T183" s="478"/>
      <c r="X183" s="264"/>
      <c r="Y183" s="265"/>
      <c r="Z183" s="264"/>
      <c r="AA183" s="265"/>
      <c r="AB183" s="264"/>
      <c r="AC183" s="265"/>
      <c r="AD183" s="264"/>
      <c r="AE183" s="265"/>
      <c r="AF183" s="264"/>
      <c r="AG183" s="288"/>
    </row>
    <row r="184" spans="1:33" x14ac:dyDescent="0.15">
      <c r="A184" s="413">
        <v>20</v>
      </c>
      <c r="B184" s="534"/>
      <c r="C184" s="535"/>
      <c r="D184" s="535"/>
      <c r="E184" s="536"/>
      <c r="F184" s="306"/>
      <c r="G184" s="230"/>
      <c r="H184" s="207"/>
      <c r="I184" s="207"/>
      <c r="J184" s="214"/>
      <c r="K184" s="207"/>
      <c r="L184" s="306"/>
      <c r="M184" s="208"/>
      <c r="N184" s="209"/>
      <c r="O184" s="208"/>
      <c r="P184" s="307"/>
      <c r="Q184" s="307"/>
      <c r="R184" s="210"/>
      <c r="S184" s="50"/>
      <c r="T184" s="478"/>
      <c r="X184" s="264"/>
      <c r="Y184" s="265"/>
      <c r="Z184" s="264"/>
      <c r="AA184" s="265"/>
      <c r="AB184" s="264"/>
      <c r="AC184" s="265"/>
      <c r="AD184" s="264"/>
      <c r="AE184" s="265"/>
      <c r="AF184" s="264"/>
      <c r="AG184" s="288"/>
    </row>
    <row r="185" spans="1:33" x14ac:dyDescent="0.15">
      <c r="A185" s="413">
        <v>21</v>
      </c>
      <c r="B185" s="534"/>
      <c r="C185" s="535"/>
      <c r="D185" s="535"/>
      <c r="E185" s="536"/>
      <c r="F185" s="306"/>
      <c r="G185" s="230"/>
      <c r="H185" s="207"/>
      <c r="I185" s="207"/>
      <c r="J185" s="214"/>
      <c r="K185" s="207"/>
      <c r="L185" s="306"/>
      <c r="M185" s="208"/>
      <c r="N185" s="209"/>
      <c r="O185" s="208"/>
      <c r="P185" s="307"/>
      <c r="Q185" s="307"/>
      <c r="R185" s="210"/>
      <c r="S185" s="50"/>
      <c r="T185" s="478"/>
      <c r="X185" s="264"/>
      <c r="Y185" s="265"/>
      <c r="Z185" s="264"/>
      <c r="AA185" s="265"/>
      <c r="AB185" s="264"/>
      <c r="AC185" s="265"/>
      <c r="AD185" s="264"/>
      <c r="AE185" s="265"/>
      <c r="AF185" s="264"/>
      <c r="AG185" s="288"/>
    </row>
    <row r="186" spans="1:33" x14ac:dyDescent="0.15">
      <c r="A186" s="413">
        <v>22</v>
      </c>
      <c r="B186" s="534"/>
      <c r="C186" s="535"/>
      <c r="D186" s="535"/>
      <c r="E186" s="536"/>
      <c r="F186" s="306"/>
      <c r="G186" s="230"/>
      <c r="H186" s="207"/>
      <c r="I186" s="207"/>
      <c r="J186" s="214"/>
      <c r="K186" s="207"/>
      <c r="L186" s="306"/>
      <c r="M186" s="208"/>
      <c r="N186" s="209"/>
      <c r="O186" s="208"/>
      <c r="P186" s="307"/>
      <c r="Q186" s="307"/>
      <c r="R186" s="210"/>
      <c r="S186" s="50"/>
      <c r="T186" s="478"/>
      <c r="X186" s="264"/>
      <c r="Y186" s="265"/>
      <c r="Z186" s="264"/>
      <c r="AA186" s="265"/>
      <c r="AB186" s="264"/>
      <c r="AC186" s="265"/>
      <c r="AD186" s="264"/>
      <c r="AE186" s="265"/>
      <c r="AF186" s="264"/>
      <c r="AG186" s="288"/>
    </row>
    <row r="187" spans="1:33" x14ac:dyDescent="0.15">
      <c r="A187" s="413">
        <v>23</v>
      </c>
      <c r="B187" s="534"/>
      <c r="C187" s="535"/>
      <c r="D187" s="535"/>
      <c r="E187" s="536"/>
      <c r="F187" s="306"/>
      <c r="G187" s="230"/>
      <c r="H187" s="207"/>
      <c r="I187" s="207"/>
      <c r="J187" s="214"/>
      <c r="K187" s="207"/>
      <c r="L187" s="306"/>
      <c r="M187" s="208"/>
      <c r="N187" s="209"/>
      <c r="O187" s="208"/>
      <c r="P187" s="307"/>
      <c r="Q187" s="307"/>
      <c r="R187" s="210"/>
      <c r="S187" s="50"/>
      <c r="T187" s="478"/>
      <c r="X187" s="264"/>
      <c r="Y187" s="265"/>
      <c r="Z187" s="264"/>
      <c r="AA187" s="265"/>
      <c r="AB187" s="264"/>
      <c r="AC187" s="265"/>
      <c r="AD187" s="264"/>
      <c r="AE187" s="265"/>
      <c r="AF187" s="264"/>
      <c r="AG187" s="288"/>
    </row>
    <row r="188" spans="1:33" x14ac:dyDescent="0.15">
      <c r="A188" s="413">
        <v>24</v>
      </c>
      <c r="B188" s="534"/>
      <c r="C188" s="535"/>
      <c r="D188" s="535"/>
      <c r="E188" s="536"/>
      <c r="F188" s="306"/>
      <c r="G188" s="230"/>
      <c r="H188" s="207"/>
      <c r="I188" s="207"/>
      <c r="J188" s="214"/>
      <c r="K188" s="207"/>
      <c r="L188" s="306"/>
      <c r="M188" s="208"/>
      <c r="N188" s="209"/>
      <c r="O188" s="208"/>
      <c r="P188" s="307"/>
      <c r="Q188" s="100"/>
      <c r="R188" s="210"/>
      <c r="S188" s="50"/>
      <c r="T188" s="478"/>
      <c r="X188" s="264"/>
      <c r="Y188" s="265"/>
      <c r="Z188" s="264"/>
      <c r="AA188" s="265"/>
      <c r="AB188" s="264"/>
      <c r="AC188" s="265"/>
      <c r="AD188" s="264"/>
      <c r="AE188" s="265"/>
      <c r="AF188" s="264"/>
      <c r="AG188" s="288"/>
    </row>
    <row r="189" spans="1:33" x14ac:dyDescent="0.15">
      <c r="A189" s="413">
        <v>25</v>
      </c>
      <c r="B189" s="534"/>
      <c r="C189" s="535"/>
      <c r="D189" s="535"/>
      <c r="E189" s="536"/>
      <c r="F189" s="306"/>
      <c r="G189" s="230"/>
      <c r="H189" s="207"/>
      <c r="I189" s="207"/>
      <c r="J189" s="214"/>
      <c r="K189" s="207"/>
      <c r="L189" s="306"/>
      <c r="M189" s="208"/>
      <c r="N189" s="209"/>
      <c r="O189" s="208"/>
      <c r="P189" s="307"/>
      <c r="Q189" s="100"/>
      <c r="R189" s="210"/>
      <c r="S189" s="50"/>
      <c r="T189" s="478"/>
      <c r="X189" s="264"/>
      <c r="Y189" s="265"/>
      <c r="Z189" s="264"/>
      <c r="AA189" s="265"/>
      <c r="AB189" s="264"/>
      <c r="AC189" s="265"/>
      <c r="AD189" s="264"/>
      <c r="AE189" s="265"/>
      <c r="AF189" s="264"/>
      <c r="AG189" s="288"/>
    </row>
    <row r="190" spans="1:33" x14ac:dyDescent="0.15">
      <c r="A190" s="413">
        <v>26</v>
      </c>
      <c r="B190" s="534"/>
      <c r="C190" s="535"/>
      <c r="D190" s="535"/>
      <c r="E190" s="536"/>
      <c r="F190" s="47"/>
      <c r="G190" s="213"/>
      <c r="H190" s="207"/>
      <c r="I190" s="207"/>
      <c r="J190" s="214"/>
      <c r="K190" s="207"/>
      <c r="L190" s="47"/>
      <c r="M190" s="46"/>
      <c r="N190" s="72"/>
      <c r="O190" s="46"/>
      <c r="P190" s="100"/>
      <c r="Q190" s="100"/>
      <c r="R190" s="210"/>
      <c r="S190" s="50"/>
      <c r="T190" s="478"/>
      <c r="X190" s="264"/>
      <c r="Y190" s="265"/>
      <c r="Z190" s="264"/>
      <c r="AA190" s="265"/>
      <c r="AB190" s="264"/>
      <c r="AC190" s="265"/>
      <c r="AD190" s="264"/>
      <c r="AE190" s="265"/>
      <c r="AF190" s="264"/>
      <c r="AG190" s="288"/>
    </row>
    <row r="191" spans="1:33" s="229" customFormat="1" x14ac:dyDescent="0.15">
      <c r="A191" s="413">
        <v>27</v>
      </c>
      <c r="B191" s="537"/>
      <c r="C191" s="538"/>
      <c r="D191" s="538"/>
      <c r="E191" s="539"/>
      <c r="F191" s="221"/>
      <c r="G191" s="232"/>
      <c r="H191" s="233"/>
      <c r="I191" s="222"/>
      <c r="J191" s="234"/>
      <c r="K191" s="233"/>
      <c r="L191" s="221"/>
      <c r="M191" s="224"/>
      <c r="N191" s="225"/>
      <c r="O191" s="224"/>
      <c r="P191" s="226"/>
      <c r="Q191" s="226"/>
      <c r="R191" s="235"/>
      <c r="S191" s="228"/>
      <c r="T191" s="479"/>
      <c r="U191" s="471"/>
      <c r="V191" s="266"/>
      <c r="W191" s="266"/>
      <c r="X191" s="267"/>
      <c r="Y191" s="268"/>
      <c r="Z191" s="267"/>
      <c r="AA191" s="268"/>
      <c r="AB191" s="267"/>
      <c r="AC191" s="268"/>
      <c r="AD191" s="267"/>
      <c r="AE191" s="268"/>
      <c r="AF191" s="267"/>
      <c r="AG191" s="289"/>
    </row>
    <row r="192" spans="1:33" s="229" customFormat="1" x14ac:dyDescent="0.15">
      <c r="A192" s="567" t="s">
        <v>919</v>
      </c>
      <c r="B192" s="568"/>
      <c r="C192" s="568"/>
      <c r="D192" s="568"/>
      <c r="E192" s="568"/>
      <c r="F192" s="568"/>
      <c r="G192" s="568"/>
      <c r="H192" s="568"/>
      <c r="I192" s="568"/>
      <c r="J192" s="568"/>
      <c r="K192" s="568"/>
      <c r="L192" s="569"/>
      <c r="M192" s="224">
        <f>SUMIF($Q$165:$Q$191,A192,$M$165:$M$191)</f>
        <v>0</v>
      </c>
      <c r="N192" s="353"/>
      <c r="O192" s="224"/>
      <c r="P192" s="354"/>
      <c r="Q192" s="355"/>
      <c r="R192" s="296"/>
      <c r="S192" s="228"/>
      <c r="T192" s="479"/>
      <c r="U192" s="471"/>
      <c r="V192" s="266"/>
      <c r="W192" s="266"/>
      <c r="X192" s="267"/>
      <c r="Y192" s="268"/>
      <c r="Z192" s="267"/>
      <c r="AA192" s="268"/>
      <c r="AB192" s="267"/>
      <c r="AC192" s="268"/>
      <c r="AD192" s="267"/>
      <c r="AE192" s="268"/>
      <c r="AF192" s="267"/>
      <c r="AG192" s="289"/>
    </row>
    <row r="193" spans="1:33" s="229" customFormat="1" x14ac:dyDescent="0.15">
      <c r="A193" s="567" t="s">
        <v>920</v>
      </c>
      <c r="B193" s="568"/>
      <c r="C193" s="568"/>
      <c r="D193" s="568"/>
      <c r="E193" s="568"/>
      <c r="F193" s="568"/>
      <c r="G193" s="568"/>
      <c r="H193" s="568"/>
      <c r="I193" s="568"/>
      <c r="J193" s="568"/>
      <c r="K193" s="568"/>
      <c r="L193" s="569"/>
      <c r="M193" s="224">
        <f>SUMIF($Q$165:$Q$191,A193,$M$165:$M$191)</f>
        <v>26.902647399999999</v>
      </c>
      <c r="N193" s="353"/>
      <c r="O193" s="224"/>
      <c r="P193" s="354"/>
      <c r="Q193" s="355"/>
      <c r="R193" s="296"/>
      <c r="S193" s="228"/>
      <c r="T193" s="479"/>
      <c r="U193" s="471"/>
      <c r="V193" s="266"/>
      <c r="W193" s="266"/>
      <c r="X193" s="267"/>
      <c r="Y193" s="268"/>
      <c r="Z193" s="267"/>
      <c r="AA193" s="268"/>
      <c r="AB193" s="267"/>
      <c r="AC193" s="268"/>
      <c r="AD193" s="267"/>
      <c r="AE193" s="268"/>
      <c r="AF193" s="267"/>
      <c r="AG193" s="289"/>
    </row>
    <row r="194" spans="1:33" s="229" customFormat="1" x14ac:dyDescent="0.15">
      <c r="A194" s="567" t="s">
        <v>921</v>
      </c>
      <c r="B194" s="568"/>
      <c r="C194" s="568"/>
      <c r="D194" s="568"/>
      <c r="E194" s="568"/>
      <c r="F194" s="568"/>
      <c r="G194" s="568"/>
      <c r="H194" s="568"/>
      <c r="I194" s="568"/>
      <c r="J194" s="568"/>
      <c r="K194" s="568"/>
      <c r="L194" s="569"/>
      <c r="M194" s="224">
        <f>SUMIF($Q$165:$Q$191,A194,$M$165:$M$191)</f>
        <v>1.3391488</v>
      </c>
      <c r="N194" s="353"/>
      <c r="O194" s="224"/>
      <c r="P194" s="354"/>
      <c r="Q194" s="355"/>
      <c r="R194" s="296"/>
      <c r="S194" s="228"/>
      <c r="T194" s="479"/>
      <c r="U194" s="471"/>
      <c r="V194" s="266"/>
      <c r="W194" s="266"/>
      <c r="X194" s="267"/>
      <c r="Y194" s="268"/>
      <c r="Z194" s="267"/>
      <c r="AA194" s="268"/>
      <c r="AB194" s="267"/>
      <c r="AC194" s="268"/>
      <c r="AD194" s="267"/>
      <c r="AE194" s="268"/>
      <c r="AF194" s="267"/>
      <c r="AG194" s="289"/>
    </row>
    <row r="195" spans="1:33" x14ac:dyDescent="0.15">
      <c r="A195" s="61"/>
      <c r="B195" s="571"/>
      <c r="C195" s="572"/>
      <c r="D195" s="572"/>
      <c r="E195" s="573"/>
      <c r="F195" s="552" t="s">
        <v>48</v>
      </c>
      <c r="G195" s="557"/>
      <c r="H195" s="557"/>
      <c r="I195" s="557"/>
      <c r="J195" s="557"/>
      <c r="K195" s="557"/>
      <c r="L195" s="553"/>
      <c r="M195" s="62">
        <f>SUM(M192:M194)</f>
        <v>28.2417962</v>
      </c>
      <c r="N195" s="63"/>
      <c r="O195" s="62">
        <f>SUM(O165:O191)</f>
        <v>0</v>
      </c>
      <c r="P195" s="63"/>
      <c r="Q195" s="337"/>
      <c r="R195" s="64"/>
      <c r="S195" s="64"/>
      <c r="T195" s="480"/>
      <c r="X195" s="264"/>
      <c r="Y195" s="265"/>
      <c r="Z195" s="264"/>
      <c r="AA195" s="265"/>
      <c r="AB195" s="264"/>
      <c r="AC195" s="265"/>
      <c r="AD195" s="264"/>
      <c r="AE195" s="265"/>
      <c r="AF195" s="264"/>
      <c r="AG195" s="288"/>
    </row>
    <row r="196" spans="1:33" ht="24" x14ac:dyDescent="0.15">
      <c r="A196" s="65"/>
      <c r="B196" s="560" t="s">
        <v>49</v>
      </c>
      <c r="C196" s="561"/>
      <c r="D196" s="561"/>
      <c r="E196" s="562"/>
      <c r="F196" s="565" t="s">
        <v>26</v>
      </c>
      <c r="G196" s="566"/>
      <c r="H196" s="66" t="s">
        <v>1335</v>
      </c>
      <c r="I196" s="351" t="s">
        <v>1336</v>
      </c>
      <c r="J196" s="66" t="s">
        <v>50</v>
      </c>
      <c r="K196" s="66" t="s">
        <v>51</v>
      </c>
      <c r="L196" s="67" t="s">
        <v>30</v>
      </c>
      <c r="M196" s="66" t="s">
        <v>52</v>
      </c>
      <c r="N196" s="68" t="s">
        <v>53</v>
      </c>
      <c r="O196" s="68" t="s">
        <v>34</v>
      </c>
      <c r="P196" s="69" t="s">
        <v>35</v>
      </c>
      <c r="Q196" s="42"/>
      <c r="R196" s="67"/>
      <c r="S196" s="67"/>
      <c r="T196" s="481"/>
      <c r="V196" s="270" t="s">
        <v>352</v>
      </c>
      <c r="W196" s="270" t="s">
        <v>353</v>
      </c>
      <c r="X196" s="271" t="s">
        <v>352</v>
      </c>
      <c r="Y196" s="272" t="s">
        <v>353</v>
      </c>
      <c r="Z196" s="271" t="s">
        <v>352</v>
      </c>
      <c r="AA196" s="272" t="s">
        <v>353</v>
      </c>
      <c r="AB196" s="271" t="s">
        <v>352</v>
      </c>
      <c r="AC196" s="272" t="s">
        <v>353</v>
      </c>
      <c r="AD196" s="271" t="s">
        <v>352</v>
      </c>
      <c r="AE196" s="272" t="s">
        <v>353</v>
      </c>
      <c r="AF196" s="271" t="s">
        <v>857</v>
      </c>
      <c r="AG196" s="290" t="s">
        <v>858</v>
      </c>
    </row>
    <row r="197" spans="1:33" x14ac:dyDescent="0.15">
      <c r="A197" s="220">
        <v>1</v>
      </c>
      <c r="B197" s="545" t="s">
        <v>133</v>
      </c>
      <c r="C197" s="546"/>
      <c r="D197" s="546"/>
      <c r="E197" s="547"/>
      <c r="F197" s="545" t="s">
        <v>55</v>
      </c>
      <c r="G197" s="547"/>
      <c r="H197" s="45" t="s">
        <v>1358</v>
      </c>
      <c r="I197" s="207" t="s">
        <v>1351</v>
      </c>
      <c r="J197" s="46">
        <f>IF(G150=55,M157-V197,IF(G150=551,M157-X197,IF(G150=60,M157-Z197,IF(G150=601,M157-AB197,IF(G150=65,M157-AD197,IF(G150=50,M157-AF197))))))</f>
        <v>471.05</v>
      </c>
      <c r="K197" s="70">
        <f>IF(G150=55,M154-W197,IF(G150=551,M154-Y197,IF(G150=60,M154-AA197,IF(G150=601,M154-AC197,IF(G150=65,M154-AE197,IF(G150=50,M154-AG197))))))</f>
        <v>2096.8000000000002</v>
      </c>
      <c r="L197" s="70">
        <v>2</v>
      </c>
      <c r="M197" s="46">
        <f>J197*K197*L197/1000000</f>
        <v>1.9753952800000003</v>
      </c>
      <c r="N197" s="46"/>
      <c r="O197" s="46">
        <f>N197*M197</f>
        <v>0</v>
      </c>
      <c r="P197" s="71"/>
      <c r="Q197" s="71"/>
      <c r="R197" s="72"/>
      <c r="S197" s="72"/>
      <c r="T197" s="482" t="s">
        <v>1612</v>
      </c>
      <c r="U197" s="470" t="s">
        <v>1611</v>
      </c>
      <c r="V197" s="259">
        <f>110.5+80</f>
        <v>190.5</v>
      </c>
      <c r="W197" s="259">
        <f>110.5*2</f>
        <v>221</v>
      </c>
      <c r="X197" s="264">
        <f>110.5+80</f>
        <v>190.5</v>
      </c>
      <c r="Y197" s="259">
        <f>110.5*2</f>
        <v>221</v>
      </c>
      <c r="Z197" s="264">
        <f>110.5+80</f>
        <v>190.5</v>
      </c>
      <c r="AA197" s="259">
        <f>110.5*2</f>
        <v>221</v>
      </c>
      <c r="AB197" s="264">
        <f>110.5+80</f>
        <v>190.5</v>
      </c>
      <c r="AC197" s="259">
        <f>110.5*2</f>
        <v>221</v>
      </c>
      <c r="AD197" s="264">
        <f>108.5+80</f>
        <v>188.5</v>
      </c>
      <c r="AE197" s="318">
        <f>108.5*2</f>
        <v>217</v>
      </c>
      <c r="AF197" s="264">
        <f>101.6+77.35</f>
        <v>178.95</v>
      </c>
      <c r="AG197" s="288">
        <f>101.6*2</f>
        <v>203.2</v>
      </c>
    </row>
    <row r="198" spans="1:33" x14ac:dyDescent="0.15">
      <c r="A198" s="238"/>
      <c r="B198" s="545"/>
      <c r="C198" s="546"/>
      <c r="D198" s="546"/>
      <c r="E198" s="547"/>
      <c r="F198" s="545"/>
      <c r="G198" s="547"/>
      <c r="H198" s="45"/>
      <c r="I198" s="207"/>
      <c r="J198" s="208"/>
      <c r="K198" s="239"/>
      <c r="L198" s="239"/>
      <c r="M198" s="46"/>
      <c r="N198" s="208"/>
      <c r="O198" s="46"/>
      <c r="P198" s="240"/>
      <c r="Q198" s="71"/>
      <c r="R198" s="209"/>
      <c r="S198" s="209"/>
      <c r="T198" s="482"/>
      <c r="X198" s="264"/>
      <c r="Z198" s="264"/>
      <c r="AA198" s="259"/>
      <c r="AB198" s="264"/>
      <c r="AC198" s="259"/>
      <c r="AD198" s="264"/>
      <c r="AE198" s="265"/>
      <c r="AF198" s="264"/>
      <c r="AG198" s="288"/>
    </row>
    <row r="199" spans="1:33" x14ac:dyDescent="0.15">
      <c r="A199" s="220"/>
      <c r="B199" s="545"/>
      <c r="C199" s="546"/>
      <c r="D199" s="546"/>
      <c r="E199" s="547"/>
      <c r="F199" s="545"/>
      <c r="G199" s="547"/>
      <c r="H199" s="45"/>
      <c r="I199" s="207"/>
      <c r="J199" s="45"/>
      <c r="K199" s="45"/>
      <c r="L199" s="70"/>
      <c r="M199" s="46"/>
      <c r="N199" s="46"/>
      <c r="O199" s="46"/>
      <c r="P199" s="71"/>
      <c r="Q199" s="71"/>
      <c r="R199" s="72"/>
      <c r="S199" s="72"/>
      <c r="T199" s="482"/>
      <c r="X199" s="264"/>
      <c r="Y199" s="265"/>
      <c r="Z199" s="264"/>
      <c r="AA199" s="265"/>
      <c r="AB199" s="264"/>
      <c r="AC199" s="265"/>
      <c r="AD199" s="264"/>
      <c r="AE199" s="265"/>
      <c r="AF199" s="264"/>
      <c r="AG199" s="288"/>
    </row>
    <row r="200" spans="1:33" x14ac:dyDescent="0.15">
      <c r="A200" s="220"/>
      <c r="B200" s="545"/>
      <c r="C200" s="546"/>
      <c r="D200" s="546"/>
      <c r="E200" s="547"/>
      <c r="F200" s="545"/>
      <c r="G200" s="547"/>
      <c r="H200" s="45"/>
      <c r="I200" s="207"/>
      <c r="J200" s="46"/>
      <c r="K200" s="220"/>
      <c r="L200" s="70"/>
      <c r="M200" s="46"/>
      <c r="N200" s="46"/>
      <c r="O200" s="46"/>
      <c r="P200" s="48"/>
      <c r="Q200" s="48"/>
      <c r="R200" s="73"/>
      <c r="S200" s="73"/>
      <c r="T200" s="478"/>
      <c r="X200" s="264"/>
      <c r="Y200" s="265"/>
      <c r="Z200" s="264"/>
      <c r="AA200" s="265"/>
    </row>
    <row r="201" spans="1:33" x14ac:dyDescent="0.15">
      <c r="A201" s="74"/>
      <c r="B201" s="571"/>
      <c r="C201" s="572"/>
      <c r="D201" s="572"/>
      <c r="E201" s="573"/>
      <c r="F201" s="554" t="s">
        <v>56</v>
      </c>
      <c r="G201" s="554"/>
      <c r="H201" s="554"/>
      <c r="I201" s="579"/>
      <c r="J201" s="570"/>
      <c r="K201" s="570"/>
      <c r="L201" s="554"/>
      <c r="M201" s="62">
        <f>SUM(M197:M200)</f>
        <v>1.9753952800000003</v>
      </c>
      <c r="N201" s="218"/>
      <c r="O201" s="62">
        <f>SUM(O197:O200)</f>
        <v>0</v>
      </c>
      <c r="P201" s="63" t="s">
        <v>57</v>
      </c>
      <c r="Q201" s="337"/>
      <c r="R201" s="64"/>
      <c r="S201" s="64"/>
      <c r="T201" s="480"/>
    </row>
    <row r="202" spans="1:33" ht="24" x14ac:dyDescent="0.15">
      <c r="A202" s="65"/>
      <c r="B202" s="560" t="s">
        <v>58</v>
      </c>
      <c r="C202" s="561"/>
      <c r="D202" s="561"/>
      <c r="E202" s="562"/>
      <c r="F202" s="565" t="s">
        <v>26</v>
      </c>
      <c r="G202" s="566"/>
      <c r="H202" s="66" t="s">
        <v>59</v>
      </c>
      <c r="I202" s="351"/>
      <c r="J202" s="66" t="s">
        <v>60</v>
      </c>
      <c r="K202" s="66" t="s">
        <v>6</v>
      </c>
      <c r="L202" s="67" t="s">
        <v>61</v>
      </c>
      <c r="M202" s="66" t="s">
        <v>30</v>
      </c>
      <c r="N202" s="68" t="s">
        <v>62</v>
      </c>
      <c r="O202" s="68" t="s">
        <v>34</v>
      </c>
      <c r="P202" s="69" t="s">
        <v>57</v>
      </c>
      <c r="Q202" s="42"/>
      <c r="R202" s="67"/>
      <c r="S202" s="67"/>
      <c r="T202" s="481"/>
    </row>
    <row r="203" spans="1:33" ht="25.5" customHeight="1" x14ac:dyDescent="0.15">
      <c r="A203" s="220">
        <v>1</v>
      </c>
      <c r="B203" s="545"/>
      <c r="C203" s="546"/>
      <c r="D203" s="546"/>
      <c r="E203" s="547"/>
      <c r="F203" s="545" t="s">
        <v>852</v>
      </c>
      <c r="G203" s="547"/>
      <c r="H203" s="45"/>
      <c r="I203" s="207"/>
      <c r="J203" s="45"/>
      <c r="K203" s="46" t="str">
        <f>VLOOKUP($F:$F,材料单价表!$B$3:$G$42,4,0)</f>
        <v>套</v>
      </c>
      <c r="L203" s="72"/>
      <c r="M203" s="46">
        <v>2</v>
      </c>
      <c r="N203" s="46">
        <f>VLOOKUP($F:$F,材料单价表!$B$3:$G$42,5,0)</f>
        <v>0</v>
      </c>
      <c r="O203" s="46">
        <f t="shared" ref="O203" si="23">N203*M203</f>
        <v>0</v>
      </c>
      <c r="P203" s="48"/>
      <c r="Q203" s="48"/>
      <c r="R203" s="73"/>
      <c r="S203" s="73"/>
      <c r="T203" s="478"/>
    </row>
    <row r="204" spans="1:33" ht="25.5" customHeight="1" x14ac:dyDescent="0.15">
      <c r="A204" s="258"/>
      <c r="B204" s="545"/>
      <c r="C204" s="546"/>
      <c r="D204" s="546"/>
      <c r="E204" s="547"/>
      <c r="F204" s="545"/>
      <c r="G204" s="547"/>
      <c r="H204" s="45"/>
      <c r="I204" s="207"/>
      <c r="J204" s="45"/>
      <c r="K204" s="46"/>
      <c r="L204" s="72"/>
      <c r="M204" s="46"/>
      <c r="N204" s="46"/>
      <c r="O204" s="46"/>
      <c r="P204" s="48"/>
      <c r="Q204" s="48"/>
      <c r="R204" s="73"/>
      <c r="S204" s="73"/>
      <c r="T204" s="478"/>
    </row>
    <row r="205" spans="1:33" x14ac:dyDescent="0.15">
      <c r="A205" s="74"/>
      <c r="B205" s="571"/>
      <c r="C205" s="572"/>
      <c r="D205" s="572"/>
      <c r="E205" s="573"/>
      <c r="F205" s="554" t="s">
        <v>64</v>
      </c>
      <c r="G205" s="554"/>
      <c r="H205" s="554"/>
      <c r="I205" s="579"/>
      <c r="J205" s="570"/>
      <c r="K205" s="570"/>
      <c r="L205" s="554"/>
      <c r="M205" s="62">
        <f>M203</f>
        <v>2</v>
      </c>
      <c r="N205" s="218"/>
      <c r="O205" s="62">
        <f>SUM(O203:O203)</f>
        <v>0</v>
      </c>
      <c r="P205" s="63" t="s">
        <v>57</v>
      </c>
      <c r="Q205" s="337"/>
      <c r="R205" s="64"/>
      <c r="S205" s="64"/>
      <c r="T205" s="480"/>
    </row>
    <row r="206" spans="1:33" ht="24" x14ac:dyDescent="0.15">
      <c r="A206" s="65"/>
      <c r="B206" s="560" t="s">
        <v>65</v>
      </c>
      <c r="C206" s="561"/>
      <c r="D206" s="561"/>
      <c r="E206" s="562"/>
      <c r="F206" s="565" t="s">
        <v>26</v>
      </c>
      <c r="G206" s="566"/>
      <c r="H206" s="66" t="s">
        <v>59</v>
      </c>
      <c r="I206" s="351"/>
      <c r="J206" s="66" t="s">
        <v>60</v>
      </c>
      <c r="K206" s="66" t="s">
        <v>6</v>
      </c>
      <c r="L206" s="67" t="s">
        <v>61</v>
      </c>
      <c r="M206" s="66" t="s">
        <v>30</v>
      </c>
      <c r="N206" s="68" t="s">
        <v>62</v>
      </c>
      <c r="O206" s="68" t="s">
        <v>34</v>
      </c>
      <c r="P206" s="69" t="s">
        <v>57</v>
      </c>
      <c r="Q206" s="42"/>
      <c r="R206" s="67"/>
      <c r="S206" s="67"/>
      <c r="T206" s="481"/>
    </row>
    <row r="207" spans="1:33" ht="13.5" customHeight="1" x14ac:dyDescent="0.15">
      <c r="A207" s="76">
        <v>1</v>
      </c>
      <c r="B207" s="545"/>
      <c r="C207" s="546"/>
      <c r="D207" s="546"/>
      <c r="E207" s="547"/>
      <c r="F207" s="558" t="s">
        <v>66</v>
      </c>
      <c r="G207" s="559"/>
      <c r="H207" s="78"/>
      <c r="I207" s="352"/>
      <c r="J207" s="77"/>
      <c r="K207" s="46" t="str">
        <f>VLOOKUP($F:$F,材料单价表!$B$3:$G$42,4,0)</f>
        <v>m</v>
      </c>
      <c r="L207" s="46"/>
      <c r="M207" s="80">
        <f>M163</f>
        <v>7.6</v>
      </c>
      <c r="N207" s="46">
        <f>VLOOKUP($F:$F,材料单价表!$B$3:$G$42,5,0)</f>
        <v>0</v>
      </c>
      <c r="O207" s="46">
        <f>N207*M207</f>
        <v>0</v>
      </c>
      <c r="P207" s="48"/>
      <c r="Q207" s="59"/>
      <c r="R207" s="81"/>
      <c r="S207" s="79"/>
      <c r="T207" s="483"/>
    </row>
    <row r="208" spans="1:33" ht="15.75" customHeight="1" x14ac:dyDescent="0.15">
      <c r="A208" s="76">
        <v>2</v>
      </c>
      <c r="B208" s="545"/>
      <c r="C208" s="546"/>
      <c r="D208" s="546"/>
      <c r="E208" s="547"/>
      <c r="F208" s="558" t="s">
        <v>68</v>
      </c>
      <c r="G208" s="559"/>
      <c r="H208" s="78" t="s">
        <v>67</v>
      </c>
      <c r="I208" s="352"/>
      <c r="J208" s="77"/>
      <c r="K208" s="46" t="str">
        <f>VLOOKUP($F:$F,材料单价表!$B$3:$G$42,4,0)</f>
        <v>m</v>
      </c>
      <c r="L208" s="46"/>
      <c r="M208" s="80">
        <f>(J175*K175+J176*K176)/1000*2</f>
        <v>20.798800000000004</v>
      </c>
      <c r="N208" s="46">
        <f>VLOOKUP($F:$F,材料单价表!$B$3:$G$42,5,0)</f>
        <v>0</v>
      </c>
      <c r="O208" s="46">
        <f t="shared" ref="O208:O213" si="24">N208*M208</f>
        <v>0</v>
      </c>
      <c r="P208" s="48"/>
      <c r="Q208" s="59"/>
      <c r="R208" s="81"/>
      <c r="S208" s="79"/>
      <c r="T208" s="483"/>
      <c r="V208" s="104"/>
      <c r="W208" s="104"/>
    </row>
    <row r="209" spans="1:23" ht="13.5" customHeight="1" x14ac:dyDescent="0.15">
      <c r="A209" s="76">
        <v>3</v>
      </c>
      <c r="B209" s="545"/>
      <c r="C209" s="546"/>
      <c r="D209" s="546"/>
      <c r="E209" s="547"/>
      <c r="F209" s="558" t="s">
        <v>68</v>
      </c>
      <c r="G209" s="559"/>
      <c r="H209" s="78" t="s">
        <v>69</v>
      </c>
      <c r="I209" s="352"/>
      <c r="J209" s="77"/>
      <c r="K209" s="46" t="str">
        <f>VLOOKUP($F:$F,材料单价表!$B$3:$G$42,4,0)</f>
        <v>m</v>
      </c>
      <c r="L209" s="46"/>
      <c r="M209" s="80">
        <f>M163</f>
        <v>7.6</v>
      </c>
      <c r="N209" s="46">
        <f>VLOOKUP($F:$F,材料单价表!$B$3:$G$42,5,0)</f>
        <v>0</v>
      </c>
      <c r="O209" s="46">
        <f t="shared" si="24"/>
        <v>0</v>
      </c>
      <c r="P209" s="48"/>
      <c r="Q209" s="59"/>
      <c r="R209" s="81"/>
      <c r="S209" s="79"/>
      <c r="T209" s="483"/>
      <c r="V209" s="104"/>
      <c r="W209" s="104"/>
    </row>
    <row r="210" spans="1:23" ht="13.5" customHeight="1" x14ac:dyDescent="0.15">
      <c r="A210" s="76">
        <v>4</v>
      </c>
      <c r="B210" s="545"/>
      <c r="C210" s="546"/>
      <c r="D210" s="546"/>
      <c r="E210" s="547"/>
      <c r="F210" s="558" t="s">
        <v>68</v>
      </c>
      <c r="G210" s="559"/>
      <c r="H210" s="78" t="s">
        <v>70</v>
      </c>
      <c r="I210" s="352"/>
      <c r="J210" s="77"/>
      <c r="K210" s="46" t="str">
        <f>VLOOKUP($F:$F,材料单价表!$B$3:$G$42,4,0)</f>
        <v>m</v>
      </c>
      <c r="L210" s="46"/>
      <c r="M210" s="80">
        <f>M163</f>
        <v>7.6</v>
      </c>
      <c r="N210" s="46">
        <f>VLOOKUP($F:$F,材料单价表!$B$3:$G$42,5,0)</f>
        <v>0</v>
      </c>
      <c r="O210" s="46">
        <f t="shared" si="24"/>
        <v>0</v>
      </c>
      <c r="P210" s="48"/>
      <c r="Q210" s="59"/>
      <c r="R210" s="81"/>
      <c r="S210" s="79"/>
      <c r="T210" s="483"/>
      <c r="V210" s="104"/>
      <c r="W210" s="104"/>
    </row>
    <row r="211" spans="1:23" ht="13.5" customHeight="1" x14ac:dyDescent="0.15">
      <c r="A211" s="76">
        <v>5</v>
      </c>
      <c r="B211" s="545"/>
      <c r="C211" s="546"/>
      <c r="D211" s="546"/>
      <c r="E211" s="547"/>
      <c r="F211" s="558" t="s">
        <v>71</v>
      </c>
      <c r="G211" s="559"/>
      <c r="H211" s="78"/>
      <c r="I211" s="352"/>
      <c r="J211" s="77"/>
      <c r="K211" s="46" t="str">
        <f>VLOOKUP($F:$F,材料单价表!$B$3:$G$42,4,0)</f>
        <v>个</v>
      </c>
      <c r="L211" s="79"/>
      <c r="M211" s="80">
        <f>K177+K178</f>
        <v>12</v>
      </c>
      <c r="N211" s="46">
        <f>VLOOKUP($F:$F,材料单价表!$B$3:$G$42,5,0)</f>
        <v>0</v>
      </c>
      <c r="O211" s="46">
        <f t="shared" si="24"/>
        <v>0</v>
      </c>
      <c r="P211" s="48"/>
      <c r="Q211" s="59"/>
      <c r="R211" s="81"/>
      <c r="S211" s="79"/>
      <c r="T211" s="483"/>
    </row>
    <row r="212" spans="1:23" ht="13.5" customHeight="1" x14ac:dyDescent="0.15">
      <c r="A212" s="76">
        <v>6</v>
      </c>
      <c r="B212" s="545"/>
      <c r="C212" s="546"/>
      <c r="D212" s="546"/>
      <c r="E212" s="547"/>
      <c r="F212" s="558" t="s">
        <v>121</v>
      </c>
      <c r="G212" s="559"/>
      <c r="H212" s="78"/>
      <c r="I212" s="352"/>
      <c r="J212" s="77"/>
      <c r="K212" s="46" t="str">
        <f>VLOOKUP($F:$F,材料单价表!$B$3:$G$42,4,0)</f>
        <v>m</v>
      </c>
      <c r="L212" s="79"/>
      <c r="M212" s="80">
        <f>(J169*K169+J170*K170)/1000*2</f>
        <v>22.942800000000002</v>
      </c>
      <c r="N212" s="46">
        <f>VLOOKUP($F:$F,材料单价表!$B$3:$G$42,5,0)</f>
        <v>0</v>
      </c>
      <c r="O212" s="46">
        <f t="shared" si="24"/>
        <v>0</v>
      </c>
      <c r="P212" s="48"/>
      <c r="Q212" s="59"/>
      <c r="R212" s="81"/>
      <c r="S212" s="46"/>
      <c r="T212" s="484"/>
    </row>
    <row r="213" spans="1:23" x14ac:dyDescent="0.15">
      <c r="A213" s="76">
        <v>7</v>
      </c>
      <c r="B213" s="545"/>
      <c r="C213" s="546"/>
      <c r="D213" s="546"/>
      <c r="E213" s="547"/>
      <c r="F213" s="558" t="s">
        <v>72</v>
      </c>
      <c r="G213" s="559"/>
      <c r="H213" s="45"/>
      <c r="I213" s="207"/>
      <c r="J213" s="45"/>
      <c r="K213" s="46" t="str">
        <f>VLOOKUP($F:$F,材料单价表!$B$3:$G$42,4,0)</f>
        <v>m2</v>
      </c>
      <c r="L213" s="72"/>
      <c r="M213" s="46">
        <f>M219</f>
        <v>3.36</v>
      </c>
      <c r="N213" s="46">
        <f>VLOOKUP($F:$F,材料单价表!$B$3:$G$42,5,0)</f>
        <v>0</v>
      </c>
      <c r="O213" s="46">
        <f t="shared" si="24"/>
        <v>0</v>
      </c>
      <c r="P213" s="48"/>
      <c r="Q213" s="48"/>
      <c r="R213" s="73"/>
      <c r="S213" s="73"/>
      <c r="T213" s="478"/>
    </row>
    <row r="214" spans="1:23" x14ac:dyDescent="0.15">
      <c r="A214" s="76">
        <v>8</v>
      </c>
      <c r="B214" s="545"/>
      <c r="C214" s="546"/>
      <c r="D214" s="546"/>
      <c r="E214" s="547"/>
      <c r="F214" s="215"/>
      <c r="G214" s="216"/>
      <c r="H214" s="207"/>
      <c r="I214" s="207"/>
      <c r="J214" s="207"/>
      <c r="K214" s="208"/>
      <c r="L214" s="209"/>
      <c r="M214" s="208"/>
      <c r="N214" s="208"/>
      <c r="O214" s="208"/>
      <c r="P214" s="211"/>
      <c r="Q214" s="48"/>
      <c r="R214" s="212"/>
      <c r="S214" s="212"/>
      <c r="T214" s="478"/>
    </row>
    <row r="215" spans="1:23" x14ac:dyDescent="0.15">
      <c r="A215" s="76">
        <v>9</v>
      </c>
      <c r="B215" s="545"/>
      <c r="C215" s="546"/>
      <c r="D215" s="546"/>
      <c r="E215" s="547"/>
      <c r="F215" s="558"/>
      <c r="G215" s="559"/>
      <c r="H215" s="45"/>
      <c r="I215" s="207"/>
      <c r="J215" s="45"/>
      <c r="K215" s="45"/>
      <c r="L215" s="72"/>
      <c r="M215" s="46"/>
      <c r="N215" s="46"/>
      <c r="O215" s="82"/>
      <c r="P215" s="48"/>
      <c r="Q215" s="48"/>
      <c r="R215" s="73"/>
      <c r="S215" s="73"/>
      <c r="T215" s="478"/>
    </row>
    <row r="216" spans="1:23" x14ac:dyDescent="0.15">
      <c r="A216" s="74"/>
      <c r="B216" s="571"/>
      <c r="C216" s="572"/>
      <c r="D216" s="572"/>
      <c r="E216" s="573"/>
      <c r="F216" s="552" t="s">
        <v>73</v>
      </c>
      <c r="G216" s="557"/>
      <c r="H216" s="557"/>
      <c r="I216" s="557"/>
      <c r="J216" s="557"/>
      <c r="K216" s="557"/>
      <c r="L216" s="557"/>
      <c r="M216" s="61"/>
      <c r="N216" s="61"/>
      <c r="O216" s="62">
        <f>SUM(O207:O215)</f>
        <v>0</v>
      </c>
      <c r="P216" s="63" t="s">
        <v>57</v>
      </c>
      <c r="Q216" s="337"/>
      <c r="R216" s="64"/>
      <c r="S216" s="64"/>
      <c r="T216" s="480"/>
    </row>
    <row r="217" spans="1:23" x14ac:dyDescent="0.15">
      <c r="A217" s="74"/>
      <c r="B217" s="571"/>
      <c r="C217" s="572"/>
      <c r="D217" s="572"/>
      <c r="E217" s="573"/>
      <c r="F217" s="552" t="s">
        <v>74</v>
      </c>
      <c r="G217" s="557"/>
      <c r="H217" s="557"/>
      <c r="I217" s="557"/>
      <c r="J217" s="557"/>
      <c r="K217" s="557"/>
      <c r="L217" s="557"/>
      <c r="M217" s="557"/>
      <c r="N217" s="553"/>
      <c r="O217" s="62">
        <f>O216+O205+O201+O195</f>
        <v>0</v>
      </c>
      <c r="P217" s="63" t="s">
        <v>57</v>
      </c>
      <c r="Q217" s="337"/>
      <c r="R217" s="64"/>
      <c r="S217" s="64"/>
      <c r="T217" s="480"/>
    </row>
    <row r="218" spans="1:23" ht="24" x14ac:dyDescent="0.15">
      <c r="A218" s="65"/>
      <c r="B218" s="560" t="s">
        <v>75</v>
      </c>
      <c r="C218" s="561"/>
      <c r="D218" s="561"/>
      <c r="E218" s="562"/>
      <c r="F218" s="565" t="s">
        <v>26</v>
      </c>
      <c r="G218" s="566"/>
      <c r="H218" s="66"/>
      <c r="I218" s="351"/>
      <c r="J218" s="66"/>
      <c r="K218" s="66" t="s">
        <v>6</v>
      </c>
      <c r="L218" s="83" t="s">
        <v>61</v>
      </c>
      <c r="M218" s="66" t="s">
        <v>76</v>
      </c>
      <c r="N218" s="68" t="s">
        <v>62</v>
      </c>
      <c r="O218" s="68" t="s">
        <v>34</v>
      </c>
      <c r="P218" s="84" t="s">
        <v>57</v>
      </c>
      <c r="Q218" s="84"/>
      <c r="R218" s="67"/>
      <c r="S218" s="67"/>
      <c r="T218" s="481"/>
    </row>
    <row r="219" spans="1:23" x14ac:dyDescent="0.15">
      <c r="A219" s="220">
        <v>1</v>
      </c>
      <c r="B219" s="545"/>
      <c r="C219" s="546"/>
      <c r="D219" s="546"/>
      <c r="E219" s="547"/>
      <c r="F219" s="545" t="s">
        <v>77</v>
      </c>
      <c r="G219" s="547"/>
      <c r="H219" s="45"/>
      <c r="I219" s="207"/>
      <c r="J219" s="46"/>
      <c r="K219" s="45" t="s">
        <v>78</v>
      </c>
      <c r="L219" s="72"/>
      <c r="M219" s="85">
        <f>O150</f>
        <v>3.36</v>
      </c>
      <c r="N219" s="46">
        <f>VLOOKUP($F:$F,材料单价表!$B$3:$G$42,5,0)</f>
        <v>0</v>
      </c>
      <c r="O219" s="46">
        <f>N219*M219</f>
        <v>0</v>
      </c>
      <c r="P219" s="48"/>
      <c r="Q219" s="48"/>
      <c r="R219" s="72"/>
      <c r="S219" s="72"/>
      <c r="T219" s="482"/>
    </row>
    <row r="220" spans="1:23" x14ac:dyDescent="0.15">
      <c r="A220" s="220">
        <v>2</v>
      </c>
      <c r="B220" s="545"/>
      <c r="C220" s="546"/>
      <c r="D220" s="546"/>
      <c r="E220" s="547"/>
      <c r="F220" s="545" t="s">
        <v>79</v>
      </c>
      <c r="G220" s="547"/>
      <c r="H220" s="45"/>
      <c r="I220" s="207"/>
      <c r="J220" s="46"/>
      <c r="K220" s="45" t="s">
        <v>78</v>
      </c>
      <c r="L220" s="72"/>
      <c r="M220" s="85">
        <f>M219</f>
        <v>3.36</v>
      </c>
      <c r="N220" s="46">
        <f>VLOOKUP($F:$F,材料单价表!$B$3:$G$42,5,0)</f>
        <v>0</v>
      </c>
      <c r="O220" s="46">
        <f>N220*M220</f>
        <v>0</v>
      </c>
      <c r="P220" s="48"/>
      <c r="Q220" s="48"/>
      <c r="R220" s="72"/>
      <c r="S220" s="72"/>
      <c r="T220" s="482"/>
    </row>
    <row r="221" spans="1:23" ht="24.75" customHeight="1" x14ac:dyDescent="0.15">
      <c r="A221" s="74"/>
      <c r="B221" s="571"/>
      <c r="C221" s="572"/>
      <c r="D221" s="572"/>
      <c r="E221" s="573"/>
      <c r="F221" s="552" t="s">
        <v>80</v>
      </c>
      <c r="G221" s="553"/>
      <c r="H221" s="217"/>
      <c r="I221" s="379"/>
      <c r="J221" s="554" t="s">
        <v>81</v>
      </c>
      <c r="K221" s="554"/>
      <c r="L221" s="554"/>
      <c r="M221" s="554"/>
      <c r="N221" s="87"/>
      <c r="O221" s="62">
        <f>O217+O219+O220</f>
        <v>0</v>
      </c>
      <c r="P221" s="63" t="s">
        <v>57</v>
      </c>
      <c r="Q221" s="337"/>
      <c r="R221" s="64"/>
      <c r="S221" s="64"/>
      <c r="T221" s="480"/>
    </row>
    <row r="222" spans="1:23" ht="24" customHeight="1" x14ac:dyDescent="0.15">
      <c r="A222" s="74"/>
      <c r="B222" s="571"/>
      <c r="C222" s="572"/>
      <c r="D222" s="572"/>
      <c r="E222" s="573"/>
      <c r="F222" s="555" t="s">
        <v>82</v>
      </c>
      <c r="G222" s="556"/>
      <c r="H222" s="219"/>
      <c r="I222" s="381"/>
      <c r="J222" s="552" t="s">
        <v>81</v>
      </c>
      <c r="K222" s="557"/>
      <c r="L222" s="557"/>
      <c r="M222" s="557"/>
      <c r="N222" s="62"/>
      <c r="O222" s="62">
        <f>O221/O150</f>
        <v>0</v>
      </c>
      <c r="P222" s="89" t="s">
        <v>57</v>
      </c>
      <c r="Q222" s="89"/>
      <c r="R222" s="90"/>
      <c r="S222" s="90"/>
      <c r="T222" s="485"/>
    </row>
    <row r="223" spans="1:23" ht="18.75" customHeight="1" x14ac:dyDescent="0.15">
      <c r="A223" s="549" t="s">
        <v>0</v>
      </c>
      <c r="B223" s="549"/>
      <c r="C223" s="549"/>
      <c r="D223" s="549"/>
      <c r="E223" s="549"/>
      <c r="F223" s="549"/>
      <c r="G223" s="549"/>
      <c r="H223" s="549"/>
      <c r="I223" s="549"/>
      <c r="J223" s="549"/>
      <c r="K223" s="549"/>
      <c r="L223" s="550"/>
      <c r="M223" s="549"/>
      <c r="N223" s="549"/>
      <c r="O223" s="549"/>
      <c r="P223" s="549"/>
      <c r="Q223" s="549"/>
      <c r="R223" s="551"/>
      <c r="S223" s="551"/>
      <c r="T223" s="474"/>
    </row>
    <row r="224" spans="1:23" ht="15" customHeight="1" x14ac:dyDescent="0.15">
      <c r="A224" s="2" t="s">
        <v>1</v>
      </c>
      <c r="B224" s="3" t="str">
        <f>$B$2</f>
        <v>WM</v>
      </c>
      <c r="C224" s="3">
        <v>4</v>
      </c>
      <c r="D224" s="3"/>
      <c r="E224" s="3"/>
      <c r="F224" s="4" t="s">
        <v>2</v>
      </c>
      <c r="G224" s="5">
        <v>55</v>
      </c>
      <c r="H224" s="106" t="s">
        <v>86</v>
      </c>
      <c r="I224" s="106"/>
      <c r="J224" s="4" t="s">
        <v>3</v>
      </c>
      <c r="K224" s="6">
        <f>L227</f>
        <v>1500</v>
      </c>
      <c r="L224" s="7" t="s">
        <v>83</v>
      </c>
      <c r="M224" s="6">
        <f>L226</f>
        <v>2400</v>
      </c>
      <c r="N224" s="8" t="s">
        <v>4</v>
      </c>
      <c r="O224" s="9">
        <f>M236</f>
        <v>3.6</v>
      </c>
      <c r="P224" s="10"/>
      <c r="Q224" s="10"/>
      <c r="R224" s="10" t="s">
        <v>5</v>
      </c>
      <c r="S224" s="11"/>
      <c r="T224" s="475"/>
    </row>
    <row r="225" spans="1:33" ht="15" customHeight="1" x14ac:dyDescent="0.2">
      <c r="A225" s="12"/>
      <c r="B225" s="252"/>
      <c r="C225" s="252"/>
      <c r="D225" s="252"/>
      <c r="E225" s="252"/>
      <c r="F225" s="14"/>
      <c r="G225" s="14" t="s">
        <v>851</v>
      </c>
      <c r="H225" s="15"/>
      <c r="I225" s="15"/>
      <c r="J225" s="16"/>
      <c r="K225" s="16" t="s">
        <v>6</v>
      </c>
      <c r="L225" s="17" t="s">
        <v>7</v>
      </c>
      <c r="M225" s="16" t="s">
        <v>8</v>
      </c>
      <c r="N225" s="18"/>
      <c r="O225" s="548" t="s">
        <v>940</v>
      </c>
      <c r="P225" s="548"/>
      <c r="Q225" s="16" t="s">
        <v>1018</v>
      </c>
      <c r="R225" s="529" t="s">
        <v>1187</v>
      </c>
      <c r="S225" s="530" t="s">
        <v>1592</v>
      </c>
      <c r="T225" s="476"/>
    </row>
    <row r="226" spans="1:33" ht="15" customHeight="1" x14ac:dyDescent="0.2">
      <c r="A226" s="398" t="s">
        <v>918</v>
      </c>
      <c r="B226" s="406" t="s">
        <v>969</v>
      </c>
      <c r="C226"/>
      <c r="D226"/>
      <c r="E226"/>
      <c r="F226" s="23"/>
      <c r="G226" s="23"/>
      <c r="H226" s="107"/>
      <c r="I226" s="107"/>
      <c r="J226" s="24" t="s">
        <v>9</v>
      </c>
      <c r="K226" s="16" t="s">
        <v>10</v>
      </c>
      <c r="L226" s="25">
        <v>2400</v>
      </c>
      <c r="M226" s="113">
        <f>L226-M235*2</f>
        <v>2300</v>
      </c>
      <c r="N226" s="18"/>
      <c r="O226" s="356" t="s">
        <v>941</v>
      </c>
      <c r="P226" s="357"/>
      <c r="Q226" s="16" t="s">
        <v>1019</v>
      </c>
      <c r="R226" s="529"/>
      <c r="S226" s="530"/>
      <c r="T226" s="476"/>
    </row>
    <row r="227" spans="1:33" ht="15" customHeight="1" x14ac:dyDescent="0.2">
      <c r="A227" s="21"/>
      <c r="B227" s="22"/>
      <c r="C227" s="22"/>
      <c r="D227" s="22"/>
      <c r="E227" s="22"/>
      <c r="F227" s="23"/>
      <c r="G227" s="23"/>
      <c r="H227" s="18"/>
      <c r="I227" s="18"/>
      <c r="J227" s="24" t="s">
        <v>11</v>
      </c>
      <c r="K227" s="16" t="s">
        <v>10</v>
      </c>
      <c r="L227" s="25">
        <v>1500</v>
      </c>
      <c r="M227" s="113">
        <f>L227-M235*2</f>
        <v>1400</v>
      </c>
      <c r="N227" s="18"/>
      <c r="O227" s="356" t="s">
        <v>924</v>
      </c>
      <c r="P227" s="357"/>
      <c r="Q227" s="16" t="s">
        <v>1020</v>
      </c>
      <c r="R227" s="529" t="s">
        <v>1188</v>
      </c>
      <c r="S227" s="530" t="s">
        <v>1086</v>
      </c>
      <c r="T227" s="476"/>
    </row>
    <row r="228" spans="1:33" ht="15" customHeight="1" x14ac:dyDescent="0.2">
      <c r="A228" s="21"/>
      <c r="B228" s="22"/>
      <c r="C228" s="22"/>
      <c r="D228" s="22"/>
      <c r="E228" s="22"/>
      <c r="F228" s="23"/>
      <c r="G228" s="23"/>
      <c r="H228" s="18"/>
      <c r="I228" s="18"/>
      <c r="J228" s="24" t="s">
        <v>12</v>
      </c>
      <c r="K228" s="16" t="s">
        <v>10</v>
      </c>
      <c r="L228" s="26"/>
      <c r="M228" s="113">
        <f>M226</f>
        <v>2300</v>
      </c>
      <c r="N228" s="18"/>
      <c r="O228" s="356" t="s">
        <v>925</v>
      </c>
      <c r="P228" s="357"/>
      <c r="Q228" s="16" t="s">
        <v>1021</v>
      </c>
      <c r="R228" s="529"/>
      <c r="S228" s="530"/>
      <c r="T228" s="476"/>
    </row>
    <row r="229" spans="1:33" ht="15" customHeight="1" x14ac:dyDescent="0.2">
      <c r="A229" s="21"/>
      <c r="B229" s="22"/>
      <c r="C229" s="22"/>
      <c r="D229" s="22"/>
      <c r="E229" s="22"/>
      <c r="F229" s="23"/>
      <c r="G229" s="23"/>
      <c r="H229" s="18"/>
      <c r="I229" s="18"/>
      <c r="J229" s="24" t="s">
        <v>13</v>
      </c>
      <c r="K229" s="16" t="s">
        <v>10</v>
      </c>
      <c r="L229" s="26"/>
      <c r="M229" s="113"/>
      <c r="N229" s="18"/>
      <c r="O229" s="356" t="s">
        <v>926</v>
      </c>
      <c r="P229" s="357"/>
      <c r="Q229" s="16" t="s">
        <v>1022</v>
      </c>
      <c r="R229" s="27"/>
      <c r="S229" s="28"/>
      <c r="T229" s="476"/>
    </row>
    <row r="230" spans="1:33" ht="15" customHeight="1" x14ac:dyDescent="0.2">
      <c r="A230" s="21"/>
      <c r="B230" s="22"/>
      <c r="C230" s="22"/>
      <c r="D230" s="22"/>
      <c r="E230" s="22"/>
      <c r="F230" s="23"/>
      <c r="G230" s="23"/>
      <c r="H230" s="18"/>
      <c r="I230" s="18"/>
      <c r="J230" s="24" t="s">
        <v>14</v>
      </c>
      <c r="K230" s="16" t="s">
        <v>10</v>
      </c>
      <c r="L230" s="26"/>
      <c r="M230" s="113"/>
      <c r="N230" s="18"/>
      <c r="O230" s="356" t="s">
        <v>927</v>
      </c>
      <c r="P230" s="357"/>
      <c r="Q230" s="16" t="s">
        <v>1023</v>
      </c>
      <c r="R230" s="27"/>
      <c r="S230" s="28"/>
      <c r="T230" s="476"/>
    </row>
    <row r="231" spans="1:33" ht="15" customHeight="1" x14ac:dyDescent="0.2">
      <c r="A231" s="21"/>
      <c r="B231" s="22"/>
      <c r="C231" s="22"/>
      <c r="D231" s="22"/>
      <c r="E231" s="22"/>
      <c r="F231" s="23"/>
      <c r="G231" s="23"/>
      <c r="H231" s="18"/>
      <c r="I231" s="18"/>
      <c r="J231" s="24" t="s">
        <v>15</v>
      </c>
      <c r="K231" s="16" t="s">
        <v>10</v>
      </c>
      <c r="L231" s="26"/>
      <c r="M231" s="113">
        <f>IF(AND(L227&gt;1399,L227&lt;2001),M227/2,IF(AND(L227&gt;2099,L227&lt;2401),1000))</f>
        <v>700</v>
      </c>
      <c r="N231" s="18"/>
      <c r="O231" s="356" t="s">
        <v>928</v>
      </c>
      <c r="P231" s="357"/>
      <c r="Q231" s="16" t="s">
        <v>1005</v>
      </c>
      <c r="R231" s="27"/>
      <c r="S231" s="28"/>
      <c r="T231" s="476"/>
    </row>
    <row r="232" spans="1:33" ht="15" customHeight="1" x14ac:dyDescent="0.2">
      <c r="A232" s="21"/>
      <c r="B232" s="22"/>
      <c r="C232" s="22"/>
      <c r="D232" s="22"/>
      <c r="E232" s="22"/>
      <c r="F232" s="23"/>
      <c r="G232" s="23"/>
      <c r="H232" s="18"/>
      <c r="I232" s="18"/>
      <c r="J232" s="24" t="s">
        <v>16</v>
      </c>
      <c r="K232" s="16" t="s">
        <v>10</v>
      </c>
      <c r="L232" s="26"/>
      <c r="M232" s="113">
        <f>M227-M231</f>
        <v>700</v>
      </c>
      <c r="N232" s="18"/>
      <c r="O232" s="356" t="s">
        <v>929</v>
      </c>
      <c r="P232" s="357"/>
      <c r="Q232" s="16" t="s">
        <v>1024</v>
      </c>
      <c r="R232" s="27"/>
      <c r="S232" s="28"/>
      <c r="T232" s="476"/>
    </row>
    <row r="233" spans="1:33" ht="15" customHeight="1" x14ac:dyDescent="0.2">
      <c r="A233" s="21"/>
      <c r="B233" s="22"/>
      <c r="C233" s="22"/>
      <c r="D233" s="22"/>
      <c r="E233" s="22"/>
      <c r="F233" s="23"/>
      <c r="G233" s="23"/>
      <c r="H233" s="18"/>
      <c r="I233" s="18"/>
      <c r="J233" s="24" t="s">
        <v>17</v>
      </c>
      <c r="K233" s="16" t="s">
        <v>10</v>
      </c>
      <c r="L233" s="26"/>
      <c r="M233" s="113"/>
      <c r="N233" s="18"/>
      <c r="O233" s="356" t="s">
        <v>930</v>
      </c>
      <c r="P233" s="357"/>
      <c r="Q233" s="16" t="s">
        <v>931</v>
      </c>
      <c r="R233" s="27"/>
      <c r="S233" s="28"/>
      <c r="T233" s="476"/>
    </row>
    <row r="234" spans="1:33" ht="15" customHeight="1" x14ac:dyDescent="0.2">
      <c r="A234" s="21"/>
      <c r="B234" s="22"/>
      <c r="C234" s="22"/>
      <c r="D234" s="22"/>
      <c r="E234" s="22"/>
      <c r="F234" s="23"/>
      <c r="G234" s="23"/>
      <c r="H234" s="18"/>
      <c r="I234" s="18"/>
      <c r="J234" s="24" t="s">
        <v>18</v>
      </c>
      <c r="K234" s="16" t="s">
        <v>10</v>
      </c>
      <c r="L234" s="26"/>
      <c r="M234" s="113"/>
      <c r="N234" s="18"/>
      <c r="O234" s="356" t="s">
        <v>932</v>
      </c>
      <c r="P234" s="357"/>
      <c r="Q234" s="16" t="s">
        <v>933</v>
      </c>
      <c r="R234" s="27"/>
      <c r="S234" s="28"/>
      <c r="T234" s="476"/>
    </row>
    <row r="235" spans="1:33" ht="15" customHeight="1" x14ac:dyDescent="0.2">
      <c r="A235" s="21"/>
      <c r="B235" s="22"/>
      <c r="C235" s="22"/>
      <c r="D235" s="22"/>
      <c r="E235" s="22"/>
      <c r="F235" s="23"/>
      <c r="G235" s="23"/>
      <c r="H235" s="18"/>
      <c r="I235" s="18"/>
      <c r="J235" s="24" t="s">
        <v>19</v>
      </c>
      <c r="K235" s="16" t="s">
        <v>10</v>
      </c>
      <c r="L235" s="26"/>
      <c r="M235" s="25">
        <v>50</v>
      </c>
      <c r="N235" s="18"/>
      <c r="O235" s="356" t="s">
        <v>934</v>
      </c>
      <c r="P235" s="357"/>
      <c r="Q235" s="16" t="s">
        <v>935</v>
      </c>
      <c r="R235" s="27"/>
      <c r="S235" s="28"/>
      <c r="T235" s="476"/>
    </row>
    <row r="236" spans="1:33" ht="15" customHeight="1" x14ac:dyDescent="0.2">
      <c r="A236" s="21"/>
      <c r="B236" s="22"/>
      <c r="C236" s="22"/>
      <c r="D236" s="22"/>
      <c r="E236" s="22"/>
      <c r="F236" s="23"/>
      <c r="G236" s="23"/>
      <c r="H236" s="18"/>
      <c r="I236" s="18"/>
      <c r="J236" s="29" t="s">
        <v>20</v>
      </c>
      <c r="K236" s="16" t="s">
        <v>21</v>
      </c>
      <c r="L236" s="30"/>
      <c r="M236" s="31">
        <f>L226*L227/1000000</f>
        <v>3.6</v>
      </c>
      <c r="N236" s="18"/>
      <c r="O236" s="356" t="s">
        <v>936</v>
      </c>
      <c r="P236" s="357"/>
      <c r="Q236" s="16" t="s">
        <v>937</v>
      </c>
      <c r="R236" s="27"/>
      <c r="S236" s="28"/>
      <c r="T236" s="476"/>
    </row>
    <row r="237" spans="1:33" ht="15" customHeight="1" x14ac:dyDescent="0.2">
      <c r="A237" s="32"/>
      <c r="B237" s="33"/>
      <c r="C237" s="33"/>
      <c r="D237" s="33"/>
      <c r="E237" s="33"/>
      <c r="F237" s="34"/>
      <c r="G237" s="34"/>
      <c r="H237" s="35"/>
      <c r="I237" s="35"/>
      <c r="J237" s="29" t="s">
        <v>22</v>
      </c>
      <c r="K237" s="16" t="s">
        <v>23</v>
      </c>
      <c r="L237" s="30"/>
      <c r="M237" s="36">
        <f>(L227+L226)*2/1000</f>
        <v>7.8</v>
      </c>
      <c r="N237" s="35"/>
      <c r="O237" s="356" t="s">
        <v>938</v>
      </c>
      <c r="P237" s="357"/>
      <c r="Q237" s="16" t="s">
        <v>939</v>
      </c>
      <c r="R237" s="37"/>
      <c r="S237" s="38"/>
      <c r="T237" s="476"/>
    </row>
    <row r="238" spans="1:33" ht="48.75" customHeight="1" x14ac:dyDescent="0.15">
      <c r="A238" s="39" t="s">
        <v>24</v>
      </c>
      <c r="B238" s="560" t="s">
        <v>25</v>
      </c>
      <c r="C238" s="561"/>
      <c r="D238" s="561"/>
      <c r="E238" s="562"/>
      <c r="F238" s="40" t="s">
        <v>26</v>
      </c>
      <c r="G238" s="40" t="s">
        <v>27</v>
      </c>
      <c r="H238" s="40" t="s">
        <v>28</v>
      </c>
      <c r="I238" s="40" t="s">
        <v>1334</v>
      </c>
      <c r="J238" s="40" t="s">
        <v>29</v>
      </c>
      <c r="K238" s="40" t="s">
        <v>30</v>
      </c>
      <c r="L238" s="41" t="s">
        <v>31</v>
      </c>
      <c r="M238" s="40" t="s">
        <v>32</v>
      </c>
      <c r="N238" s="40" t="s">
        <v>33</v>
      </c>
      <c r="O238" s="40" t="s">
        <v>34</v>
      </c>
      <c r="P238" s="42" t="s">
        <v>35</v>
      </c>
      <c r="Q238" s="359" t="s">
        <v>962</v>
      </c>
      <c r="R238" s="43" t="s">
        <v>36</v>
      </c>
      <c r="S238" s="43" t="s">
        <v>37</v>
      </c>
      <c r="T238" s="477"/>
      <c r="V238" s="261" t="s">
        <v>128</v>
      </c>
      <c r="W238" s="261"/>
      <c r="X238" s="262" t="s">
        <v>359</v>
      </c>
      <c r="Y238" s="263"/>
      <c r="Z238" s="262" t="s">
        <v>355</v>
      </c>
      <c r="AA238" s="263"/>
      <c r="AB238" s="262" t="s">
        <v>360</v>
      </c>
      <c r="AC238" s="263"/>
      <c r="AD238" s="262" t="s">
        <v>127</v>
      </c>
      <c r="AE238" s="263"/>
      <c r="AF238" s="262"/>
      <c r="AG238" s="287"/>
    </row>
    <row r="239" spans="1:33" x14ac:dyDescent="0.15">
      <c r="A239" s="220">
        <v>1</v>
      </c>
      <c r="B239" s="531" t="s">
        <v>38</v>
      </c>
      <c r="C239" s="532"/>
      <c r="D239" s="532"/>
      <c r="E239" s="533"/>
      <c r="F239" s="47" t="str">
        <f>VLOOKUP($H:$H,型材表!$B$5:$I$448,2,0)</f>
        <v>边框</v>
      </c>
      <c r="G239" s="45" t="s">
        <v>39</v>
      </c>
      <c r="H239" s="45" t="str">
        <f>IF(G224=55,"SW55MK001",IF(G224=551,"SW55BMK001",IF(G224=60,"SW60MK001",IF(G224=601,"SW60AMK001",IF(G224=65,"SW65AMK001",IF(G224=50,"SW50MK001"))))))</f>
        <v>SW55MK001</v>
      </c>
      <c r="I239" s="207" t="s">
        <v>1337</v>
      </c>
      <c r="J239" s="46">
        <f>M226</f>
        <v>2300</v>
      </c>
      <c r="K239" s="45">
        <v>2</v>
      </c>
      <c r="L239" s="47">
        <f>VLOOKUP($H:$H,型材表!$B$5:$I$448,4,0)</f>
        <v>1.4510000000000001</v>
      </c>
      <c r="M239" s="46">
        <f>J239*K239*L239/1000</f>
        <v>6.6746000000000008</v>
      </c>
      <c r="N239" s="72">
        <f>VLOOKUP($H:$H,型材表!$B$5:$I$448,7,0)</f>
        <v>0</v>
      </c>
      <c r="O239" s="46">
        <f>N239*M239</f>
        <v>0</v>
      </c>
      <c r="P239" s="100">
        <f>VLOOKUP($H:$H,型材表!$B$5:$I$448,5,0)</f>
        <v>0.125</v>
      </c>
      <c r="Q239" s="100" t="str">
        <f>VLOOKUP($H:$H,型材表!$B$5:$I$448,6,0)</f>
        <v>断桥隔热铝型材</v>
      </c>
      <c r="R239" s="49"/>
      <c r="S239" s="50"/>
      <c r="T239" s="478"/>
      <c r="X239" s="264"/>
      <c r="Y239" s="265"/>
      <c r="Z239" s="264"/>
      <c r="AA239" s="265"/>
      <c r="AB239" s="264"/>
      <c r="AC239" s="265"/>
      <c r="AD239" s="264"/>
      <c r="AE239" s="265"/>
      <c r="AF239" s="264"/>
      <c r="AG239" s="288"/>
    </row>
    <row r="240" spans="1:33" x14ac:dyDescent="0.15">
      <c r="A240" s="220">
        <v>2</v>
      </c>
      <c r="B240" s="534"/>
      <c r="C240" s="535"/>
      <c r="D240" s="535"/>
      <c r="E240" s="536"/>
      <c r="F240" s="47" t="str">
        <f>VLOOKUP($H:$H,型材表!$B$5:$I$448,2,0)</f>
        <v>边框</v>
      </c>
      <c r="G240" s="45" t="s">
        <v>40</v>
      </c>
      <c r="H240" s="45" t="str">
        <f>H239</f>
        <v>SW55MK001</v>
      </c>
      <c r="I240" s="207" t="s">
        <v>1338</v>
      </c>
      <c r="J240" s="46">
        <f>M227</f>
        <v>1400</v>
      </c>
      <c r="K240" s="45">
        <v>2</v>
      </c>
      <c r="L240" s="47">
        <f>VLOOKUP($H:$H,型材表!$B$5:$I$448,4,0)</f>
        <v>1.4510000000000001</v>
      </c>
      <c r="M240" s="46">
        <f t="shared" ref="M240" si="25">J240*K240*L240/1000</f>
        <v>4.0628000000000002</v>
      </c>
      <c r="N240" s="72">
        <f>VLOOKUP($H:$H,型材表!$B$5:$I$448,7,0)</f>
        <v>0</v>
      </c>
      <c r="O240" s="46">
        <f t="shared" ref="O240" si="26">N240*M240</f>
        <v>0</v>
      </c>
      <c r="P240" s="100">
        <f>VLOOKUP($H:$H,型材表!$B$5:$I$448,5,0)</f>
        <v>0.125</v>
      </c>
      <c r="Q240" s="100" t="str">
        <f>VLOOKUP($H:$H,型材表!$B$5:$I$448,6,0)</f>
        <v>断桥隔热铝型材</v>
      </c>
      <c r="R240" s="49"/>
      <c r="S240" s="50"/>
      <c r="T240" s="478"/>
      <c r="X240" s="264"/>
      <c r="Y240" s="265"/>
      <c r="Z240" s="264"/>
      <c r="AA240" s="265"/>
      <c r="AB240" s="264"/>
      <c r="AC240" s="265"/>
      <c r="AD240" s="264"/>
      <c r="AE240" s="265"/>
      <c r="AF240" s="264"/>
      <c r="AG240" s="288"/>
    </row>
    <row r="241" spans="1:33" x14ac:dyDescent="0.15">
      <c r="A241" s="382">
        <v>3</v>
      </c>
      <c r="B241" s="534"/>
      <c r="C241" s="535"/>
      <c r="D241" s="535"/>
      <c r="E241" s="536"/>
      <c r="F241" s="47"/>
      <c r="G241" s="45"/>
      <c r="H241" s="207"/>
      <c r="I241" s="207"/>
      <c r="J241" s="46"/>
      <c r="K241" s="45"/>
      <c r="L241" s="47"/>
      <c r="M241" s="46"/>
      <c r="N241" s="72"/>
      <c r="O241" s="46"/>
      <c r="P241" s="100"/>
      <c r="Q241" s="100"/>
      <c r="R241" s="210"/>
      <c r="S241" s="50"/>
      <c r="T241" s="478"/>
      <c r="X241" s="264"/>
      <c r="Y241" s="265"/>
      <c r="Z241" s="264"/>
      <c r="AA241" s="265"/>
      <c r="AB241" s="264"/>
      <c r="AC241" s="265"/>
      <c r="AD241" s="264"/>
      <c r="AE241" s="265"/>
      <c r="AF241" s="264"/>
      <c r="AG241" s="288"/>
    </row>
    <row r="242" spans="1:33" s="229" customFormat="1" x14ac:dyDescent="0.15">
      <c r="A242" s="382">
        <v>4</v>
      </c>
      <c r="B242" s="537"/>
      <c r="C242" s="538"/>
      <c r="D242" s="538"/>
      <c r="E242" s="539"/>
      <c r="F242" s="221"/>
      <c r="G242" s="222"/>
      <c r="H242" s="222"/>
      <c r="I242" s="222"/>
      <c r="J242" s="223"/>
      <c r="K242" s="222"/>
      <c r="L242" s="221"/>
      <c r="M242" s="224"/>
      <c r="N242" s="225"/>
      <c r="O242" s="224"/>
      <c r="P242" s="226"/>
      <c r="Q242" s="100"/>
      <c r="R242" s="227"/>
      <c r="S242" s="228"/>
      <c r="T242" s="479"/>
      <c r="U242" s="471"/>
      <c r="V242" s="266"/>
      <c r="W242" s="266"/>
      <c r="X242" s="267"/>
      <c r="Y242" s="268"/>
      <c r="Z242" s="267"/>
      <c r="AA242" s="268"/>
      <c r="AB242" s="267"/>
      <c r="AC242" s="268"/>
      <c r="AD242" s="267"/>
      <c r="AE242" s="268"/>
      <c r="AF242" s="267"/>
      <c r="AG242" s="289"/>
    </row>
    <row r="243" spans="1:33" x14ac:dyDescent="0.15">
      <c r="A243" s="382">
        <v>5</v>
      </c>
      <c r="B243" s="531" t="s">
        <v>41</v>
      </c>
      <c r="C243" s="532"/>
      <c r="D243" s="532"/>
      <c r="E243" s="533"/>
      <c r="F243" s="47" t="str">
        <f>VLOOKUP($H:$H,型材表!$B$5:$I$448,2,0)</f>
        <v>外开扇</v>
      </c>
      <c r="G243" s="45" t="s">
        <v>39</v>
      </c>
      <c r="H243" s="45" t="str">
        <f>IF(G224=55,"SW55MS001",IF(G224=551,"SW55BMS001",IF(G224=60,"SW60MS001",IF(G224=601,"SW60AMS001",IF(G224=65,"SW65AMS001",IF(G224=50,"SW50MS001"))))))</f>
        <v>SW55MS001</v>
      </c>
      <c r="I243" s="207" t="s">
        <v>1339</v>
      </c>
      <c r="J243" s="46">
        <f>IF(G224=55,M228-V243,IF(G224=551,M228-X243,IF(G224=60,M228-Z243,IF(G224=601,M228-AB243,IF(G224=65,M228-AD243,IF(G224=50,M228-AF243))))))</f>
        <v>2238</v>
      </c>
      <c r="K243" s="45">
        <v>2</v>
      </c>
      <c r="L243" s="47">
        <f>VLOOKUP($H:$H,型材表!$B$5:$I$448,4,0)</f>
        <v>2.157</v>
      </c>
      <c r="M243" s="46">
        <f t="shared" ref="M243:M245" si="27">J243*K243*L243/1000</f>
        <v>9.6547319999999992</v>
      </c>
      <c r="N243" s="72">
        <f>VLOOKUP($H:$H,型材表!$B$5:$I$448,7,0)</f>
        <v>0</v>
      </c>
      <c r="O243" s="46">
        <f t="shared" ref="O243:O245" si="28">N243*M243</f>
        <v>0</v>
      </c>
      <c r="P243" s="100">
        <f>VLOOKUP($H:$H,型材表!$B$5:$I$448,5,0)</f>
        <v>0.125</v>
      </c>
      <c r="Q243" s="100" t="str">
        <f>VLOOKUP($H:$H,型材表!$B$5:$I$448,6,0)</f>
        <v>断桥隔热铝型材</v>
      </c>
      <c r="R243" s="49"/>
      <c r="S243" s="50"/>
      <c r="T243" s="478"/>
      <c r="U243" s="470" t="s">
        <v>1341</v>
      </c>
      <c r="V243" s="259">
        <f>31*2</f>
        <v>62</v>
      </c>
      <c r="X243" s="286">
        <f>31*2</f>
        <v>62</v>
      </c>
      <c r="Y243" s="265"/>
      <c r="Z243" s="286">
        <f>31*2</f>
        <v>62</v>
      </c>
      <c r="AA243" s="265"/>
      <c r="AB243" s="286">
        <f>31*2</f>
        <v>62</v>
      </c>
      <c r="AC243" s="265"/>
      <c r="AD243" s="286">
        <f>31*2</f>
        <v>62</v>
      </c>
      <c r="AE243" s="265"/>
      <c r="AF243" s="264"/>
      <c r="AG243" s="288"/>
    </row>
    <row r="244" spans="1:33" x14ac:dyDescent="0.15">
      <c r="A244" s="382">
        <v>6</v>
      </c>
      <c r="B244" s="534"/>
      <c r="C244" s="535"/>
      <c r="D244" s="535"/>
      <c r="E244" s="536"/>
      <c r="F244" s="47" t="str">
        <f>VLOOKUP($H:$H,型材表!$B$5:$I$448,2,0)</f>
        <v>外开扇</v>
      </c>
      <c r="G244" s="45" t="s">
        <v>40</v>
      </c>
      <c r="H244" s="207" t="str">
        <f>H243</f>
        <v>SW55MS001</v>
      </c>
      <c r="I244" s="207" t="s">
        <v>1361</v>
      </c>
      <c r="J244" s="208">
        <f>IF(G224=55,M231-V244,IF(G224=551,M231-X244,IF(G224=60,M231-Z244,IF(G224=601,M231-AB244,IF(G224=65,M231-AD244,IF(G224=50,M231-AF244))))))</f>
        <v>656</v>
      </c>
      <c r="K244" s="207">
        <v>2</v>
      </c>
      <c r="L244" s="47">
        <f>VLOOKUP($H:$H,型材表!$B$5:$I$448,4,0)</f>
        <v>2.157</v>
      </c>
      <c r="M244" s="46">
        <f t="shared" si="27"/>
        <v>2.8299840000000001</v>
      </c>
      <c r="N244" s="72">
        <f>VLOOKUP($H:$H,型材表!$B$5:$I$448,7,0)</f>
        <v>0</v>
      </c>
      <c r="O244" s="46">
        <f t="shared" si="28"/>
        <v>0</v>
      </c>
      <c r="P244" s="100">
        <f>VLOOKUP($H:$H,型材表!$B$5:$I$448,5,0)</f>
        <v>0.125</v>
      </c>
      <c r="Q244" s="100" t="str">
        <f>VLOOKUP($H:$H,型材表!$B$5:$I$448,6,0)</f>
        <v>断桥隔热铝型材</v>
      </c>
      <c r="R244" s="210"/>
      <c r="S244" s="50"/>
      <c r="T244" s="478"/>
      <c r="U244" s="470" t="s">
        <v>1360</v>
      </c>
      <c r="V244" s="259">
        <f>31+13</f>
        <v>44</v>
      </c>
      <c r="X244" s="286">
        <f>31+13</f>
        <v>44</v>
      </c>
      <c r="Y244" s="265"/>
      <c r="Z244" s="286">
        <f>31+13</f>
        <v>44</v>
      </c>
      <c r="AA244" s="265"/>
      <c r="AB244" s="286">
        <f>31+13</f>
        <v>44</v>
      </c>
      <c r="AC244" s="265"/>
      <c r="AD244" s="286">
        <f>31+13</f>
        <v>44</v>
      </c>
      <c r="AE244" s="265"/>
      <c r="AF244" s="264"/>
      <c r="AG244" s="288"/>
    </row>
    <row r="245" spans="1:33" x14ac:dyDescent="0.15">
      <c r="A245" s="382">
        <v>7</v>
      </c>
      <c r="B245" s="534"/>
      <c r="C245" s="535"/>
      <c r="D245" s="535"/>
      <c r="E245" s="536"/>
      <c r="F245" s="47" t="str">
        <f>VLOOKUP($H:$H,型材表!$B$5:$I$448,2,0)</f>
        <v>中梃</v>
      </c>
      <c r="G245" s="45"/>
      <c r="H245" s="45" t="str">
        <f>IF(G224=55,"SW55T001",IF(G224=551,"SW55BT001",IF(G224=60,"SW60T001",IF(G224=601,"SW60AT001",IF(G224=65,"SW65AT001",IF(G224=50,"SW50T001"))))))</f>
        <v>SW55T001</v>
      </c>
      <c r="I245" s="207" t="s">
        <v>1354</v>
      </c>
      <c r="J245" s="46">
        <f>IF(G224=55,M228-V245,IF(G224=551,M228-X245,IF(G224=60,M228-Z245,IF(G224=601,M228-AB245,IF(G224=65,M228-AD245,IF(G224=50,M228-AF245))))))</f>
        <v>2236</v>
      </c>
      <c r="K245" s="45">
        <v>1</v>
      </c>
      <c r="L245" s="47">
        <f>VLOOKUP($H:$H,型材表!$B$5:$I$448,4,0)</f>
        <v>1.113</v>
      </c>
      <c r="M245" s="46">
        <f t="shared" si="27"/>
        <v>2.4886680000000001</v>
      </c>
      <c r="N245" s="72">
        <f>VLOOKUP($H:$H,型材表!$B$5:$I$448,7,0)</f>
        <v>0</v>
      </c>
      <c r="O245" s="46">
        <f t="shared" si="28"/>
        <v>0</v>
      </c>
      <c r="P245" s="100">
        <f>VLOOKUP($H:$H,型材表!$B$5:$I$448,5,0)</f>
        <v>0.125</v>
      </c>
      <c r="Q245" s="100" t="str">
        <f>VLOOKUP($H:$H,型材表!$B$5:$I$448,6,0)</f>
        <v>断桥隔热铝型材</v>
      </c>
      <c r="R245" s="49"/>
      <c r="S245" s="50"/>
      <c r="T245" s="478"/>
      <c r="U245" s="470" t="s">
        <v>1355</v>
      </c>
      <c r="V245" s="259">
        <f>32*2</f>
        <v>64</v>
      </c>
      <c r="X245" s="286">
        <f>32*2</f>
        <v>64</v>
      </c>
      <c r="Y245" s="265"/>
      <c r="Z245" s="286">
        <f>32*2</f>
        <v>64</v>
      </c>
      <c r="AA245" s="265"/>
      <c r="AB245" s="286">
        <f>32*2</f>
        <v>64</v>
      </c>
      <c r="AC245" s="265"/>
      <c r="AD245" s="286">
        <v>64</v>
      </c>
      <c r="AE245" s="265"/>
      <c r="AF245" s="264"/>
      <c r="AG245" s="288"/>
    </row>
    <row r="246" spans="1:33" x14ac:dyDescent="0.15">
      <c r="A246" s="382">
        <v>8</v>
      </c>
      <c r="B246" s="534"/>
      <c r="C246" s="535"/>
      <c r="D246" s="535"/>
      <c r="E246" s="536"/>
      <c r="F246" s="47" t="str">
        <f>VLOOKUP($H:$H,型材表!$B$5:$I$448,2,0)</f>
        <v>转向框</v>
      </c>
      <c r="G246" s="45" t="s">
        <v>39</v>
      </c>
      <c r="H246" s="45" t="str">
        <f>IF(G224=55,"SW55K102",IF(G224=551,"SW55BK102",IF(G224=60,"SW60K102",IF(G224=601,"SW60AK102",IF(G224=65,"SW65AK102",IF(G224=50,"SW50K102"))))))</f>
        <v>SW55K102</v>
      </c>
      <c r="I246" s="207" t="s">
        <v>1373</v>
      </c>
      <c r="J246" s="46">
        <f>IF(G224=55,M228-V246,IF(G224=551,M228-X246,IF(G224=60,M228-Z246,IF(G224=601,M228-AB246,IF(G224=65,M228-AD246,IF(G224=50,M228-AF246))))))</f>
        <v>2226</v>
      </c>
      <c r="K246" s="45">
        <v>2</v>
      </c>
      <c r="L246" s="47">
        <f>VLOOKUP($H:$H,型材表!$B$5:$I$448,4,0)</f>
        <v>0.92300000000000004</v>
      </c>
      <c r="M246" s="46">
        <f t="shared" ref="M246" si="29">J246*K246*L246/1000</f>
        <v>4.1091959999999998</v>
      </c>
      <c r="N246" s="72">
        <f>VLOOKUP($H:$H,型材表!$B$5:$I$448,7,0)</f>
        <v>0</v>
      </c>
      <c r="O246" s="46">
        <f t="shared" ref="O246" si="30">N246*M246</f>
        <v>0</v>
      </c>
      <c r="P246" s="100">
        <f>VLOOKUP($H:$H,型材表!$B$5:$I$448,5,0)</f>
        <v>0.125</v>
      </c>
      <c r="Q246" s="100" t="str">
        <f>VLOOKUP($H:$H,型材表!$B$5:$I$448,6,0)</f>
        <v>断桥隔热铝型材</v>
      </c>
      <c r="R246" s="49"/>
      <c r="S246" s="50"/>
      <c r="T246" s="478"/>
      <c r="U246" s="470" t="s">
        <v>1371</v>
      </c>
      <c r="V246" s="259">
        <f>37*2</f>
        <v>74</v>
      </c>
      <c r="X246" s="286">
        <f>37*2</f>
        <v>74</v>
      </c>
      <c r="Y246" s="265"/>
      <c r="Z246" s="286">
        <f>37*2</f>
        <v>74</v>
      </c>
      <c r="AA246" s="265"/>
      <c r="AB246" s="286">
        <f>37*2</f>
        <v>74</v>
      </c>
      <c r="AC246" s="265"/>
      <c r="AD246" s="286">
        <f>37*2</f>
        <v>74</v>
      </c>
      <c r="AE246" s="265"/>
      <c r="AF246" s="264"/>
      <c r="AG246" s="288"/>
    </row>
    <row r="247" spans="1:33" x14ac:dyDescent="0.15">
      <c r="A247" s="382">
        <v>9</v>
      </c>
      <c r="B247" s="537"/>
      <c r="C247" s="538"/>
      <c r="D247" s="538"/>
      <c r="E247" s="539"/>
      <c r="F247" s="47" t="str">
        <f>VLOOKUP($H:$H,型材表!$B$5:$I$448,2,0)</f>
        <v>转向框</v>
      </c>
      <c r="G247" s="45" t="s">
        <v>40</v>
      </c>
      <c r="H247" s="207" t="str">
        <f>H246</f>
        <v>SW55K102</v>
      </c>
      <c r="I247" s="207" t="s">
        <v>1374</v>
      </c>
      <c r="J247" s="208">
        <f>IF(G224=55,M232-V247,IF(G224=551,M232-X247,IF(G224=60,M232-Z247,IF(G224=601,M232-AB247,IF(G224=65,M232-AD247,IF(G224=50,M232-AF247))))))</f>
        <v>646.70000000000005</v>
      </c>
      <c r="K247" s="207">
        <v>2</v>
      </c>
      <c r="L247" s="47">
        <f>VLOOKUP($H:$H,型材表!$B$5:$I$448,4,0)</f>
        <v>0.92300000000000004</v>
      </c>
      <c r="M247" s="46">
        <f t="shared" ref="M247" si="31">J247*K247*L247/1000</f>
        <v>1.1938082000000001</v>
      </c>
      <c r="N247" s="72">
        <f>VLOOKUP($H:$H,型材表!$B$5:$I$448,7,0)</f>
        <v>0</v>
      </c>
      <c r="O247" s="46">
        <f t="shared" ref="O247" si="32">N247*M247</f>
        <v>0</v>
      </c>
      <c r="P247" s="100">
        <f>VLOOKUP($H:$H,型材表!$B$5:$I$448,5,0)</f>
        <v>0.125</v>
      </c>
      <c r="Q247" s="100" t="str">
        <f>VLOOKUP($H:$H,型材表!$B$5:$I$448,6,0)</f>
        <v>断桥隔热铝型材</v>
      </c>
      <c r="R247" s="210"/>
      <c r="S247" s="50"/>
      <c r="T247" s="478"/>
      <c r="U247" s="470" t="s">
        <v>1372</v>
      </c>
      <c r="V247" s="259">
        <f>37+16.3</f>
        <v>53.3</v>
      </c>
      <c r="X247" s="286">
        <f>37+16.3</f>
        <v>53.3</v>
      </c>
      <c r="Y247" s="265"/>
      <c r="Z247" s="286">
        <f>37+16.3</f>
        <v>53.3</v>
      </c>
      <c r="AA247" s="265"/>
      <c r="AB247" s="286">
        <f>37+16.3</f>
        <v>53.3</v>
      </c>
      <c r="AC247" s="265"/>
      <c r="AD247" s="286">
        <f>37+16.3</f>
        <v>53.3</v>
      </c>
      <c r="AE247" s="265"/>
      <c r="AF247" s="264"/>
      <c r="AG247" s="288"/>
    </row>
    <row r="248" spans="1:33" x14ac:dyDescent="0.15">
      <c r="A248" s="382">
        <v>10</v>
      </c>
      <c r="B248" s="580" t="s">
        <v>44</v>
      </c>
      <c r="C248" s="580"/>
      <c r="D248" s="580"/>
      <c r="E248" s="580"/>
      <c r="F248" s="454" t="str">
        <f>VLOOKUP($H:$H,型材表!$B$5:$I$448,2,0)</f>
        <v>压线</v>
      </c>
      <c r="G248" s="45" t="s">
        <v>39</v>
      </c>
      <c r="H248" s="45" t="str">
        <f>IF(G224=55,"SN55Y001",IF(G224=551,"SW55BY001",IF(G224=60,"SN60Y001",IF(G224=601,"SW60AY001",IF(G224=65,"SN65AY001",IF(G224=50,"SW50Y001"))))))</f>
        <v>SN55Y001</v>
      </c>
      <c r="I248" s="207" t="s">
        <v>1346</v>
      </c>
      <c r="J248" s="52">
        <f>IF(G224=55,M228-V248,IF(G224=551,M228-X248,IF(G224=60,M228-Z248,IF(G224=601,M228-AB248,IF(G224=65,M228-AD248,IF(G224=50,M228-AF248))))))</f>
        <v>2103</v>
      </c>
      <c r="K248" s="45">
        <v>2</v>
      </c>
      <c r="L248" s="47">
        <f>VLOOKUP($H:$H,型材表!$B$5:$I$448,4,0)</f>
        <v>0.214</v>
      </c>
      <c r="M248" s="46">
        <f t="shared" ref="M248:M254" si="33">J248*K248*L248/1000</f>
        <v>0.900084</v>
      </c>
      <c r="N248" s="72">
        <f>VLOOKUP($H:$H,型材表!$B$5:$I$448,7,0)</f>
        <v>0</v>
      </c>
      <c r="O248" s="46">
        <f t="shared" ref="O248:O254" si="34">N248*M248</f>
        <v>0</v>
      </c>
      <c r="P248" s="100">
        <f>VLOOKUP($H:$H,型材表!$B$5:$I$448,5,0)</f>
        <v>0.125</v>
      </c>
      <c r="Q248" s="100" t="str">
        <f>VLOOKUP($H:$H,型材表!$B$5:$I$448,6,0)</f>
        <v>非断桥隔热铝型材</v>
      </c>
      <c r="R248" s="49"/>
      <c r="S248" s="50"/>
      <c r="T248" s="478"/>
      <c r="U248" s="470" t="s">
        <v>1348</v>
      </c>
      <c r="V248" s="269">
        <f>98.5*2</f>
        <v>197</v>
      </c>
      <c r="X248" s="279">
        <f>98.5*2</f>
        <v>197</v>
      </c>
      <c r="Y248" s="265"/>
      <c r="Z248" s="279">
        <f>98.5*2</f>
        <v>197</v>
      </c>
      <c r="AA248" s="265"/>
      <c r="AB248" s="279">
        <f>98.5*2</f>
        <v>197</v>
      </c>
      <c r="AC248" s="265"/>
      <c r="AD248" s="279">
        <f>98.5*2</f>
        <v>197</v>
      </c>
      <c r="AE248" s="265"/>
      <c r="AF248" s="264"/>
      <c r="AG248" s="288"/>
    </row>
    <row r="249" spans="1:33" x14ac:dyDescent="0.15">
      <c r="A249" s="382">
        <v>11</v>
      </c>
      <c r="B249" s="580"/>
      <c r="C249" s="580"/>
      <c r="D249" s="580"/>
      <c r="E249" s="580"/>
      <c r="F249" s="454" t="str">
        <f>VLOOKUP($H:$H,型材表!$B$5:$I$448,2,0)</f>
        <v>压线</v>
      </c>
      <c r="G249" s="45" t="s">
        <v>39</v>
      </c>
      <c r="H249" s="207" t="str">
        <f>H248</f>
        <v>SN55Y001</v>
      </c>
      <c r="I249" s="207" t="s">
        <v>1362</v>
      </c>
      <c r="J249" s="214">
        <f>IF(G224=55,M228-V248,IF(G224=551,M228-X248,IF(G224=60,M228-Z248,IF(G224=601,M228-AB248,IF(G224=65,M228-AD248,IF(G224=50,M228-AF248))))))</f>
        <v>2103</v>
      </c>
      <c r="K249" s="207">
        <v>2</v>
      </c>
      <c r="L249" s="47">
        <f>VLOOKUP($H:$H,型材表!$B$5:$I$448,4,0)</f>
        <v>0.214</v>
      </c>
      <c r="M249" s="46">
        <f t="shared" ref="M249:M251" si="35">J249*K249*L249/1000</f>
        <v>0.900084</v>
      </c>
      <c r="N249" s="72">
        <f>VLOOKUP($H:$H,型材表!$B$5:$I$448,7,0)</f>
        <v>0</v>
      </c>
      <c r="O249" s="46">
        <f t="shared" ref="O249:O251" si="36">N249*M249</f>
        <v>0</v>
      </c>
      <c r="P249" s="100">
        <f>VLOOKUP($H:$H,型材表!$B$5:$I$448,5,0)</f>
        <v>0.125</v>
      </c>
      <c r="Q249" s="100" t="str">
        <f>VLOOKUP($H:$H,型材表!$B$5:$I$448,6,0)</f>
        <v>非断桥隔热铝型材</v>
      </c>
      <c r="R249" s="210"/>
      <c r="S249" s="50"/>
      <c r="T249" s="478"/>
      <c r="U249" s="470" t="s">
        <v>990</v>
      </c>
      <c r="V249" s="269">
        <f>60.42*2</f>
        <v>120.84</v>
      </c>
      <c r="X249" s="279">
        <f>60.42*2</f>
        <v>120.84</v>
      </c>
      <c r="Y249" s="265"/>
      <c r="Z249" s="279">
        <f>60.42*2</f>
        <v>120.84</v>
      </c>
      <c r="AA249" s="265"/>
      <c r="AB249" s="279">
        <f>60.42*2</f>
        <v>120.84</v>
      </c>
      <c r="AC249" s="265"/>
      <c r="AD249" s="279">
        <f>60.42*2</f>
        <v>120.84</v>
      </c>
      <c r="AE249" s="265"/>
      <c r="AF249" s="264"/>
      <c r="AG249" s="288"/>
    </row>
    <row r="250" spans="1:33" x14ac:dyDescent="0.15">
      <c r="A250" s="382">
        <v>12</v>
      </c>
      <c r="B250" s="580"/>
      <c r="C250" s="580"/>
      <c r="D250" s="580"/>
      <c r="E250" s="580"/>
      <c r="F250" s="454" t="str">
        <f>VLOOKUP($H:$H,型材表!$B$5:$I$448,2,0)</f>
        <v>压线</v>
      </c>
      <c r="G250" s="45" t="s">
        <v>40</v>
      </c>
      <c r="H250" s="207" t="str">
        <f t="shared" ref="H250:H251" si="37">H249</f>
        <v>SN55Y001</v>
      </c>
      <c r="I250" s="207" t="s">
        <v>1364</v>
      </c>
      <c r="J250" s="214">
        <f>IF(G224=55,M231-V250,IF(G224=551,M231-X250,IF(G224=60,M231-Z250,IF(G224=601,M231-AB250,IF(G224=65,M231-AD250,IF(G224=50,M231-AF250))))))</f>
        <v>521</v>
      </c>
      <c r="K250" s="207">
        <v>2</v>
      </c>
      <c r="L250" s="47">
        <f>VLOOKUP($H:$H,型材表!$B$5:$I$448,4,0)</f>
        <v>0.214</v>
      </c>
      <c r="M250" s="46">
        <f t="shared" si="35"/>
        <v>0.22298799999999999</v>
      </c>
      <c r="N250" s="72">
        <f>VLOOKUP($H:$H,型材表!$B$5:$I$448,7,0)</f>
        <v>0</v>
      </c>
      <c r="O250" s="46">
        <f t="shared" si="36"/>
        <v>0</v>
      </c>
      <c r="P250" s="100">
        <f>VLOOKUP($H:$H,型材表!$B$5:$I$448,5,0)</f>
        <v>0.125</v>
      </c>
      <c r="Q250" s="100" t="str">
        <f>VLOOKUP($H:$H,型材表!$B$5:$I$448,6,0)</f>
        <v>非断桥隔热铝型材</v>
      </c>
      <c r="R250" s="210"/>
      <c r="S250" s="50"/>
      <c r="T250" s="478"/>
      <c r="U250" s="470" t="s">
        <v>1363</v>
      </c>
      <c r="V250" s="303">
        <f>98.5+80.5</f>
        <v>179</v>
      </c>
      <c r="X250" s="305">
        <f>98.5+80.5</f>
        <v>179</v>
      </c>
      <c r="Y250" s="265"/>
      <c r="Z250" s="305">
        <f>98.5+80.5</f>
        <v>179</v>
      </c>
      <c r="AA250" s="265"/>
      <c r="AB250" s="305">
        <f>98.5+80.5</f>
        <v>179</v>
      </c>
      <c r="AC250" s="265"/>
      <c r="AD250" s="305">
        <f>98.5+80.5</f>
        <v>179</v>
      </c>
      <c r="AE250" s="265"/>
      <c r="AF250" s="264"/>
      <c r="AG250" s="288"/>
    </row>
    <row r="251" spans="1:33" x14ac:dyDescent="0.15">
      <c r="A251" s="382">
        <v>13</v>
      </c>
      <c r="B251" s="580"/>
      <c r="C251" s="580"/>
      <c r="D251" s="580"/>
      <c r="E251" s="580"/>
      <c r="F251" s="454" t="str">
        <f>VLOOKUP($H:$H,型材表!$B$5:$I$448,2,0)</f>
        <v>压线</v>
      </c>
      <c r="G251" s="45" t="s">
        <v>40</v>
      </c>
      <c r="H251" s="207" t="str">
        <f t="shared" si="37"/>
        <v>SN55Y001</v>
      </c>
      <c r="I251" s="207" t="s">
        <v>1367</v>
      </c>
      <c r="J251" s="214">
        <f>IF(G224=55,M232-V251,IF(G224=551,M232-X251,IF(G224=60,M232-Z251,IF(G224=601,M232-AB251,IF(G224=65,M232-AD251,IF(G224=50,M232-AF251))))))</f>
        <v>597.18000000000006</v>
      </c>
      <c r="K251" s="207">
        <v>2</v>
      </c>
      <c r="L251" s="47">
        <f>VLOOKUP($H:$H,型材表!$B$5:$I$448,4,0)</f>
        <v>0.214</v>
      </c>
      <c r="M251" s="46">
        <f t="shared" si="35"/>
        <v>0.25559304000000005</v>
      </c>
      <c r="N251" s="72">
        <f>VLOOKUP($H:$H,型材表!$B$5:$I$448,7,0)</f>
        <v>0</v>
      </c>
      <c r="O251" s="46">
        <f t="shared" si="36"/>
        <v>0</v>
      </c>
      <c r="P251" s="100">
        <f>VLOOKUP($H:$H,型材表!$B$5:$I$448,5,0)</f>
        <v>0.125</v>
      </c>
      <c r="Q251" s="100" t="str">
        <f>VLOOKUP($H:$H,型材表!$B$5:$I$448,6,0)</f>
        <v>非断桥隔热铝型材</v>
      </c>
      <c r="R251" s="210"/>
      <c r="S251" s="50"/>
      <c r="T251" s="478"/>
      <c r="U251" s="470" t="s">
        <v>1365</v>
      </c>
      <c r="V251" s="303">
        <f>42.4+60.42</f>
        <v>102.82</v>
      </c>
      <c r="X251" s="305">
        <f>42.4+60.42</f>
        <v>102.82</v>
      </c>
      <c r="Y251" s="265"/>
      <c r="Z251" s="305">
        <f>42.4+60.42</f>
        <v>102.82</v>
      </c>
      <c r="AA251" s="265"/>
      <c r="AB251" s="305">
        <f>42.4+60.42</f>
        <v>102.82</v>
      </c>
      <c r="AC251" s="265"/>
      <c r="AD251" s="305">
        <f>42.4+60.42</f>
        <v>102.82</v>
      </c>
      <c r="AE251" s="265"/>
      <c r="AF251" s="264"/>
      <c r="AG251" s="288"/>
    </row>
    <row r="252" spans="1:33" x14ac:dyDescent="0.15">
      <c r="A252" s="382">
        <v>14</v>
      </c>
      <c r="B252" s="580"/>
      <c r="C252" s="580"/>
      <c r="D252" s="580"/>
      <c r="E252" s="580"/>
      <c r="F252" s="454" t="str">
        <f>VLOOKUP($H:$H,型材表!$B$5:$I$448,2,0)</f>
        <v>角码</v>
      </c>
      <c r="G252" s="213" t="s">
        <v>446</v>
      </c>
      <c r="H252" s="207" t="str">
        <f>IF(G224=50,"SW50F002","SN55MF004")</f>
        <v>SN55MF004</v>
      </c>
      <c r="I252" s="207" t="s">
        <v>1343</v>
      </c>
      <c r="J252" s="214">
        <f>IF(G224=55,V252,IF(G224=551,X252,IF(G224=60,Z252,IF(G224=601,AB252,IF(G224=65,AD252,IF(G224=50,AF252))))))</f>
        <v>26.4</v>
      </c>
      <c r="K252" s="207">
        <v>4</v>
      </c>
      <c r="L252" s="47">
        <f>VLOOKUP($H:$H,型材表!$B$5:$I$448,4,0)</f>
        <v>2.996</v>
      </c>
      <c r="M252" s="46">
        <f t="shared" si="33"/>
        <v>0.31637759999999998</v>
      </c>
      <c r="N252" s="72">
        <f>VLOOKUP($H:$H,型材表!$B$5:$I$448,7,0)</f>
        <v>0</v>
      </c>
      <c r="O252" s="46">
        <f t="shared" si="34"/>
        <v>0</v>
      </c>
      <c r="P252" s="100">
        <f>VLOOKUP($H:$H,型材表!$B$5:$I$448,5,0)</f>
        <v>0.125</v>
      </c>
      <c r="Q252" s="100" t="str">
        <f>VLOOKUP($H:$H,型材表!$B$5:$I$448,6,0)</f>
        <v>阳极氧化铝型材</v>
      </c>
      <c r="R252" s="210"/>
      <c r="S252" s="50"/>
      <c r="T252" s="478"/>
      <c r="U252" s="470" t="s">
        <v>1343</v>
      </c>
      <c r="V252" s="259">
        <f>9.9-1+18.5-1</f>
        <v>26.4</v>
      </c>
      <c r="X252" s="264">
        <f>18.5-1+9.9-1</f>
        <v>26.4</v>
      </c>
      <c r="Y252" s="265"/>
      <c r="Z252" s="317">
        <f>18.5-1+13.7-1</f>
        <v>30.2</v>
      </c>
      <c r="AA252" s="265"/>
      <c r="AB252" s="264">
        <f>18.5-1+9.9-1</f>
        <v>26.4</v>
      </c>
      <c r="AC252" s="265"/>
      <c r="AD252" s="317">
        <f>18.5-1+13.7-1</f>
        <v>30.2</v>
      </c>
      <c r="AE252" s="265"/>
      <c r="AF252" s="264"/>
      <c r="AG252" s="288"/>
    </row>
    <row r="253" spans="1:33" s="229" customFormat="1" x14ac:dyDescent="0.15">
      <c r="A253" s="382">
        <v>15</v>
      </c>
      <c r="B253" s="580"/>
      <c r="C253" s="580"/>
      <c r="D253" s="580"/>
      <c r="E253" s="580"/>
      <c r="F253" s="454" t="str">
        <f>VLOOKUP($H:$H,型材表!$B$5:$I$448,2,0)</f>
        <v>角码</v>
      </c>
      <c r="G253" s="230" t="s">
        <v>447</v>
      </c>
      <c r="H253" s="222" t="str">
        <f>IF(G224=50,"SW50MF001","SN55MF005")</f>
        <v>SN55MF005</v>
      </c>
      <c r="I253" s="207" t="s">
        <v>995</v>
      </c>
      <c r="J253" s="214">
        <f>IF(G224=55,V253,IF(G224=551,X253,IF(G224=60,Z253,IF(G224=601,AB253,IF(G224=65,AD253,IF(G224=50,AF253))))))</f>
        <v>24.7</v>
      </c>
      <c r="K253" s="207">
        <v>4</v>
      </c>
      <c r="L253" s="47">
        <f>VLOOKUP($H:$H,型材表!$B$5:$I$448,4,0)</f>
        <v>4.7119999999999997</v>
      </c>
      <c r="M253" s="46">
        <f t="shared" si="33"/>
        <v>0.4655456</v>
      </c>
      <c r="N253" s="72">
        <f>VLOOKUP($H:$H,型材表!$B$5:$I$448,7,0)</f>
        <v>0</v>
      </c>
      <c r="O253" s="46">
        <f t="shared" si="34"/>
        <v>0</v>
      </c>
      <c r="P253" s="100">
        <f>VLOOKUP($H:$H,型材表!$B$5:$I$448,5,0)</f>
        <v>0.125</v>
      </c>
      <c r="Q253" s="100" t="str">
        <f>VLOOKUP($H:$H,型材表!$B$5:$I$448,6,0)</f>
        <v>阳极氧化铝型材</v>
      </c>
      <c r="R253" s="227"/>
      <c r="S253" s="228"/>
      <c r="T253" s="479"/>
      <c r="U253" s="471" t="s">
        <v>1344</v>
      </c>
      <c r="V253" s="266">
        <f>25.7-1</f>
        <v>24.7</v>
      </c>
      <c r="W253" s="266"/>
      <c r="X253" s="267">
        <f>25.4-1</f>
        <v>24.4</v>
      </c>
      <c r="Y253" s="268"/>
      <c r="Z253" s="267">
        <f>25.7-1</f>
        <v>24.7</v>
      </c>
      <c r="AA253" s="268"/>
      <c r="AB253" s="267">
        <f>25.4-1</f>
        <v>24.4</v>
      </c>
      <c r="AC253" s="268"/>
      <c r="AD253" s="267">
        <f>25.7-1</f>
        <v>24.7</v>
      </c>
      <c r="AE253" s="268"/>
      <c r="AF253" s="267"/>
      <c r="AG253" s="289"/>
    </row>
    <row r="254" spans="1:33" x14ac:dyDescent="0.15">
      <c r="A254" s="382">
        <v>16</v>
      </c>
      <c r="B254" s="580"/>
      <c r="C254" s="580"/>
      <c r="D254" s="580"/>
      <c r="E254" s="580"/>
      <c r="F254" s="454" t="str">
        <f>VLOOKUP($H:$H,型材表!$B$5:$I$448,2,0)</f>
        <v>角码</v>
      </c>
      <c r="G254" s="230" t="s">
        <v>447</v>
      </c>
      <c r="H254" s="45" t="str">
        <f>IF(G224=551,"SW55BMF001",IF(G224=601,"SW55BMF001",IF(G224=50,"0","SN55MF005")))</f>
        <v>SN55MF005</v>
      </c>
      <c r="I254" s="207" t="s">
        <v>996</v>
      </c>
      <c r="J254" s="52">
        <f>IF(G224=55,V254,IF(G224=551,X254,IF(G224=60,Z254,IF(G224=601,AB254,IF(G224=65,AD254,IF(G224=50,AF254))))))</f>
        <v>13.7</v>
      </c>
      <c r="K254" s="45">
        <v>4</v>
      </c>
      <c r="L254" s="47">
        <f>VLOOKUP($H:$H,型材表!$B$5:$I$448,4,0)</f>
        <v>4.7119999999999997</v>
      </c>
      <c r="M254" s="46">
        <f t="shared" si="33"/>
        <v>0.25821759999999994</v>
      </c>
      <c r="N254" s="72">
        <f>VLOOKUP($H:$H,型材表!$B$5:$I$448,7,0)</f>
        <v>0</v>
      </c>
      <c r="O254" s="46">
        <f t="shared" si="34"/>
        <v>0</v>
      </c>
      <c r="P254" s="100">
        <f>VLOOKUP($H:$H,型材表!$B$5:$I$448,5,0)</f>
        <v>0.125</v>
      </c>
      <c r="Q254" s="100" t="str">
        <f>VLOOKUP($H:$H,型材表!$B$5:$I$448,6,0)</f>
        <v>阳极氧化铝型材</v>
      </c>
      <c r="R254" s="49"/>
      <c r="S254" s="50"/>
      <c r="T254" s="478"/>
      <c r="U254" s="470" t="s">
        <v>1345</v>
      </c>
      <c r="V254" s="259">
        <f>14.7-1</f>
        <v>13.7</v>
      </c>
      <c r="X254" s="317">
        <f>11.2-1</f>
        <v>10.199999999999999</v>
      </c>
      <c r="Y254" s="265"/>
      <c r="Z254" s="264">
        <f>14.7-1</f>
        <v>13.7</v>
      </c>
      <c r="AA254" s="265"/>
      <c r="AB254" s="317">
        <f>11.2-1</f>
        <v>10.199999999999999</v>
      </c>
      <c r="AC254" s="265"/>
      <c r="AD254" s="264">
        <f>14.7-1</f>
        <v>13.7</v>
      </c>
      <c r="AE254" s="265"/>
      <c r="AF254" s="264"/>
      <c r="AG254" s="288"/>
    </row>
    <row r="255" spans="1:33" x14ac:dyDescent="0.15">
      <c r="A255" s="382">
        <v>17</v>
      </c>
      <c r="B255" s="580"/>
      <c r="C255" s="580"/>
      <c r="D255" s="580"/>
      <c r="E255" s="580"/>
      <c r="F255" s="454" t="str">
        <f>VLOOKUP($H:$H,型材表!$B$5:$I$448,2,0)</f>
        <v>中梃角码</v>
      </c>
      <c r="G255" s="213"/>
      <c r="H255" s="207" t="str">
        <f>IF(G224=50,"SW50MF002","SN55MF001")</f>
        <v>SN55MF001</v>
      </c>
      <c r="I255" s="207" t="s">
        <v>997</v>
      </c>
      <c r="J255" s="214">
        <f>IF(G224=55,V255,IF(G224=551,X255,IF(G224=60,Z255,IF(G224=601,AB255,IF(G224=65,AD255,IF(G224=50,AF255))))))</f>
        <v>12.5</v>
      </c>
      <c r="K255" s="207">
        <v>2</v>
      </c>
      <c r="L255" s="47">
        <f>VLOOKUP($H:$H,型材表!$B$5:$I$448,4,0)</f>
        <v>1.429</v>
      </c>
      <c r="M255" s="46">
        <f t="shared" ref="M255:M256" si="38">J255*K255*L255/1000</f>
        <v>3.5725E-2</v>
      </c>
      <c r="N255" s="72">
        <f>VLOOKUP($H:$H,型材表!$B$5:$I$448,7,0)</f>
        <v>0</v>
      </c>
      <c r="O255" s="46">
        <f t="shared" ref="O255:O256" si="39">N255*M255</f>
        <v>0</v>
      </c>
      <c r="P255" s="100">
        <f>VLOOKUP($H:$H,型材表!$B$5:$I$448,5,0)</f>
        <v>0.125</v>
      </c>
      <c r="Q255" s="100" t="str">
        <f>VLOOKUP($H:$H,型材表!$B$5:$I$448,6,0)</f>
        <v>阳极氧化铝型材</v>
      </c>
      <c r="R255" s="210"/>
      <c r="S255" s="50"/>
      <c r="T255" s="478"/>
      <c r="U255" s="470" t="s">
        <v>1368</v>
      </c>
      <c r="V255" s="497">
        <f>13.5-1</f>
        <v>12.5</v>
      </c>
      <c r="W255" s="497"/>
      <c r="X255" s="494">
        <f>11.7-1</f>
        <v>10.7</v>
      </c>
      <c r="Y255" s="498"/>
      <c r="Z255" s="494">
        <f>13.5-1</f>
        <v>12.5</v>
      </c>
      <c r="AA255" s="498"/>
      <c r="AB255" s="494">
        <f>11.7-1</f>
        <v>10.7</v>
      </c>
      <c r="AC255" s="498"/>
      <c r="AD255" s="494">
        <f>13.5-1</f>
        <v>12.5</v>
      </c>
      <c r="AE255" s="265"/>
      <c r="AF255" s="264"/>
      <c r="AG255" s="288"/>
    </row>
    <row r="256" spans="1:33" s="229" customFormat="1" x14ac:dyDescent="0.15">
      <c r="A256" s="382">
        <v>18</v>
      </c>
      <c r="B256" s="580"/>
      <c r="C256" s="580"/>
      <c r="D256" s="580"/>
      <c r="E256" s="580"/>
      <c r="F256" s="454" t="str">
        <f>VLOOKUP($H:$H,型材表!$B$5:$I$448,2,0)</f>
        <v>中梃角码</v>
      </c>
      <c r="G256" s="232"/>
      <c r="H256" s="207" t="str">
        <f>IF(G225=551,"SN55BMF001",IF(G225=601,"SN55BMF001",IF(G225=50,"SW50MF002","SN55MF002")))</f>
        <v>SN55MF002</v>
      </c>
      <c r="I256" s="207" t="s">
        <v>939</v>
      </c>
      <c r="J256" s="234">
        <f>IF(G224=55,V256,IF(G224=551,X256,IF(G224=60,Z256,IF(G224=601,AB256,IF(G224=65,AD256,IF(G224=50,AF256))))))</f>
        <v>17.5</v>
      </c>
      <c r="K256" s="233">
        <v>2</v>
      </c>
      <c r="L256" s="47">
        <f>VLOOKUP($H:$H,型材表!$B$5:$I$448,4,0)</f>
        <v>0.85799999999999998</v>
      </c>
      <c r="M256" s="46">
        <f t="shared" si="38"/>
        <v>3.0030000000000001E-2</v>
      </c>
      <c r="N256" s="72">
        <f>VLOOKUP($H:$H,型材表!$B$5:$I$448,7,0)</f>
        <v>0</v>
      </c>
      <c r="O256" s="46">
        <f t="shared" si="39"/>
        <v>0</v>
      </c>
      <c r="P256" s="100">
        <f>VLOOKUP($H:$H,型材表!$B$5:$I$448,5,0)</f>
        <v>0.125</v>
      </c>
      <c r="Q256" s="100" t="str">
        <f>VLOOKUP($H:$H,型材表!$B$5:$I$448,6,0)</f>
        <v>阳极氧化铝型材</v>
      </c>
      <c r="R256" s="235"/>
      <c r="S256" s="228"/>
      <c r="T256" s="479"/>
      <c r="U256" s="471" t="s">
        <v>1369</v>
      </c>
      <c r="V256" s="499">
        <f>18.5-1</f>
        <v>17.5</v>
      </c>
      <c r="W256" s="499"/>
      <c r="X256" s="500">
        <f>18.5-1</f>
        <v>17.5</v>
      </c>
      <c r="Y256" s="501"/>
      <c r="Z256" s="500">
        <f>18.5-1</f>
        <v>17.5</v>
      </c>
      <c r="AA256" s="501"/>
      <c r="AB256" s="500">
        <f>18.5-1</f>
        <v>17.5</v>
      </c>
      <c r="AC256" s="501"/>
      <c r="AD256" s="500">
        <f>18.5-1</f>
        <v>17.5</v>
      </c>
      <c r="AE256" s="268"/>
      <c r="AF256" s="267"/>
      <c r="AG256" s="289"/>
    </row>
    <row r="257" spans="1:33" s="229" customFormat="1" x14ac:dyDescent="0.15">
      <c r="A257" s="382">
        <v>19</v>
      </c>
      <c r="B257" s="580"/>
      <c r="C257" s="580"/>
      <c r="D257" s="580"/>
      <c r="E257" s="580"/>
      <c r="F257" s="454" t="str">
        <f>VLOOKUP($H:$H,型材表!$B$5:$I$448,2,0)</f>
        <v>角码</v>
      </c>
      <c r="G257" s="295" t="s">
        <v>854</v>
      </c>
      <c r="H257" s="207" t="str">
        <f>IF(G226=50,"0","SW55F001")</f>
        <v>SW55F001</v>
      </c>
      <c r="I257" s="207" t="s">
        <v>1370</v>
      </c>
      <c r="J257" s="234">
        <f>IF(G224=55,V257,IF(G224=551,X257,IF(G224=60,Z257,IF(G224=601,AB257,IF(G224=65,AD257,IF(G224=50,AF257))))))</f>
        <v>28</v>
      </c>
      <c r="K257" s="233">
        <v>4</v>
      </c>
      <c r="L257" s="47">
        <f>VLOOKUP($H:$H,型材表!$B$5:$I$448,4,0)</f>
        <v>2.0950000000000002</v>
      </c>
      <c r="M257" s="46">
        <f t="shared" ref="M257" si="40">J257*K257*L257/1000</f>
        <v>0.23464000000000002</v>
      </c>
      <c r="N257" s="72">
        <f>VLOOKUP($H:$H,型材表!$B$5:$I$448,7,0)</f>
        <v>0</v>
      </c>
      <c r="O257" s="46">
        <f t="shared" ref="O257" si="41">N257*M257</f>
        <v>0</v>
      </c>
      <c r="P257" s="100">
        <f>VLOOKUP($H:$H,型材表!$B$5:$I$448,5,0)</f>
        <v>0.125</v>
      </c>
      <c r="Q257" s="100" t="str">
        <f>VLOOKUP($H:$H,型材表!$B$5:$I$448,6,0)</f>
        <v>阳极氧化铝型材</v>
      </c>
      <c r="R257" s="296"/>
      <c r="S257" s="228"/>
      <c r="T257" s="479"/>
      <c r="U257" s="471" t="s">
        <v>1370</v>
      </c>
      <c r="V257" s="266">
        <f>15-1+15-1</f>
        <v>28</v>
      </c>
      <c r="W257" s="266"/>
      <c r="X257" s="267">
        <f>15-1+11.2-1</f>
        <v>24.2</v>
      </c>
      <c r="Y257" s="268"/>
      <c r="Z257" s="267">
        <f>15-1+15-1</f>
        <v>28</v>
      </c>
      <c r="AA257" s="268"/>
      <c r="AB257" s="267">
        <f>15-1+11.2-1</f>
        <v>24.2</v>
      </c>
      <c r="AC257" s="268"/>
      <c r="AD257" s="267">
        <f>15-1+15-1</f>
        <v>28</v>
      </c>
      <c r="AE257" s="268"/>
      <c r="AF257" s="267"/>
      <c r="AG257" s="289"/>
    </row>
    <row r="258" spans="1:33" s="229" customFormat="1" x14ac:dyDescent="0.15">
      <c r="A258" s="382">
        <v>20</v>
      </c>
      <c r="B258" s="580"/>
      <c r="C258" s="580"/>
      <c r="D258" s="580"/>
      <c r="E258" s="580"/>
      <c r="F258" s="455"/>
      <c r="G258" s="455"/>
      <c r="H258" s="455"/>
      <c r="I258" s="455"/>
      <c r="J258" s="455"/>
      <c r="K258" s="455"/>
      <c r="L258" s="455"/>
      <c r="M258" s="208"/>
      <c r="N258" s="209"/>
      <c r="O258" s="208"/>
      <c r="P258" s="307"/>
      <c r="Q258" s="361"/>
      <c r="R258" s="296"/>
      <c r="S258" s="228"/>
      <c r="T258" s="479"/>
      <c r="U258" s="471"/>
      <c r="V258" s="266"/>
      <c r="W258" s="266"/>
      <c r="X258" s="267"/>
      <c r="Y258" s="268"/>
      <c r="Z258" s="267"/>
      <c r="AA258" s="268"/>
      <c r="AB258" s="267"/>
      <c r="AC258" s="268"/>
      <c r="AD258" s="267"/>
      <c r="AE258" s="268"/>
      <c r="AF258" s="267"/>
      <c r="AG258" s="289"/>
    </row>
    <row r="259" spans="1:33" s="229" customFormat="1" x14ac:dyDescent="0.15">
      <c r="A259" s="382">
        <v>21</v>
      </c>
      <c r="B259" s="580"/>
      <c r="C259" s="580"/>
      <c r="D259" s="580"/>
      <c r="E259" s="580"/>
      <c r="F259" s="455"/>
      <c r="G259" s="455"/>
      <c r="H259" s="455"/>
      <c r="I259" s="455"/>
      <c r="J259" s="455"/>
      <c r="K259" s="455"/>
      <c r="L259" s="455"/>
      <c r="M259" s="208"/>
      <c r="N259" s="209"/>
      <c r="O259" s="208"/>
      <c r="P259" s="307"/>
      <c r="Q259" s="361"/>
      <c r="R259" s="296"/>
      <c r="S259" s="228"/>
      <c r="T259" s="479"/>
      <c r="U259" s="471"/>
      <c r="V259" s="266"/>
      <c r="W259" s="266"/>
      <c r="X259" s="267"/>
      <c r="Y259" s="268"/>
      <c r="Z259" s="267"/>
      <c r="AA259" s="268"/>
      <c r="AB259" s="267"/>
      <c r="AC259" s="268"/>
      <c r="AD259" s="267"/>
      <c r="AE259" s="268"/>
      <c r="AF259" s="267"/>
      <c r="AG259" s="289"/>
    </row>
    <row r="260" spans="1:33" s="229" customFormat="1" x14ac:dyDescent="0.15">
      <c r="A260" s="382">
        <v>22</v>
      </c>
      <c r="B260" s="580"/>
      <c r="C260" s="580"/>
      <c r="D260" s="580"/>
      <c r="E260" s="580"/>
      <c r="F260" s="455"/>
      <c r="G260" s="455"/>
      <c r="H260" s="455"/>
      <c r="I260" s="455"/>
      <c r="J260" s="455"/>
      <c r="K260" s="455"/>
      <c r="L260" s="455"/>
      <c r="M260" s="208"/>
      <c r="N260" s="209"/>
      <c r="O260" s="208"/>
      <c r="P260" s="307"/>
      <c r="Q260" s="361"/>
      <c r="R260" s="296"/>
      <c r="S260" s="228"/>
      <c r="T260" s="479"/>
      <c r="U260" s="471"/>
      <c r="V260" s="266"/>
      <c r="W260" s="266"/>
      <c r="X260" s="267"/>
      <c r="Y260" s="268"/>
      <c r="Z260" s="267"/>
      <c r="AA260" s="268"/>
      <c r="AB260" s="267"/>
      <c r="AC260" s="268"/>
      <c r="AD260" s="267"/>
      <c r="AE260" s="268"/>
      <c r="AF260" s="267"/>
      <c r="AG260" s="289"/>
    </row>
    <row r="261" spans="1:33" s="229" customFormat="1" x14ac:dyDescent="0.15">
      <c r="A261" s="382">
        <v>23</v>
      </c>
      <c r="B261" s="580"/>
      <c r="C261" s="580"/>
      <c r="D261" s="580"/>
      <c r="E261" s="580"/>
      <c r="F261" s="455"/>
      <c r="G261" s="455"/>
      <c r="H261" s="455"/>
      <c r="I261" s="455"/>
      <c r="J261" s="455"/>
      <c r="K261" s="455"/>
      <c r="L261" s="455"/>
      <c r="M261" s="208"/>
      <c r="N261" s="209"/>
      <c r="O261" s="208"/>
      <c r="P261" s="307"/>
      <c r="Q261" s="361"/>
      <c r="R261" s="296"/>
      <c r="S261" s="228"/>
      <c r="T261" s="479"/>
      <c r="U261" s="471"/>
      <c r="V261" s="266"/>
      <c r="W261" s="266"/>
      <c r="X261" s="267"/>
      <c r="Y261" s="268"/>
      <c r="Z261" s="267"/>
      <c r="AA261" s="268"/>
      <c r="AB261" s="267"/>
      <c r="AC261" s="268"/>
      <c r="AD261" s="267"/>
      <c r="AE261" s="268"/>
      <c r="AF261" s="267"/>
      <c r="AG261" s="289"/>
    </row>
    <row r="262" spans="1:33" s="229" customFormat="1" x14ac:dyDescent="0.15">
      <c r="A262" s="413">
        <v>24</v>
      </c>
      <c r="B262" s="580"/>
      <c r="C262" s="580"/>
      <c r="D262" s="580"/>
      <c r="E262" s="580"/>
      <c r="F262" s="455"/>
      <c r="G262" s="455"/>
      <c r="H262" s="455"/>
      <c r="I262" s="455"/>
      <c r="J262" s="455"/>
      <c r="K262" s="455"/>
      <c r="L262" s="455"/>
      <c r="M262" s="208"/>
      <c r="N262" s="432"/>
      <c r="O262" s="208"/>
      <c r="P262" s="433"/>
      <c r="Q262" s="360"/>
      <c r="R262" s="296"/>
      <c r="S262" s="228"/>
      <c r="T262" s="479"/>
      <c r="U262" s="471"/>
      <c r="V262" s="266"/>
      <c r="W262" s="266"/>
      <c r="X262" s="267"/>
      <c r="Y262" s="268"/>
      <c r="Z262" s="267"/>
      <c r="AA262" s="268"/>
      <c r="AB262" s="267"/>
      <c r="AC262" s="268"/>
      <c r="AD262" s="267"/>
      <c r="AE262" s="268"/>
      <c r="AF262" s="267"/>
      <c r="AG262" s="289"/>
    </row>
    <row r="263" spans="1:33" s="229" customFormat="1" x14ac:dyDescent="0.15">
      <c r="A263" s="413">
        <v>25</v>
      </c>
      <c r="B263" s="580"/>
      <c r="C263" s="580"/>
      <c r="D263" s="580"/>
      <c r="E263" s="580"/>
      <c r="F263" s="455"/>
      <c r="G263" s="455"/>
      <c r="H263" s="455"/>
      <c r="I263" s="455"/>
      <c r="J263" s="455"/>
      <c r="K263" s="455"/>
      <c r="L263" s="455"/>
      <c r="M263" s="208"/>
      <c r="N263" s="432"/>
      <c r="O263" s="208"/>
      <c r="P263" s="433"/>
      <c r="Q263" s="360"/>
      <c r="R263" s="296"/>
      <c r="S263" s="228"/>
      <c r="T263" s="479"/>
      <c r="U263" s="471"/>
      <c r="V263" s="266"/>
      <c r="W263" s="266"/>
      <c r="X263" s="267"/>
      <c r="Y263" s="268"/>
      <c r="Z263" s="267"/>
      <c r="AA263" s="268"/>
      <c r="AB263" s="267"/>
      <c r="AC263" s="268"/>
      <c r="AD263" s="267"/>
      <c r="AE263" s="268"/>
      <c r="AF263" s="267"/>
      <c r="AG263" s="289"/>
    </row>
    <row r="264" spans="1:33" s="229" customFormat="1" x14ac:dyDescent="0.15">
      <c r="A264" s="413">
        <v>26</v>
      </c>
      <c r="B264" s="580"/>
      <c r="C264" s="580"/>
      <c r="D264" s="580"/>
      <c r="E264" s="580"/>
      <c r="F264" s="455"/>
      <c r="G264" s="455"/>
      <c r="H264" s="455"/>
      <c r="I264" s="455"/>
      <c r="J264" s="455"/>
      <c r="K264" s="455"/>
      <c r="L264" s="455"/>
      <c r="M264" s="208"/>
      <c r="N264" s="432"/>
      <c r="O264" s="208"/>
      <c r="P264" s="433"/>
      <c r="Q264" s="360"/>
      <c r="R264" s="296"/>
      <c r="S264" s="228"/>
      <c r="T264" s="479"/>
      <c r="U264" s="471"/>
      <c r="V264" s="266"/>
      <c r="W264" s="266"/>
      <c r="X264" s="267"/>
      <c r="Y264" s="268"/>
      <c r="Z264" s="267"/>
      <c r="AA264" s="268"/>
      <c r="AB264" s="267"/>
      <c r="AC264" s="268"/>
      <c r="AD264" s="267"/>
      <c r="AE264" s="268"/>
      <c r="AF264" s="267"/>
      <c r="AG264" s="289"/>
    </row>
    <row r="265" spans="1:33" s="229" customFormat="1" x14ac:dyDescent="0.15">
      <c r="A265" s="413">
        <v>27</v>
      </c>
      <c r="B265" s="580"/>
      <c r="C265" s="580"/>
      <c r="D265" s="580"/>
      <c r="E265" s="580"/>
      <c r="F265" s="455"/>
      <c r="G265" s="455"/>
      <c r="H265" s="455"/>
      <c r="I265" s="455"/>
      <c r="J265" s="455"/>
      <c r="K265" s="455"/>
      <c r="L265" s="455"/>
      <c r="M265" s="208"/>
      <c r="N265" s="432"/>
      <c r="O265" s="208"/>
      <c r="P265" s="433"/>
      <c r="Q265" s="360"/>
      <c r="R265" s="296"/>
      <c r="S265" s="228"/>
      <c r="T265" s="479"/>
      <c r="U265" s="471"/>
      <c r="V265" s="266"/>
      <c r="W265" s="266"/>
      <c r="X265" s="267"/>
      <c r="Y265" s="268"/>
      <c r="Z265" s="267"/>
      <c r="AA265" s="268"/>
      <c r="AB265" s="267"/>
      <c r="AC265" s="268"/>
      <c r="AD265" s="267"/>
      <c r="AE265" s="268"/>
      <c r="AF265" s="267"/>
      <c r="AG265" s="289"/>
    </row>
    <row r="266" spans="1:33" s="229" customFormat="1" x14ac:dyDescent="0.15">
      <c r="A266" s="567" t="s">
        <v>919</v>
      </c>
      <c r="B266" s="568"/>
      <c r="C266" s="568"/>
      <c r="D266" s="568"/>
      <c r="E266" s="568"/>
      <c r="F266" s="568"/>
      <c r="G266" s="568"/>
      <c r="H266" s="568"/>
      <c r="I266" s="568"/>
      <c r="J266" s="568"/>
      <c r="K266" s="568"/>
      <c r="L266" s="569"/>
      <c r="M266" s="224">
        <f>SUMIF($Q$239:$Q$261,A266,$M$239:$M$261)</f>
        <v>31.0137882</v>
      </c>
      <c r="N266" s="58"/>
      <c r="O266" s="72"/>
      <c r="P266" s="58"/>
      <c r="Q266" s="363"/>
      <c r="R266" s="361"/>
      <c r="S266" s="296"/>
      <c r="T266" s="486"/>
      <c r="U266" s="471"/>
      <c r="V266" s="266"/>
      <c r="W266" s="266"/>
      <c r="X266" s="267"/>
      <c r="Y266" s="268"/>
      <c r="Z266" s="267"/>
      <c r="AA266" s="268"/>
      <c r="AB266" s="267"/>
      <c r="AC266" s="268"/>
      <c r="AD266" s="267"/>
      <c r="AE266" s="268"/>
      <c r="AF266" s="267"/>
      <c r="AG266" s="289"/>
    </row>
    <row r="267" spans="1:33" s="229" customFormat="1" x14ac:dyDescent="0.15">
      <c r="A267" s="567" t="s">
        <v>920</v>
      </c>
      <c r="B267" s="568"/>
      <c r="C267" s="568"/>
      <c r="D267" s="568"/>
      <c r="E267" s="568"/>
      <c r="F267" s="568"/>
      <c r="G267" s="568"/>
      <c r="H267" s="568"/>
      <c r="I267" s="568"/>
      <c r="J267" s="568"/>
      <c r="K267" s="568"/>
      <c r="L267" s="569"/>
      <c r="M267" s="224">
        <f>SUMIF($Q$239:$Q$261,A267,$M$239:$M$261)</f>
        <v>2.2787490400000001</v>
      </c>
      <c r="N267" s="58"/>
      <c r="O267" s="72"/>
      <c r="P267" s="58"/>
      <c r="Q267" s="363"/>
      <c r="R267" s="361"/>
      <c r="S267" s="296"/>
      <c r="T267" s="486"/>
      <c r="U267" s="471"/>
      <c r="V267" s="266"/>
      <c r="W267" s="266"/>
      <c r="X267" s="267"/>
      <c r="Y267" s="268"/>
      <c r="Z267" s="267"/>
      <c r="AA267" s="268"/>
      <c r="AB267" s="267"/>
      <c r="AC267" s="268"/>
      <c r="AD267" s="267"/>
      <c r="AE267" s="268"/>
      <c r="AF267" s="267"/>
      <c r="AG267" s="289"/>
    </row>
    <row r="268" spans="1:33" s="229" customFormat="1" x14ac:dyDescent="0.15">
      <c r="A268" s="567" t="s">
        <v>921</v>
      </c>
      <c r="B268" s="568"/>
      <c r="C268" s="568"/>
      <c r="D268" s="568"/>
      <c r="E268" s="568"/>
      <c r="F268" s="568"/>
      <c r="G268" s="568"/>
      <c r="H268" s="568"/>
      <c r="I268" s="568"/>
      <c r="J268" s="568"/>
      <c r="K268" s="568"/>
      <c r="L268" s="569"/>
      <c r="M268" s="224">
        <f>SUMIF($Q$239:$Q$261,A268,$M$239:$M$261)</f>
        <v>1.3405358000000001</v>
      </c>
      <c r="N268" s="58"/>
      <c r="O268" s="72"/>
      <c r="P268" s="58"/>
      <c r="Q268" s="363"/>
      <c r="R268" s="361"/>
      <c r="S268" s="296"/>
      <c r="T268" s="486"/>
      <c r="U268" s="471"/>
      <c r="V268" s="266"/>
      <c r="W268" s="266"/>
      <c r="X268" s="267"/>
      <c r="Y268" s="268"/>
      <c r="Z268" s="267"/>
      <c r="AA268" s="268"/>
      <c r="AB268" s="267"/>
      <c r="AC268" s="268"/>
      <c r="AD268" s="267"/>
      <c r="AE268" s="268"/>
      <c r="AF268" s="267"/>
      <c r="AG268" s="289"/>
    </row>
    <row r="269" spans="1:33" x14ac:dyDescent="0.15">
      <c r="A269" s="61"/>
      <c r="B269" s="571"/>
      <c r="C269" s="572"/>
      <c r="D269" s="572"/>
      <c r="E269" s="573"/>
      <c r="F269" s="552" t="s">
        <v>48</v>
      </c>
      <c r="G269" s="557"/>
      <c r="H269" s="557"/>
      <c r="I269" s="557"/>
      <c r="J269" s="557"/>
      <c r="K269" s="557"/>
      <c r="L269" s="553"/>
      <c r="M269" s="62">
        <f>SUM(M266:M268)</f>
        <v>34.633073039999999</v>
      </c>
      <c r="N269" s="63"/>
      <c r="O269" s="62">
        <f>SUM(O239:O261)</f>
        <v>0</v>
      </c>
      <c r="P269" s="63"/>
      <c r="Q269" s="337"/>
      <c r="R269" s="64"/>
      <c r="S269" s="64"/>
      <c r="T269" s="480"/>
      <c r="X269" s="264"/>
      <c r="Y269" s="265"/>
      <c r="Z269" s="264"/>
      <c r="AA269" s="265"/>
      <c r="AB269" s="264"/>
      <c r="AC269" s="265"/>
      <c r="AD269" s="264"/>
      <c r="AE269" s="265"/>
      <c r="AF269" s="264"/>
      <c r="AG269" s="288"/>
    </row>
    <row r="270" spans="1:33" ht="24" x14ac:dyDescent="0.15">
      <c r="A270" s="65"/>
      <c r="B270" s="560" t="s">
        <v>49</v>
      </c>
      <c r="C270" s="561"/>
      <c r="D270" s="561"/>
      <c r="E270" s="562"/>
      <c r="F270" s="565" t="s">
        <v>26</v>
      </c>
      <c r="G270" s="566"/>
      <c r="H270" s="66" t="s">
        <v>1335</v>
      </c>
      <c r="I270" s="351" t="s">
        <v>1336</v>
      </c>
      <c r="J270" s="66" t="s">
        <v>50</v>
      </c>
      <c r="K270" s="66" t="s">
        <v>51</v>
      </c>
      <c r="L270" s="67" t="s">
        <v>30</v>
      </c>
      <c r="M270" s="66" t="s">
        <v>52</v>
      </c>
      <c r="N270" s="68" t="s">
        <v>53</v>
      </c>
      <c r="O270" s="68" t="s">
        <v>34</v>
      </c>
      <c r="P270" s="69" t="s">
        <v>35</v>
      </c>
      <c r="Q270" s="42"/>
      <c r="R270" s="67"/>
      <c r="S270" s="67"/>
      <c r="T270" s="481"/>
      <c r="V270" s="270" t="s">
        <v>352</v>
      </c>
      <c r="W270" s="270" t="s">
        <v>353</v>
      </c>
      <c r="X270" s="271" t="s">
        <v>352</v>
      </c>
      <c r="Y270" s="272" t="s">
        <v>353</v>
      </c>
      <c r="Z270" s="271" t="s">
        <v>352</v>
      </c>
      <c r="AA270" s="272" t="s">
        <v>353</v>
      </c>
      <c r="AB270" s="271" t="s">
        <v>352</v>
      </c>
      <c r="AC270" s="272" t="s">
        <v>353</v>
      </c>
      <c r="AD270" s="271" t="s">
        <v>352</v>
      </c>
      <c r="AE270" s="272" t="s">
        <v>353</v>
      </c>
      <c r="AF270" s="271"/>
      <c r="AG270" s="290"/>
    </row>
    <row r="271" spans="1:33" x14ac:dyDescent="0.15">
      <c r="A271" s="220">
        <v>1</v>
      </c>
      <c r="B271" s="545" t="s">
        <v>133</v>
      </c>
      <c r="C271" s="546"/>
      <c r="D271" s="546"/>
      <c r="E271" s="547"/>
      <c r="F271" s="545" t="s">
        <v>55</v>
      </c>
      <c r="G271" s="547"/>
      <c r="H271" s="45" t="s">
        <v>1630</v>
      </c>
      <c r="I271" s="207" t="s">
        <v>1351</v>
      </c>
      <c r="J271" s="46">
        <f>IF(G224=55,M231-V271,IF(G224=551,M231-X271,IF(G224=60,M231-Z271,IF(G224=601,M231-AB271,IF(G224=65,M231-AD271,IF(G224=50,M231-AF271))))))</f>
        <v>497</v>
      </c>
      <c r="K271" s="70">
        <f>IF(G224=55,M228-W271,IF(G224=551,M228-Y271,IF(G224=60,M228-AA271,IF(G224=601,M228-AC271,IF(G224=65,M228-AE271,IF(G224=50,M228-AG271))))))</f>
        <v>2079</v>
      </c>
      <c r="L271" s="70">
        <v>1</v>
      </c>
      <c r="M271" s="46">
        <f>J271*K271*L271/1000000</f>
        <v>1.033263</v>
      </c>
      <c r="N271" s="46"/>
      <c r="O271" s="46">
        <f>N271*M271</f>
        <v>0</v>
      </c>
      <c r="P271" s="71"/>
      <c r="Q271" s="71"/>
      <c r="R271" s="72"/>
      <c r="S271" s="72"/>
      <c r="T271" s="482" t="s">
        <v>1612</v>
      </c>
      <c r="U271" s="470" t="s">
        <v>1611</v>
      </c>
      <c r="V271" s="259">
        <f>110.5+92.5</f>
        <v>203</v>
      </c>
      <c r="W271" s="259">
        <f>110.5*2</f>
        <v>221</v>
      </c>
      <c r="X271" s="286">
        <f>110.5+92.5</f>
        <v>203</v>
      </c>
      <c r="Y271" s="304">
        <f>110.5*2</f>
        <v>221</v>
      </c>
      <c r="Z271" s="286">
        <f>110.5+92.5</f>
        <v>203</v>
      </c>
      <c r="AA271" s="304">
        <f>110.5*2</f>
        <v>221</v>
      </c>
      <c r="AB271" s="286">
        <f>110.5+92.5</f>
        <v>203</v>
      </c>
      <c r="AC271" s="304">
        <f>110.5*2</f>
        <v>221</v>
      </c>
      <c r="AD271" s="286">
        <f>108.5+90.5</f>
        <v>199</v>
      </c>
      <c r="AE271" s="496">
        <f>108.5*2</f>
        <v>217</v>
      </c>
      <c r="AF271" s="264"/>
      <c r="AG271" s="288"/>
    </row>
    <row r="272" spans="1:33" x14ac:dyDescent="0.15">
      <c r="A272" s="238">
        <v>2</v>
      </c>
      <c r="B272" s="545" t="s">
        <v>855</v>
      </c>
      <c r="C272" s="546"/>
      <c r="D272" s="546"/>
      <c r="E272" s="547"/>
      <c r="F272" s="545" t="s">
        <v>135</v>
      </c>
      <c r="G272" s="547"/>
      <c r="H272" s="207" t="s">
        <v>1375</v>
      </c>
      <c r="I272" s="207" t="s">
        <v>1376</v>
      </c>
      <c r="J272" s="208">
        <f>IF(G224=55,M232-V272,IF(G224=551,M232-X272,IF(G224=60,M232-Z272,IF(G224=601,M232-AB272,IF(G224=65,M232-AD272,IF(G224=50,M232-AF272))))))</f>
        <v>572.94000000000005</v>
      </c>
      <c r="K272" s="239">
        <f>IF(G224=55,M228-W272,IF(G224=551,M228-Y272,IF(G224=60,M228-AA272,IF(G224=601,M228-AC272,IF(G224=65,M228-AE272,IF(G224=50,M228-AG272))))))</f>
        <v>2154.6799999999998</v>
      </c>
      <c r="L272" s="239">
        <v>1</v>
      </c>
      <c r="M272" s="46">
        <f>J272*K272*L272/1000000</f>
        <v>1.2345023592</v>
      </c>
      <c r="N272" s="208"/>
      <c r="O272" s="46">
        <f>N272*M272</f>
        <v>0</v>
      </c>
      <c r="P272" s="240"/>
      <c r="Q272" s="71"/>
      <c r="R272" s="209"/>
      <c r="S272" s="209"/>
      <c r="T272" s="482" t="s">
        <v>1615</v>
      </c>
      <c r="U272" s="470" t="s">
        <v>1614</v>
      </c>
      <c r="V272" s="259">
        <f>54.4+72.66</f>
        <v>127.06</v>
      </c>
      <c r="W272" s="259">
        <f>72.66*2</f>
        <v>145.32</v>
      </c>
      <c r="X272" s="286">
        <f>54.4+72.66</f>
        <v>127.06</v>
      </c>
      <c r="Y272" s="304">
        <f>72.66*2</f>
        <v>145.32</v>
      </c>
      <c r="Z272" s="286">
        <f>54.4+72.66</f>
        <v>127.06</v>
      </c>
      <c r="AA272" s="304">
        <f>72.66*2</f>
        <v>145.32</v>
      </c>
      <c r="AB272" s="286">
        <f>54.4+72.66</f>
        <v>127.06</v>
      </c>
      <c r="AC272" s="304">
        <f>72.66*2</f>
        <v>145.32</v>
      </c>
      <c r="AD272" s="286">
        <f>52.4+72.66</f>
        <v>125.06</v>
      </c>
      <c r="AE272" s="304">
        <f>72.66*2</f>
        <v>145.32</v>
      </c>
      <c r="AF272" s="264"/>
      <c r="AG272" s="288"/>
    </row>
    <row r="273" spans="1:33" x14ac:dyDescent="0.15">
      <c r="A273" s="220"/>
      <c r="B273" s="545"/>
      <c r="C273" s="546"/>
      <c r="D273" s="546"/>
      <c r="E273" s="547"/>
      <c r="F273" s="545"/>
      <c r="G273" s="547"/>
      <c r="H273" s="45"/>
      <c r="I273" s="207"/>
      <c r="J273" s="45"/>
      <c r="K273" s="45"/>
      <c r="L273" s="70"/>
      <c r="M273" s="46"/>
      <c r="N273" s="46"/>
      <c r="O273" s="46"/>
      <c r="P273" s="71"/>
      <c r="Q273" s="71"/>
      <c r="R273" s="72"/>
      <c r="S273" s="72"/>
      <c r="T273" s="482"/>
      <c r="X273" s="264"/>
      <c r="Y273" s="265"/>
      <c r="Z273" s="264"/>
      <c r="AA273" s="265"/>
      <c r="AB273" s="264"/>
      <c r="AC273" s="265"/>
      <c r="AD273" s="264"/>
      <c r="AE273" s="265"/>
      <c r="AF273" s="264"/>
      <c r="AG273" s="288"/>
    </row>
    <row r="274" spans="1:33" x14ac:dyDescent="0.15">
      <c r="A274" s="220"/>
      <c r="B274" s="545"/>
      <c r="C274" s="546"/>
      <c r="D274" s="546"/>
      <c r="E274" s="547"/>
      <c r="F274" s="545"/>
      <c r="G274" s="547"/>
      <c r="H274" s="45"/>
      <c r="I274" s="207"/>
      <c r="J274" s="46"/>
      <c r="K274" s="220"/>
      <c r="L274" s="70"/>
      <c r="M274" s="46"/>
      <c r="N274" s="46"/>
      <c r="O274" s="46"/>
      <c r="P274" s="48"/>
      <c r="Q274" s="48"/>
      <c r="R274" s="73"/>
      <c r="S274" s="73"/>
      <c r="T274" s="478"/>
      <c r="X274" s="264"/>
      <c r="Y274" s="265"/>
      <c r="Z274" s="264"/>
      <c r="AA274" s="265"/>
    </row>
    <row r="275" spans="1:33" x14ac:dyDescent="0.15">
      <c r="A275" s="74"/>
      <c r="B275" s="571"/>
      <c r="C275" s="572"/>
      <c r="D275" s="572"/>
      <c r="E275" s="573"/>
      <c r="F275" s="554" t="s">
        <v>56</v>
      </c>
      <c r="G275" s="554"/>
      <c r="H275" s="554"/>
      <c r="I275" s="579"/>
      <c r="J275" s="570"/>
      <c r="K275" s="570"/>
      <c r="L275" s="554"/>
      <c r="M275" s="62">
        <f>SUM(M271:M274)</f>
        <v>2.2677653592000002</v>
      </c>
      <c r="N275" s="218"/>
      <c r="O275" s="62">
        <f>SUM(O271:O274)</f>
        <v>0</v>
      </c>
      <c r="P275" s="63" t="s">
        <v>57</v>
      </c>
      <c r="Q275" s="337"/>
      <c r="R275" s="64"/>
      <c r="S275" s="64"/>
      <c r="T275" s="480"/>
    </row>
    <row r="276" spans="1:33" ht="24" x14ac:dyDescent="0.15">
      <c r="A276" s="65"/>
      <c r="B276" s="560" t="s">
        <v>58</v>
      </c>
      <c r="C276" s="561"/>
      <c r="D276" s="561"/>
      <c r="E276" s="562"/>
      <c r="F276" s="565" t="s">
        <v>26</v>
      </c>
      <c r="G276" s="566"/>
      <c r="H276" s="66" t="s">
        <v>59</v>
      </c>
      <c r="I276" s="351"/>
      <c r="J276" s="66" t="s">
        <v>60</v>
      </c>
      <c r="K276" s="66" t="s">
        <v>6</v>
      </c>
      <c r="L276" s="67" t="s">
        <v>61</v>
      </c>
      <c r="M276" s="66" t="s">
        <v>30</v>
      </c>
      <c r="N276" s="68" t="s">
        <v>62</v>
      </c>
      <c r="O276" s="68" t="s">
        <v>34</v>
      </c>
      <c r="P276" s="69" t="s">
        <v>57</v>
      </c>
      <c r="Q276" s="42"/>
      <c r="R276" s="67"/>
      <c r="S276" s="67"/>
      <c r="T276" s="481"/>
    </row>
    <row r="277" spans="1:33" ht="25.5" customHeight="1" x14ac:dyDescent="0.15">
      <c r="A277" s="220">
        <v>1</v>
      </c>
      <c r="B277" s="545"/>
      <c r="C277" s="546"/>
      <c r="D277" s="546"/>
      <c r="E277" s="547"/>
      <c r="F277" s="545" t="s">
        <v>852</v>
      </c>
      <c r="G277" s="547"/>
      <c r="H277" s="45"/>
      <c r="I277" s="207"/>
      <c r="J277" s="45"/>
      <c r="K277" s="46" t="str">
        <f>VLOOKUP($F:$F,材料单价表!$B$3:$G$42,4,0)</f>
        <v>套</v>
      </c>
      <c r="L277" s="72"/>
      <c r="M277" s="46">
        <v>1</v>
      </c>
      <c r="N277" s="46">
        <f>VLOOKUP($F:$F,材料单价表!$B$3:$G$42,5,0)</f>
        <v>0</v>
      </c>
      <c r="O277" s="46">
        <f t="shared" ref="O277" si="42">N277*M277</f>
        <v>0</v>
      </c>
      <c r="P277" s="48"/>
      <c r="Q277" s="48"/>
      <c r="R277" s="73"/>
      <c r="S277" s="73"/>
      <c r="T277" s="478"/>
    </row>
    <row r="278" spans="1:33" ht="25.5" customHeight="1" x14ac:dyDescent="0.15">
      <c r="A278" s="258"/>
      <c r="B278" s="545"/>
      <c r="C278" s="546"/>
      <c r="D278" s="546"/>
      <c r="E278" s="547"/>
      <c r="F278" s="545"/>
      <c r="G278" s="547"/>
      <c r="H278" s="45"/>
      <c r="I278" s="207"/>
      <c r="J278" s="45"/>
      <c r="K278" s="46"/>
      <c r="L278" s="72"/>
      <c r="M278" s="46"/>
      <c r="N278" s="46"/>
      <c r="O278" s="46"/>
      <c r="P278" s="48"/>
      <c r="Q278" s="48"/>
      <c r="R278" s="73"/>
      <c r="S278" s="73"/>
      <c r="T278" s="478"/>
    </row>
    <row r="279" spans="1:33" x14ac:dyDescent="0.15">
      <c r="A279" s="74"/>
      <c r="B279" s="571"/>
      <c r="C279" s="572"/>
      <c r="D279" s="572"/>
      <c r="E279" s="573"/>
      <c r="F279" s="554" t="s">
        <v>64</v>
      </c>
      <c r="G279" s="554"/>
      <c r="H279" s="554"/>
      <c r="I279" s="579"/>
      <c r="J279" s="570"/>
      <c r="K279" s="570"/>
      <c r="L279" s="554"/>
      <c r="M279" s="62">
        <f>M277</f>
        <v>1</v>
      </c>
      <c r="N279" s="218"/>
      <c r="O279" s="62">
        <f>SUM(O277:O277)</f>
        <v>0</v>
      </c>
      <c r="P279" s="63" t="s">
        <v>57</v>
      </c>
      <c r="Q279" s="337"/>
      <c r="R279" s="64"/>
      <c r="S279" s="64"/>
      <c r="T279" s="480"/>
    </row>
    <row r="280" spans="1:33" ht="24" x14ac:dyDescent="0.15">
      <c r="A280" s="65"/>
      <c r="B280" s="560" t="s">
        <v>65</v>
      </c>
      <c r="C280" s="561"/>
      <c r="D280" s="561"/>
      <c r="E280" s="562"/>
      <c r="F280" s="565" t="s">
        <v>26</v>
      </c>
      <c r="G280" s="566"/>
      <c r="H280" s="66" t="s">
        <v>59</v>
      </c>
      <c r="I280" s="351"/>
      <c r="J280" s="66" t="s">
        <v>60</v>
      </c>
      <c r="K280" s="66" t="s">
        <v>6</v>
      </c>
      <c r="L280" s="67" t="s">
        <v>61</v>
      </c>
      <c r="M280" s="66" t="s">
        <v>30</v>
      </c>
      <c r="N280" s="68" t="s">
        <v>62</v>
      </c>
      <c r="O280" s="68" t="s">
        <v>34</v>
      </c>
      <c r="P280" s="69" t="s">
        <v>57</v>
      </c>
      <c r="Q280" s="42"/>
      <c r="R280" s="67"/>
      <c r="S280" s="67"/>
      <c r="T280" s="481"/>
    </row>
    <row r="281" spans="1:33" ht="13.5" customHeight="1" x14ac:dyDescent="0.15">
      <c r="A281" s="76">
        <v>1</v>
      </c>
      <c r="B281" s="545"/>
      <c r="C281" s="546"/>
      <c r="D281" s="546"/>
      <c r="E281" s="547"/>
      <c r="F281" s="558" t="s">
        <v>66</v>
      </c>
      <c r="G281" s="559"/>
      <c r="H281" s="78"/>
      <c r="I281" s="352"/>
      <c r="J281" s="77"/>
      <c r="K281" s="46" t="str">
        <f>VLOOKUP($F:$F,材料单价表!$B$3:$G$42,4,0)</f>
        <v>m</v>
      </c>
      <c r="L281" s="46"/>
      <c r="M281" s="80">
        <f>M237/30</f>
        <v>0.26</v>
      </c>
      <c r="N281" s="46">
        <f>VLOOKUP($F:$F,材料单价表!$B$3:$G$42,5,0)</f>
        <v>0</v>
      </c>
      <c r="O281" s="46">
        <f>N281*M281</f>
        <v>0</v>
      </c>
      <c r="P281" s="48"/>
      <c r="Q281" s="59"/>
      <c r="R281" s="81"/>
      <c r="S281" s="79"/>
      <c r="T281" s="483"/>
    </row>
    <row r="282" spans="1:33" ht="15.75" customHeight="1" x14ac:dyDescent="0.15">
      <c r="A282" s="76">
        <v>2</v>
      </c>
      <c r="B282" s="545"/>
      <c r="C282" s="546"/>
      <c r="D282" s="546"/>
      <c r="E282" s="547"/>
      <c r="F282" s="558" t="s">
        <v>68</v>
      </c>
      <c r="G282" s="559"/>
      <c r="H282" s="78" t="s">
        <v>67</v>
      </c>
      <c r="I282" s="352"/>
      <c r="J282" s="77"/>
      <c r="K282" s="46" t="str">
        <f>VLOOKUP($F:$F,材料单价表!$B$3:$G$42,4,0)</f>
        <v>m</v>
      </c>
      <c r="L282" s="46"/>
      <c r="M282" s="80">
        <f>(J248*K248+J250*K250+J249*K249+J251*K251)/1000*2</f>
        <v>21.296720000000001</v>
      </c>
      <c r="N282" s="46">
        <f>VLOOKUP($F:$F,材料单价表!$B$3:$G$42,5,0)</f>
        <v>0</v>
      </c>
      <c r="O282" s="46">
        <f t="shared" ref="O282:O287" si="43">N282*M282</f>
        <v>0</v>
      </c>
      <c r="P282" s="48"/>
      <c r="Q282" s="59"/>
      <c r="R282" s="81"/>
      <c r="S282" s="79"/>
      <c r="T282" s="483"/>
      <c r="V282" s="104"/>
      <c r="W282" s="104"/>
    </row>
    <row r="283" spans="1:33" ht="13.5" customHeight="1" x14ac:dyDescent="0.15">
      <c r="A283" s="76">
        <v>3</v>
      </c>
      <c r="B283" s="545"/>
      <c r="C283" s="546"/>
      <c r="D283" s="546"/>
      <c r="E283" s="547"/>
      <c r="F283" s="558" t="s">
        <v>68</v>
      </c>
      <c r="G283" s="559"/>
      <c r="H283" s="78" t="s">
        <v>69</v>
      </c>
      <c r="I283" s="352"/>
      <c r="J283" s="77"/>
      <c r="K283" s="46" t="str">
        <f>VLOOKUP($F:$F,材料单价表!$B$3:$G$42,4,0)</f>
        <v>m</v>
      </c>
      <c r="L283" s="46"/>
      <c r="M283" s="80">
        <f>M237</f>
        <v>7.8</v>
      </c>
      <c r="N283" s="46">
        <f>VLOOKUP($F:$F,材料单价表!$B$3:$G$42,5,0)</f>
        <v>0</v>
      </c>
      <c r="O283" s="46">
        <f t="shared" si="43"/>
        <v>0</v>
      </c>
      <c r="P283" s="48"/>
      <c r="Q283" s="59"/>
      <c r="R283" s="81"/>
      <c r="S283" s="79"/>
      <c r="T283" s="483"/>
      <c r="V283" s="104"/>
      <c r="W283" s="104"/>
    </row>
    <row r="284" spans="1:33" ht="13.5" customHeight="1" x14ac:dyDescent="0.15">
      <c r="A284" s="76">
        <v>4</v>
      </c>
      <c r="B284" s="545"/>
      <c r="C284" s="546"/>
      <c r="D284" s="546"/>
      <c r="E284" s="547"/>
      <c r="F284" s="558" t="s">
        <v>68</v>
      </c>
      <c r="G284" s="559"/>
      <c r="H284" s="78" t="s">
        <v>70</v>
      </c>
      <c r="I284" s="352"/>
      <c r="J284" s="77"/>
      <c r="K284" s="46" t="str">
        <f>VLOOKUP($F:$F,材料单价表!$B$3:$G$42,4,0)</f>
        <v>m</v>
      </c>
      <c r="L284" s="46"/>
      <c r="M284" s="80">
        <f>M237</f>
        <v>7.8</v>
      </c>
      <c r="N284" s="46">
        <f>VLOOKUP($F:$F,材料单价表!$B$3:$G$42,5,0)</f>
        <v>0</v>
      </c>
      <c r="O284" s="46">
        <f t="shared" si="43"/>
        <v>0</v>
      </c>
      <c r="P284" s="48"/>
      <c r="Q284" s="59"/>
      <c r="R284" s="81"/>
      <c r="S284" s="79"/>
      <c r="T284" s="483"/>
      <c r="V284" s="104"/>
      <c r="W284" s="104"/>
    </row>
    <row r="285" spans="1:33" ht="13.5" customHeight="1" x14ac:dyDescent="0.15">
      <c r="A285" s="76">
        <v>5</v>
      </c>
      <c r="B285" s="545"/>
      <c r="C285" s="546"/>
      <c r="D285" s="546"/>
      <c r="E285" s="547"/>
      <c r="F285" s="558" t="s">
        <v>71</v>
      </c>
      <c r="G285" s="559"/>
      <c r="H285" s="78"/>
      <c r="I285" s="352"/>
      <c r="J285" s="77"/>
      <c r="K285" s="46" t="str">
        <f>VLOOKUP($F:$F,材料单价表!$B$3:$G$42,4,0)</f>
        <v>个</v>
      </c>
      <c r="L285" s="79"/>
      <c r="M285" s="80">
        <f>K252+K253+K255</f>
        <v>10</v>
      </c>
      <c r="N285" s="46">
        <f>VLOOKUP($F:$F,材料单价表!$B$3:$G$42,5,0)</f>
        <v>0</v>
      </c>
      <c r="O285" s="46">
        <f t="shared" si="43"/>
        <v>0</v>
      </c>
      <c r="P285" s="48"/>
      <c r="Q285" s="59"/>
      <c r="R285" s="81"/>
      <c r="S285" s="79"/>
      <c r="T285" s="483"/>
    </row>
    <row r="286" spans="1:33" ht="13.5" customHeight="1" x14ac:dyDescent="0.15">
      <c r="A286" s="76">
        <v>6</v>
      </c>
      <c r="B286" s="545"/>
      <c r="C286" s="546"/>
      <c r="D286" s="546"/>
      <c r="E286" s="547"/>
      <c r="F286" s="558" t="s">
        <v>121</v>
      </c>
      <c r="G286" s="559"/>
      <c r="H286" s="78"/>
      <c r="I286" s="352"/>
      <c r="J286" s="77"/>
      <c r="K286" s="46" t="str">
        <f>VLOOKUP($F:$F,材料单价表!$B$3:$G$42,4,0)</f>
        <v>m</v>
      </c>
      <c r="L286" s="79"/>
      <c r="M286" s="80">
        <f>(J243*K243+J244*K244)/1000*2</f>
        <v>11.576000000000001</v>
      </c>
      <c r="N286" s="46">
        <f>VLOOKUP($F:$F,材料单价表!$B$3:$G$42,5,0)</f>
        <v>0</v>
      </c>
      <c r="O286" s="46">
        <f t="shared" si="43"/>
        <v>0</v>
      </c>
      <c r="P286" s="48"/>
      <c r="Q286" s="59"/>
      <c r="R286" s="81"/>
      <c r="S286" s="46"/>
      <c r="T286" s="484"/>
    </row>
    <row r="287" spans="1:33" x14ac:dyDescent="0.15">
      <c r="A287" s="76">
        <v>7</v>
      </c>
      <c r="B287" s="545"/>
      <c r="C287" s="546"/>
      <c r="D287" s="546"/>
      <c r="E287" s="547"/>
      <c r="F287" s="558" t="s">
        <v>72</v>
      </c>
      <c r="G287" s="559"/>
      <c r="H287" s="45"/>
      <c r="I287" s="207"/>
      <c r="J287" s="45"/>
      <c r="K287" s="46" t="str">
        <f>VLOOKUP($F:$F,材料单价表!$B$3:$G$42,4,0)</f>
        <v>m2</v>
      </c>
      <c r="L287" s="72"/>
      <c r="M287" s="46">
        <f>M293</f>
        <v>3.6</v>
      </c>
      <c r="N287" s="46">
        <f>VLOOKUP($F:$F,材料单价表!$B$3:$G$42,5,0)</f>
        <v>0</v>
      </c>
      <c r="O287" s="46">
        <f t="shared" si="43"/>
        <v>0</v>
      </c>
      <c r="P287" s="48"/>
      <c r="Q287" s="48"/>
      <c r="R287" s="73"/>
      <c r="S287" s="73"/>
      <c r="T287" s="478"/>
    </row>
    <row r="288" spans="1:33" x14ac:dyDescent="0.15">
      <c r="A288" s="76">
        <v>8</v>
      </c>
      <c r="B288" s="545"/>
      <c r="C288" s="546"/>
      <c r="D288" s="546"/>
      <c r="E288" s="547"/>
      <c r="F288" s="215"/>
      <c r="G288" s="216"/>
      <c r="H288" s="207"/>
      <c r="I288" s="207"/>
      <c r="J288" s="207"/>
      <c r="K288" s="208"/>
      <c r="L288" s="209"/>
      <c r="M288" s="208"/>
      <c r="N288" s="208"/>
      <c r="O288" s="208"/>
      <c r="P288" s="211"/>
      <c r="Q288" s="48"/>
      <c r="R288" s="212"/>
      <c r="S288" s="212"/>
      <c r="T288" s="478"/>
    </row>
    <row r="289" spans="1:20" x14ac:dyDescent="0.15">
      <c r="A289" s="76">
        <v>9</v>
      </c>
      <c r="B289" s="545"/>
      <c r="C289" s="546"/>
      <c r="D289" s="546"/>
      <c r="E289" s="547"/>
      <c r="F289" s="558"/>
      <c r="G289" s="559"/>
      <c r="H289" s="45"/>
      <c r="I289" s="207"/>
      <c r="J289" s="45"/>
      <c r="K289" s="45"/>
      <c r="L289" s="72"/>
      <c r="M289" s="46"/>
      <c r="N289" s="46"/>
      <c r="O289" s="82"/>
      <c r="P289" s="48"/>
      <c r="Q289" s="48"/>
      <c r="R289" s="73"/>
      <c r="S289" s="73"/>
      <c r="T289" s="478"/>
    </row>
    <row r="290" spans="1:20" x14ac:dyDescent="0.15">
      <c r="A290" s="74"/>
      <c r="B290" s="571"/>
      <c r="C290" s="572"/>
      <c r="D290" s="572"/>
      <c r="E290" s="573"/>
      <c r="F290" s="552" t="s">
        <v>73</v>
      </c>
      <c r="G290" s="557"/>
      <c r="H290" s="557"/>
      <c r="I290" s="557"/>
      <c r="J290" s="557"/>
      <c r="K290" s="557"/>
      <c r="L290" s="557"/>
      <c r="M290" s="61"/>
      <c r="N290" s="61"/>
      <c r="O290" s="62">
        <f>SUM(O281:O289)</f>
        <v>0</v>
      </c>
      <c r="P290" s="63" t="s">
        <v>57</v>
      </c>
      <c r="Q290" s="337"/>
      <c r="R290" s="64"/>
      <c r="S290" s="64"/>
      <c r="T290" s="480"/>
    </row>
    <row r="291" spans="1:20" x14ac:dyDescent="0.15">
      <c r="A291" s="74"/>
      <c r="B291" s="571"/>
      <c r="C291" s="572"/>
      <c r="D291" s="572"/>
      <c r="E291" s="573"/>
      <c r="F291" s="552" t="s">
        <v>74</v>
      </c>
      <c r="G291" s="557"/>
      <c r="H291" s="557"/>
      <c r="I291" s="557"/>
      <c r="J291" s="557"/>
      <c r="K291" s="557"/>
      <c r="L291" s="557"/>
      <c r="M291" s="557"/>
      <c r="N291" s="553"/>
      <c r="O291" s="62">
        <f>O290+O279+O275+O269</f>
        <v>0</v>
      </c>
      <c r="P291" s="63" t="s">
        <v>57</v>
      </c>
      <c r="Q291" s="337"/>
      <c r="R291" s="64"/>
      <c r="S291" s="64"/>
      <c r="T291" s="480"/>
    </row>
    <row r="292" spans="1:20" ht="24" x14ac:dyDescent="0.15">
      <c r="A292" s="65"/>
      <c r="B292" s="560" t="s">
        <v>75</v>
      </c>
      <c r="C292" s="561"/>
      <c r="D292" s="561"/>
      <c r="E292" s="562"/>
      <c r="F292" s="565" t="s">
        <v>26</v>
      </c>
      <c r="G292" s="566"/>
      <c r="H292" s="66"/>
      <c r="I292" s="351"/>
      <c r="J292" s="66"/>
      <c r="K292" s="66" t="s">
        <v>6</v>
      </c>
      <c r="L292" s="83" t="s">
        <v>61</v>
      </c>
      <c r="M292" s="66" t="s">
        <v>76</v>
      </c>
      <c r="N292" s="68" t="s">
        <v>62</v>
      </c>
      <c r="O292" s="68" t="s">
        <v>34</v>
      </c>
      <c r="P292" s="84" t="s">
        <v>57</v>
      </c>
      <c r="Q292" s="84"/>
      <c r="R292" s="67"/>
      <c r="S292" s="67"/>
      <c r="T292" s="481"/>
    </row>
    <row r="293" spans="1:20" x14ac:dyDescent="0.15">
      <c r="A293" s="220">
        <v>1</v>
      </c>
      <c r="B293" s="545"/>
      <c r="C293" s="546"/>
      <c r="D293" s="546"/>
      <c r="E293" s="547"/>
      <c r="F293" s="545" t="s">
        <v>77</v>
      </c>
      <c r="G293" s="547"/>
      <c r="H293" s="45"/>
      <c r="I293" s="207"/>
      <c r="J293" s="46"/>
      <c r="K293" s="45" t="s">
        <v>78</v>
      </c>
      <c r="L293" s="72"/>
      <c r="M293" s="85">
        <f>O224</f>
        <v>3.6</v>
      </c>
      <c r="N293" s="46">
        <f>VLOOKUP($F:$F,材料单价表!$B$3:$G$42,5,0)</f>
        <v>0</v>
      </c>
      <c r="O293" s="46">
        <f>N293*M293</f>
        <v>0</v>
      </c>
      <c r="P293" s="48"/>
      <c r="Q293" s="48"/>
      <c r="R293" s="72"/>
      <c r="S293" s="72"/>
      <c r="T293" s="482"/>
    </row>
    <row r="294" spans="1:20" x14ac:dyDescent="0.15">
      <c r="A294" s="220">
        <v>2</v>
      </c>
      <c r="B294" s="545"/>
      <c r="C294" s="546"/>
      <c r="D294" s="546"/>
      <c r="E294" s="547"/>
      <c r="F294" s="545" t="s">
        <v>79</v>
      </c>
      <c r="G294" s="547"/>
      <c r="H294" s="45"/>
      <c r="I294" s="207"/>
      <c r="J294" s="46"/>
      <c r="K294" s="45" t="s">
        <v>78</v>
      </c>
      <c r="L294" s="72"/>
      <c r="M294" s="85">
        <f>M293</f>
        <v>3.6</v>
      </c>
      <c r="N294" s="46">
        <f>VLOOKUP($F:$F,材料单价表!$B$3:$G$42,5,0)</f>
        <v>0</v>
      </c>
      <c r="O294" s="46">
        <f>N294*M294</f>
        <v>0</v>
      </c>
      <c r="P294" s="48"/>
      <c r="Q294" s="48"/>
      <c r="R294" s="72"/>
      <c r="S294" s="72"/>
      <c r="T294" s="482"/>
    </row>
    <row r="295" spans="1:20" ht="24.75" customHeight="1" x14ac:dyDescent="0.15">
      <c r="A295" s="74"/>
      <c r="B295" s="571"/>
      <c r="C295" s="572"/>
      <c r="D295" s="572"/>
      <c r="E295" s="573"/>
      <c r="F295" s="552" t="s">
        <v>80</v>
      </c>
      <c r="G295" s="553"/>
      <c r="H295" s="217"/>
      <c r="I295" s="379"/>
      <c r="J295" s="554" t="s">
        <v>81</v>
      </c>
      <c r="K295" s="554"/>
      <c r="L295" s="554"/>
      <c r="M295" s="554"/>
      <c r="N295" s="87"/>
      <c r="O295" s="62">
        <f>O291+O293+O294</f>
        <v>0</v>
      </c>
      <c r="P295" s="63" t="s">
        <v>57</v>
      </c>
      <c r="Q295" s="337"/>
      <c r="R295" s="64"/>
      <c r="S295" s="64"/>
      <c r="T295" s="480"/>
    </row>
    <row r="296" spans="1:20" ht="24" customHeight="1" x14ac:dyDescent="0.15">
      <c r="A296" s="74"/>
      <c r="B296" s="571"/>
      <c r="C296" s="572"/>
      <c r="D296" s="572"/>
      <c r="E296" s="573"/>
      <c r="F296" s="555" t="s">
        <v>82</v>
      </c>
      <c r="G296" s="556"/>
      <c r="H296" s="219"/>
      <c r="I296" s="381"/>
      <c r="J296" s="552" t="s">
        <v>81</v>
      </c>
      <c r="K296" s="557"/>
      <c r="L296" s="557"/>
      <c r="M296" s="557"/>
      <c r="N296" s="62"/>
      <c r="O296" s="62">
        <f>O295/O224</f>
        <v>0</v>
      </c>
      <c r="P296" s="89" t="s">
        <v>57</v>
      </c>
      <c r="Q296" s="89"/>
      <c r="R296" s="90"/>
      <c r="S296" s="90"/>
      <c r="T296" s="485"/>
    </row>
    <row r="297" spans="1:20" ht="18.75" customHeight="1" x14ac:dyDescent="0.15">
      <c r="A297" s="549" t="s">
        <v>0</v>
      </c>
      <c r="B297" s="549"/>
      <c r="C297" s="549"/>
      <c r="D297" s="549"/>
      <c r="E297" s="549"/>
      <c r="F297" s="549"/>
      <c r="G297" s="549"/>
      <c r="H297" s="549"/>
      <c r="I297" s="549"/>
      <c r="J297" s="549"/>
      <c r="K297" s="549"/>
      <c r="L297" s="550"/>
      <c r="M297" s="549"/>
      <c r="N297" s="549"/>
      <c r="O297" s="549"/>
      <c r="P297" s="549"/>
      <c r="Q297" s="549"/>
      <c r="R297" s="551"/>
      <c r="S297" s="551"/>
      <c r="T297" s="474"/>
    </row>
    <row r="298" spans="1:20" ht="15" customHeight="1" x14ac:dyDescent="0.15">
      <c r="A298" s="2" t="s">
        <v>1</v>
      </c>
      <c r="B298" s="3" t="s">
        <v>966</v>
      </c>
      <c r="C298" s="3">
        <v>1</v>
      </c>
      <c r="D298" s="3"/>
      <c r="E298" s="3"/>
      <c r="F298" s="4" t="s">
        <v>2</v>
      </c>
      <c r="G298" s="5">
        <v>55</v>
      </c>
      <c r="H298" s="106" t="s">
        <v>86</v>
      </c>
      <c r="I298" s="106"/>
      <c r="J298" s="4" t="s">
        <v>3</v>
      </c>
      <c r="K298" s="6">
        <f>L301</f>
        <v>2700</v>
      </c>
      <c r="L298" s="7" t="s">
        <v>83</v>
      </c>
      <c r="M298" s="6">
        <f>L300</f>
        <v>2400</v>
      </c>
      <c r="N298" s="8" t="s">
        <v>4</v>
      </c>
      <c r="O298" s="9">
        <f>M310</f>
        <v>6.48</v>
      </c>
      <c r="P298" s="10"/>
      <c r="Q298" s="10"/>
      <c r="R298" s="10" t="s">
        <v>5</v>
      </c>
      <c r="S298" s="11"/>
      <c r="T298" s="475"/>
    </row>
    <row r="299" spans="1:20" ht="15" customHeight="1" x14ac:dyDescent="0.2">
      <c r="A299" s="12"/>
      <c r="B299" s="252"/>
      <c r="C299" s="252"/>
      <c r="D299" s="252"/>
      <c r="E299" s="252"/>
      <c r="F299" s="14"/>
      <c r="G299" s="14" t="s">
        <v>851</v>
      </c>
      <c r="H299" s="15"/>
      <c r="I299" s="15"/>
      <c r="J299" s="16"/>
      <c r="K299" s="16" t="s">
        <v>6</v>
      </c>
      <c r="L299" s="17" t="s">
        <v>7</v>
      </c>
      <c r="M299" s="16" t="s">
        <v>8</v>
      </c>
      <c r="N299" s="18"/>
      <c r="O299" s="548" t="s">
        <v>940</v>
      </c>
      <c r="P299" s="548"/>
      <c r="Q299" s="16" t="s">
        <v>1018</v>
      </c>
      <c r="R299" s="529" t="s">
        <v>1187</v>
      </c>
      <c r="S299" s="530" t="s">
        <v>1592</v>
      </c>
      <c r="T299" s="476"/>
    </row>
    <row r="300" spans="1:20" ht="15" customHeight="1" x14ac:dyDescent="0.2">
      <c r="A300" s="398" t="s">
        <v>918</v>
      </c>
      <c r="B300" s="406" t="s">
        <v>968</v>
      </c>
      <c r="C300"/>
      <c r="D300"/>
      <c r="E300"/>
      <c r="F300" s="23"/>
      <c r="G300" s="23"/>
      <c r="H300" s="107"/>
      <c r="I300" s="107"/>
      <c r="J300" s="24" t="s">
        <v>9</v>
      </c>
      <c r="K300" s="16" t="s">
        <v>10</v>
      </c>
      <c r="L300" s="25">
        <v>2400</v>
      </c>
      <c r="M300" s="113">
        <f>L300-M309*2</f>
        <v>2300</v>
      </c>
      <c r="N300" s="18"/>
      <c r="O300" s="356" t="s">
        <v>941</v>
      </c>
      <c r="P300" s="357"/>
      <c r="Q300" s="16" t="s">
        <v>1019</v>
      </c>
      <c r="R300" s="529"/>
      <c r="S300" s="530"/>
      <c r="T300" s="476"/>
    </row>
    <row r="301" spans="1:20" ht="15" customHeight="1" x14ac:dyDescent="0.2">
      <c r="A301" s="21"/>
      <c r="B301" s="22"/>
      <c r="C301" s="22"/>
      <c r="D301" s="22"/>
      <c r="E301" s="22"/>
      <c r="F301" s="23"/>
      <c r="G301" s="23"/>
      <c r="H301" s="18"/>
      <c r="I301" s="18"/>
      <c r="J301" s="24" t="s">
        <v>11</v>
      </c>
      <c r="K301" s="16" t="s">
        <v>10</v>
      </c>
      <c r="L301" s="25">
        <v>2700</v>
      </c>
      <c r="M301" s="113">
        <f>L301-M309*2</f>
        <v>2600</v>
      </c>
      <c r="N301" s="18"/>
      <c r="O301" s="356" t="s">
        <v>924</v>
      </c>
      <c r="P301" s="357"/>
      <c r="Q301" s="16" t="s">
        <v>1020</v>
      </c>
      <c r="R301" s="529" t="s">
        <v>1188</v>
      </c>
      <c r="S301" s="530" t="s">
        <v>1086</v>
      </c>
      <c r="T301" s="476"/>
    </row>
    <row r="302" spans="1:20" ht="15" customHeight="1" x14ac:dyDescent="0.2">
      <c r="A302" s="21"/>
      <c r="B302" s="22"/>
      <c r="C302" s="22"/>
      <c r="D302" s="22"/>
      <c r="E302" s="22"/>
      <c r="F302" s="23"/>
      <c r="G302" s="23"/>
      <c r="H302" s="18"/>
      <c r="I302" s="18"/>
      <c r="J302" s="24" t="s">
        <v>12</v>
      </c>
      <c r="K302" s="16" t="s">
        <v>10</v>
      </c>
      <c r="L302" s="26"/>
      <c r="M302" s="113">
        <f>M300-M303</f>
        <v>1350</v>
      </c>
      <c r="N302" s="18"/>
      <c r="O302" s="356" t="s">
        <v>925</v>
      </c>
      <c r="P302" s="357"/>
      <c r="Q302" s="16" t="s">
        <v>1021</v>
      </c>
      <c r="R302" s="529"/>
      <c r="S302" s="530"/>
      <c r="T302" s="476"/>
    </row>
    <row r="303" spans="1:20" ht="15" customHeight="1" x14ac:dyDescent="0.2">
      <c r="A303" s="21"/>
      <c r="B303" s="22"/>
      <c r="C303" s="22"/>
      <c r="D303" s="22"/>
      <c r="E303" s="22"/>
      <c r="F303" s="23"/>
      <c r="G303" s="23"/>
      <c r="H303" s="18"/>
      <c r="I303" s="18"/>
      <c r="J303" s="24" t="s">
        <v>13</v>
      </c>
      <c r="K303" s="16" t="s">
        <v>10</v>
      </c>
      <c r="L303" s="26"/>
      <c r="M303" s="113">
        <f>1000-M309</f>
        <v>950</v>
      </c>
      <c r="N303" s="18"/>
      <c r="O303" s="356" t="s">
        <v>926</v>
      </c>
      <c r="P303" s="357"/>
      <c r="Q303" s="16" t="s">
        <v>1022</v>
      </c>
      <c r="R303" s="27"/>
      <c r="S303" s="28"/>
      <c r="T303" s="476"/>
    </row>
    <row r="304" spans="1:20" ht="15" customHeight="1" x14ac:dyDescent="0.2">
      <c r="A304" s="21"/>
      <c r="B304" s="22"/>
      <c r="C304" s="22"/>
      <c r="D304" s="22"/>
      <c r="E304" s="22"/>
      <c r="F304" s="23"/>
      <c r="G304" s="23"/>
      <c r="H304" s="18"/>
      <c r="I304" s="18"/>
      <c r="J304" s="24" t="s">
        <v>14</v>
      </c>
      <c r="K304" s="16" t="s">
        <v>10</v>
      </c>
      <c r="L304" s="26"/>
      <c r="M304" s="113"/>
      <c r="N304" s="18"/>
      <c r="O304" s="356" t="s">
        <v>927</v>
      </c>
      <c r="P304" s="357"/>
      <c r="Q304" s="16" t="s">
        <v>1023</v>
      </c>
      <c r="R304" s="27"/>
      <c r="S304" s="28"/>
      <c r="T304" s="476"/>
    </row>
    <row r="305" spans="1:33" ht="15" customHeight="1" x14ac:dyDescent="0.2">
      <c r="A305" s="21"/>
      <c r="B305" s="22"/>
      <c r="C305" s="22"/>
      <c r="D305" s="22"/>
      <c r="E305" s="22"/>
      <c r="F305" s="23"/>
      <c r="G305" s="23"/>
      <c r="H305" s="18"/>
      <c r="I305" s="18"/>
      <c r="J305" s="24" t="s">
        <v>15</v>
      </c>
      <c r="K305" s="16" t="s">
        <v>10</v>
      </c>
      <c r="L305" s="26"/>
      <c r="M305" s="113">
        <v>1000</v>
      </c>
      <c r="N305" s="18"/>
      <c r="O305" s="356" t="s">
        <v>928</v>
      </c>
      <c r="P305" s="357"/>
      <c r="Q305" s="16" t="s">
        <v>1005</v>
      </c>
      <c r="R305" s="27"/>
      <c r="S305" s="28"/>
      <c r="T305" s="476"/>
    </row>
    <row r="306" spans="1:33" ht="15" customHeight="1" x14ac:dyDescent="0.2">
      <c r="A306" s="21"/>
      <c r="B306" s="22"/>
      <c r="C306" s="22"/>
      <c r="D306" s="22"/>
      <c r="E306" s="22"/>
      <c r="F306" s="23"/>
      <c r="G306" s="23"/>
      <c r="H306" s="18"/>
      <c r="I306" s="18"/>
      <c r="J306" s="24" t="s">
        <v>16</v>
      </c>
      <c r="K306" s="16" t="s">
        <v>10</v>
      </c>
      <c r="L306" s="26"/>
      <c r="M306" s="113">
        <f>M301-M305-M307</f>
        <v>900</v>
      </c>
      <c r="N306" s="18"/>
      <c r="O306" s="356" t="s">
        <v>929</v>
      </c>
      <c r="P306" s="357"/>
      <c r="Q306" s="16" t="s">
        <v>1024</v>
      </c>
      <c r="R306" s="27"/>
      <c r="S306" s="28"/>
      <c r="T306" s="476"/>
    </row>
    <row r="307" spans="1:33" ht="15" customHeight="1" x14ac:dyDescent="0.2">
      <c r="A307" s="21"/>
      <c r="B307" s="22"/>
      <c r="C307" s="22"/>
      <c r="D307" s="22"/>
      <c r="E307" s="22"/>
      <c r="F307" s="23"/>
      <c r="G307" s="23"/>
      <c r="H307" s="18"/>
      <c r="I307" s="18"/>
      <c r="J307" s="24" t="s">
        <v>17</v>
      </c>
      <c r="K307" s="16" t="s">
        <v>10</v>
      </c>
      <c r="L307" s="26"/>
      <c r="M307" s="113">
        <v>700</v>
      </c>
      <c r="N307" s="18"/>
      <c r="O307" s="356" t="s">
        <v>930</v>
      </c>
      <c r="P307" s="357"/>
      <c r="Q307" s="16" t="s">
        <v>931</v>
      </c>
      <c r="R307" s="27"/>
      <c r="S307" s="28"/>
      <c r="T307" s="476"/>
    </row>
    <row r="308" spans="1:33" ht="15" customHeight="1" x14ac:dyDescent="0.2">
      <c r="A308" s="21"/>
      <c r="B308" s="22"/>
      <c r="C308" s="22"/>
      <c r="D308" s="22"/>
      <c r="E308" s="22"/>
      <c r="F308" s="23"/>
      <c r="G308" s="23"/>
      <c r="H308" s="18"/>
      <c r="I308" s="18"/>
      <c r="J308" s="24" t="s">
        <v>18</v>
      </c>
      <c r="K308" s="16" t="s">
        <v>10</v>
      </c>
      <c r="L308" s="26"/>
      <c r="M308" s="113"/>
      <c r="N308" s="18"/>
      <c r="O308" s="356" t="s">
        <v>932</v>
      </c>
      <c r="P308" s="357"/>
      <c r="Q308" s="16" t="s">
        <v>933</v>
      </c>
      <c r="R308" s="27"/>
      <c r="S308" s="28"/>
      <c r="T308" s="476"/>
    </row>
    <row r="309" spans="1:33" ht="15" customHeight="1" x14ac:dyDescent="0.2">
      <c r="A309" s="21"/>
      <c r="B309" s="22"/>
      <c r="C309" s="22"/>
      <c r="D309" s="22"/>
      <c r="E309" s="22"/>
      <c r="F309" s="23"/>
      <c r="G309" s="23"/>
      <c r="H309" s="18"/>
      <c r="I309" s="18"/>
      <c r="J309" s="24" t="s">
        <v>19</v>
      </c>
      <c r="K309" s="16" t="s">
        <v>10</v>
      </c>
      <c r="L309" s="26"/>
      <c r="M309" s="25">
        <v>50</v>
      </c>
      <c r="N309" s="18"/>
      <c r="O309" s="356" t="s">
        <v>934</v>
      </c>
      <c r="P309" s="357"/>
      <c r="Q309" s="16" t="s">
        <v>935</v>
      </c>
      <c r="R309" s="27"/>
      <c r="S309" s="28"/>
      <c r="T309" s="476"/>
    </row>
    <row r="310" spans="1:33" ht="15" customHeight="1" x14ac:dyDescent="0.2">
      <c r="A310" s="21"/>
      <c r="B310" s="22"/>
      <c r="C310" s="22"/>
      <c r="D310" s="22"/>
      <c r="E310" s="22"/>
      <c r="F310" s="23"/>
      <c r="G310" s="23"/>
      <c r="H310" s="18"/>
      <c r="I310" s="18"/>
      <c r="J310" s="29" t="s">
        <v>20</v>
      </c>
      <c r="K310" s="16" t="s">
        <v>21</v>
      </c>
      <c r="L310" s="30"/>
      <c r="M310" s="31">
        <f>L300*L301/1000000</f>
        <v>6.48</v>
      </c>
      <c r="N310" s="18"/>
      <c r="O310" s="356" t="s">
        <v>936</v>
      </c>
      <c r="P310" s="357"/>
      <c r="Q310" s="16" t="s">
        <v>937</v>
      </c>
      <c r="R310" s="27"/>
      <c r="S310" s="28"/>
      <c r="T310" s="476"/>
    </row>
    <row r="311" spans="1:33" ht="15" customHeight="1" x14ac:dyDescent="0.2">
      <c r="A311" s="32"/>
      <c r="B311" s="33"/>
      <c r="C311" s="33"/>
      <c r="D311" s="33"/>
      <c r="E311" s="33"/>
      <c r="F311" s="34"/>
      <c r="G311" s="34"/>
      <c r="H311" s="35"/>
      <c r="I311" s="35"/>
      <c r="J311" s="29" t="s">
        <v>22</v>
      </c>
      <c r="K311" s="16" t="s">
        <v>23</v>
      </c>
      <c r="L311" s="30"/>
      <c r="M311" s="36">
        <f>(L301+L300)*2/1000</f>
        <v>10.199999999999999</v>
      </c>
      <c r="N311" s="35"/>
      <c r="O311" s="356" t="s">
        <v>938</v>
      </c>
      <c r="P311" s="357"/>
      <c r="Q311" s="16" t="s">
        <v>939</v>
      </c>
      <c r="R311" s="37"/>
      <c r="S311" s="38"/>
      <c r="T311" s="476"/>
    </row>
    <row r="312" spans="1:33" ht="48.75" customHeight="1" x14ac:dyDescent="0.15">
      <c r="A312" s="39" t="s">
        <v>24</v>
      </c>
      <c r="B312" s="560" t="s">
        <v>25</v>
      </c>
      <c r="C312" s="561"/>
      <c r="D312" s="561"/>
      <c r="E312" s="562"/>
      <c r="F312" s="40" t="s">
        <v>26</v>
      </c>
      <c r="G312" s="40" t="s">
        <v>27</v>
      </c>
      <c r="H312" s="40" t="s">
        <v>28</v>
      </c>
      <c r="I312" s="40" t="s">
        <v>1334</v>
      </c>
      <c r="J312" s="40" t="s">
        <v>29</v>
      </c>
      <c r="K312" s="40" t="s">
        <v>30</v>
      </c>
      <c r="L312" s="41" t="s">
        <v>31</v>
      </c>
      <c r="M312" s="40" t="s">
        <v>32</v>
      </c>
      <c r="N312" s="40" t="s">
        <v>33</v>
      </c>
      <c r="O312" s="40" t="s">
        <v>34</v>
      </c>
      <c r="P312" s="42" t="s">
        <v>35</v>
      </c>
      <c r="Q312" s="359" t="s">
        <v>962</v>
      </c>
      <c r="R312" s="43" t="s">
        <v>36</v>
      </c>
      <c r="S312" s="43" t="s">
        <v>37</v>
      </c>
      <c r="T312" s="477"/>
      <c r="V312" s="261" t="s">
        <v>128</v>
      </c>
      <c r="W312" s="261"/>
      <c r="X312" s="262" t="s">
        <v>359</v>
      </c>
      <c r="Y312" s="263"/>
      <c r="Z312" s="262" t="s">
        <v>355</v>
      </c>
      <c r="AA312" s="263"/>
      <c r="AB312" s="262" t="s">
        <v>360</v>
      </c>
      <c r="AC312" s="263"/>
      <c r="AD312" s="262" t="s">
        <v>127</v>
      </c>
      <c r="AE312" s="263"/>
      <c r="AF312" s="262"/>
      <c r="AG312" s="287"/>
    </row>
    <row r="313" spans="1:33" x14ac:dyDescent="0.15">
      <c r="A313" s="258">
        <v>1</v>
      </c>
      <c r="B313" s="531" t="s">
        <v>38</v>
      </c>
      <c r="C313" s="532"/>
      <c r="D313" s="532"/>
      <c r="E313" s="533"/>
      <c r="F313" s="47" t="str">
        <f>VLOOKUP($H:$H,型材表!$B$5:$I$448,2,0)</f>
        <v>边框</v>
      </c>
      <c r="G313" s="45" t="s">
        <v>39</v>
      </c>
      <c r="H313" s="45" t="str">
        <f>IF(G298=55,"SW55MK001",IF(G298=551,"SW55BMK001",IF(G298=60,"SW60MK001",IF(G298=601,"SW60AMK001",IF(G298=65,"SW65AMK001",IF(G298=50,"SW50MK001"))))))</f>
        <v>SW55MK001</v>
      </c>
      <c r="I313" s="207" t="s">
        <v>1337</v>
      </c>
      <c r="J313" s="46">
        <f>M300</f>
        <v>2300</v>
      </c>
      <c r="K313" s="45">
        <v>2</v>
      </c>
      <c r="L313" s="47">
        <f>VLOOKUP($H:$H,型材表!$B$5:$I$448,4,0)</f>
        <v>1.4510000000000001</v>
      </c>
      <c r="M313" s="46">
        <f>J313*K313*L313/1000</f>
        <v>6.6746000000000008</v>
      </c>
      <c r="N313" s="72">
        <f>VLOOKUP($H:$H,型材表!$B$5:$I$448,7,0)</f>
        <v>0</v>
      </c>
      <c r="O313" s="46">
        <f>N313*M313</f>
        <v>0</v>
      </c>
      <c r="P313" s="100">
        <f>VLOOKUP($H:$H,型材表!$B$5:$I$448,5,0)</f>
        <v>0.125</v>
      </c>
      <c r="Q313" s="100" t="str">
        <f>VLOOKUP($H:$H,型材表!$B$5:$I$448,6,0)</f>
        <v>断桥隔热铝型材</v>
      </c>
      <c r="R313" s="49"/>
      <c r="S313" s="50"/>
      <c r="T313" s="478"/>
      <c r="X313" s="264"/>
      <c r="Y313" s="265"/>
      <c r="Z313" s="264"/>
      <c r="AA313" s="265"/>
      <c r="AB313" s="264"/>
      <c r="AC313" s="265"/>
      <c r="AD313" s="264"/>
      <c r="AE313" s="265"/>
      <c r="AF313" s="264"/>
      <c r="AG313" s="288"/>
    </row>
    <row r="314" spans="1:33" x14ac:dyDescent="0.15">
      <c r="A314" s="258">
        <v>2</v>
      </c>
      <c r="B314" s="534"/>
      <c r="C314" s="535"/>
      <c r="D314" s="535"/>
      <c r="E314" s="536"/>
      <c r="F314" s="47" t="str">
        <f>VLOOKUP($H:$H,型材表!$B$5:$I$448,2,0)</f>
        <v>边框</v>
      </c>
      <c r="G314" s="45" t="s">
        <v>40</v>
      </c>
      <c r="H314" s="45" t="str">
        <f>H313</f>
        <v>SW55MK001</v>
      </c>
      <c r="I314" s="207" t="s">
        <v>1377</v>
      </c>
      <c r="J314" s="46">
        <f>M305-8</f>
        <v>992</v>
      </c>
      <c r="K314" s="45">
        <v>2</v>
      </c>
      <c r="L314" s="47">
        <f>VLOOKUP($H:$H,型材表!$B$5:$I$448,4,0)</f>
        <v>1.4510000000000001</v>
      </c>
      <c r="M314" s="46">
        <f t="shared" ref="M314" si="44">J314*K314*L314/1000</f>
        <v>2.878784</v>
      </c>
      <c r="N314" s="72">
        <f>VLOOKUP($H:$H,型材表!$B$5:$I$448,7,0)</f>
        <v>0</v>
      </c>
      <c r="O314" s="46">
        <f t="shared" ref="O314" si="45">N314*M314</f>
        <v>0</v>
      </c>
      <c r="P314" s="100">
        <f>VLOOKUP($H:$H,型材表!$B$5:$I$448,5,0)</f>
        <v>0.125</v>
      </c>
      <c r="Q314" s="100" t="str">
        <f>VLOOKUP($H:$H,型材表!$B$5:$I$448,6,0)</f>
        <v>断桥隔热铝型材</v>
      </c>
      <c r="R314" s="49"/>
      <c r="S314" s="50"/>
      <c r="T314" s="478"/>
      <c r="X314" s="264"/>
      <c r="Y314" s="265"/>
      <c r="Z314" s="264"/>
      <c r="AA314" s="265"/>
      <c r="AB314" s="264"/>
      <c r="AC314" s="265"/>
      <c r="AD314" s="264"/>
      <c r="AE314" s="265"/>
      <c r="AF314" s="264"/>
      <c r="AG314" s="288"/>
    </row>
    <row r="315" spans="1:33" x14ac:dyDescent="0.15">
      <c r="A315" s="258">
        <v>3</v>
      </c>
      <c r="B315" s="534"/>
      <c r="C315" s="535"/>
      <c r="D315" s="535"/>
      <c r="E315" s="536"/>
      <c r="F315" s="47" t="str">
        <f>VLOOKUP($H:$H,型材表!$B$5:$I$448,2,0)</f>
        <v>窗框</v>
      </c>
      <c r="G315" s="45" t="s">
        <v>39</v>
      </c>
      <c r="H315" s="207" t="str">
        <f>IF(G298=55,"SN55K001",IF(G298=551,"SN55BK001",IF(G298=60,"SN60K001",IF(G298=601,"SN60AK001",IF(G298=65,"SN65AK001")))))</f>
        <v>SN55K001</v>
      </c>
      <c r="I315" s="207" t="s">
        <v>1337</v>
      </c>
      <c r="J315" s="208">
        <f>M300</f>
        <v>2300</v>
      </c>
      <c r="K315" s="207">
        <v>2</v>
      </c>
      <c r="L315" s="47">
        <f>VLOOKUP($H:$H,型材表!$B$5:$I$448,4,0)</f>
        <v>1.02</v>
      </c>
      <c r="M315" s="46">
        <f t="shared" ref="M315:M316" si="46">J315*K315*L315/1000</f>
        <v>4.6920000000000002</v>
      </c>
      <c r="N315" s="72">
        <f>VLOOKUP($H:$H,型材表!$B$5:$I$448,7,0)</f>
        <v>0</v>
      </c>
      <c r="O315" s="46">
        <f t="shared" ref="O315:O316" si="47">N315*M315</f>
        <v>0</v>
      </c>
      <c r="P315" s="100">
        <f>VLOOKUP($H:$H,型材表!$B$5:$I$448,5,0)</f>
        <v>0.125</v>
      </c>
      <c r="Q315" s="100" t="str">
        <f>VLOOKUP($H:$H,型材表!$B$5:$I$448,6,0)</f>
        <v>断桥隔热铝型材</v>
      </c>
      <c r="R315" s="210"/>
      <c r="S315" s="50"/>
      <c r="T315" s="478"/>
      <c r="X315" s="264"/>
      <c r="Y315" s="265"/>
      <c r="Z315" s="264"/>
      <c r="AA315" s="265"/>
      <c r="AB315" s="264"/>
      <c r="AC315" s="265"/>
      <c r="AD315" s="264"/>
      <c r="AE315" s="265"/>
      <c r="AF315" s="264"/>
      <c r="AG315" s="288"/>
    </row>
    <row r="316" spans="1:33" s="229" customFormat="1" x14ac:dyDescent="0.15">
      <c r="A316" s="258">
        <v>4</v>
      </c>
      <c r="B316" s="537"/>
      <c r="C316" s="538"/>
      <c r="D316" s="538"/>
      <c r="E316" s="539"/>
      <c r="F316" s="47" t="str">
        <f>VLOOKUP($H:$H,型材表!$B$5:$I$448,2,0)</f>
        <v>窗框</v>
      </c>
      <c r="G316" s="45" t="s">
        <v>40</v>
      </c>
      <c r="H316" s="222" t="str">
        <f>H315</f>
        <v>SN55K001</v>
      </c>
      <c r="I316" s="222" t="s">
        <v>1378</v>
      </c>
      <c r="J316" s="223">
        <f>M306+M307-8</f>
        <v>1592</v>
      </c>
      <c r="K316" s="222">
        <v>2</v>
      </c>
      <c r="L316" s="47">
        <f>VLOOKUP($H:$H,型材表!$B$5:$I$448,4,0)</f>
        <v>1.02</v>
      </c>
      <c r="M316" s="46">
        <f t="shared" si="46"/>
        <v>3.2476799999999999</v>
      </c>
      <c r="N316" s="72">
        <f>VLOOKUP($H:$H,型材表!$B$5:$I$448,7,0)</f>
        <v>0</v>
      </c>
      <c r="O316" s="46">
        <f t="shared" si="47"/>
        <v>0</v>
      </c>
      <c r="P316" s="100">
        <f>VLOOKUP($H:$H,型材表!$B$5:$I$448,5,0)</f>
        <v>0.125</v>
      </c>
      <c r="Q316" s="100" t="str">
        <f>VLOOKUP($H:$H,型材表!$B$5:$I$448,6,0)</f>
        <v>断桥隔热铝型材</v>
      </c>
      <c r="R316" s="227"/>
      <c r="S316" s="228"/>
      <c r="T316" s="479"/>
      <c r="U316" s="471"/>
      <c r="V316" s="266"/>
      <c r="W316" s="266"/>
      <c r="X316" s="267"/>
      <c r="Y316" s="268"/>
      <c r="Z316" s="267"/>
      <c r="AA316" s="268"/>
      <c r="AB316" s="267"/>
      <c r="AC316" s="268"/>
      <c r="AD316" s="267"/>
      <c r="AE316" s="268"/>
      <c r="AF316" s="267"/>
      <c r="AG316" s="289"/>
    </row>
    <row r="317" spans="1:33" x14ac:dyDescent="0.15">
      <c r="A317" s="258">
        <v>5</v>
      </c>
      <c r="B317" s="531" t="s">
        <v>41</v>
      </c>
      <c r="C317" s="532"/>
      <c r="D317" s="532"/>
      <c r="E317" s="533"/>
      <c r="F317" s="47" t="str">
        <f>VLOOKUP($H:$H,型材表!$B$5:$I$448,2,0)</f>
        <v>外开扇</v>
      </c>
      <c r="G317" s="45" t="s">
        <v>39</v>
      </c>
      <c r="H317" s="45" t="str">
        <f>IF(G298=55,"SW55MS001",IF(G298=551,"SW55BMS001",IF(G298=60,"SW60MS001",IF(G298=601,"SW60AMS001",IF(G298=65,"SW65AMS001",IF(G298=50,"SW50MS001"))))))</f>
        <v>SW55MS001</v>
      </c>
      <c r="I317" s="207" t="s">
        <v>1379</v>
      </c>
      <c r="J317" s="46">
        <f>IF(G298=55,M300-V317,IF(G298=551,M300-X317,IF(G298=60,M300-Z317,IF(G298=601,M300-AB317,IF(G298=65,M300-AD317,IF(G298=50,M300-AF317))))))</f>
        <v>2238</v>
      </c>
      <c r="K317" s="45">
        <v>2</v>
      </c>
      <c r="L317" s="47">
        <f>VLOOKUP($H:$H,型材表!$B$5:$I$448,4,0)</f>
        <v>2.157</v>
      </c>
      <c r="M317" s="46">
        <f t="shared" ref="M317:M336" si="48">J317*K317*L317/1000</f>
        <v>9.6547319999999992</v>
      </c>
      <c r="N317" s="72">
        <f>VLOOKUP($H:$H,型材表!$B$5:$I$448,7,0)</f>
        <v>0</v>
      </c>
      <c r="O317" s="46">
        <f t="shared" ref="O317:O336" si="49">N317*M317</f>
        <v>0</v>
      </c>
      <c r="P317" s="100">
        <f>VLOOKUP($H:$H,型材表!$B$5:$I$448,5,0)</f>
        <v>0.125</v>
      </c>
      <c r="Q317" s="100" t="str">
        <f>VLOOKUP($H:$H,型材表!$B$5:$I$448,6,0)</f>
        <v>断桥隔热铝型材</v>
      </c>
      <c r="R317" s="49"/>
      <c r="S317" s="50"/>
      <c r="T317" s="478"/>
      <c r="U317" s="470" t="s">
        <v>1341</v>
      </c>
      <c r="V317" s="259">
        <f>31*2</f>
        <v>62</v>
      </c>
      <c r="X317" s="286">
        <f>31*2</f>
        <v>62</v>
      </c>
      <c r="Y317" s="265"/>
      <c r="Z317" s="286">
        <f>31*2</f>
        <v>62</v>
      </c>
      <c r="AA317" s="265"/>
      <c r="AB317" s="286">
        <f>31*2</f>
        <v>62</v>
      </c>
      <c r="AC317" s="265"/>
      <c r="AD317" s="286">
        <f>31*2</f>
        <v>62</v>
      </c>
      <c r="AE317" s="265"/>
      <c r="AF317" s="264"/>
      <c r="AG317" s="288"/>
    </row>
    <row r="318" spans="1:33" x14ac:dyDescent="0.15">
      <c r="A318" s="258">
        <v>6</v>
      </c>
      <c r="B318" s="534"/>
      <c r="C318" s="535"/>
      <c r="D318" s="535"/>
      <c r="E318" s="536"/>
      <c r="F318" s="47" t="str">
        <f>VLOOKUP($H:$H,型材表!$B$5:$I$448,2,0)</f>
        <v>外开扇</v>
      </c>
      <c r="G318" s="45" t="s">
        <v>40</v>
      </c>
      <c r="H318" s="207" t="str">
        <f>H317</f>
        <v>SW55MS001</v>
      </c>
      <c r="I318" s="207" t="s">
        <v>1380</v>
      </c>
      <c r="J318" s="208">
        <f>IF(G298=55,M305-V318,IF(G298=551,M305-X318,IF(G298=60,M305-Z318,IF(G298=601,M305-AB318,IF(G298=65,M305-AD318,IF(G298=50,M305-AF318))))))</f>
        <v>930</v>
      </c>
      <c r="K318" s="207">
        <v>2</v>
      </c>
      <c r="L318" s="47">
        <f>VLOOKUP($H:$H,型材表!$B$5:$I$448,4,0)</f>
        <v>2.157</v>
      </c>
      <c r="M318" s="46">
        <f t="shared" si="48"/>
        <v>4.0120199999999997</v>
      </c>
      <c r="N318" s="72">
        <f>VLOOKUP($H:$H,型材表!$B$5:$I$448,7,0)</f>
        <v>0</v>
      </c>
      <c r="O318" s="46">
        <f t="shared" si="49"/>
        <v>0</v>
      </c>
      <c r="P318" s="100">
        <f>VLOOKUP($H:$H,型材表!$B$5:$I$448,5,0)</f>
        <v>0.125</v>
      </c>
      <c r="Q318" s="100" t="str">
        <f>VLOOKUP($H:$H,型材表!$B$5:$I$448,6,0)</f>
        <v>断桥隔热铝型材</v>
      </c>
      <c r="R318" s="210"/>
      <c r="S318" s="50"/>
      <c r="T318" s="478"/>
      <c r="U318" s="470" t="s">
        <v>1381</v>
      </c>
      <c r="V318" s="259">
        <f>31+39</f>
        <v>70</v>
      </c>
      <c r="X318" s="286">
        <f>31+39</f>
        <v>70</v>
      </c>
      <c r="Y318" s="265"/>
      <c r="Z318" s="286">
        <f>31+39</f>
        <v>70</v>
      </c>
      <c r="AA318" s="265"/>
      <c r="AB318" s="286">
        <f>31+39</f>
        <v>70</v>
      </c>
      <c r="AC318" s="265"/>
      <c r="AD318" s="286">
        <f>31+39</f>
        <v>70</v>
      </c>
      <c r="AE318" s="265"/>
      <c r="AF318" s="264"/>
      <c r="AG318" s="288"/>
    </row>
    <row r="319" spans="1:33" x14ac:dyDescent="0.15">
      <c r="A319" s="258">
        <v>7</v>
      </c>
      <c r="B319" s="534"/>
      <c r="C319" s="535"/>
      <c r="D319" s="535"/>
      <c r="E319" s="536"/>
      <c r="F319" s="47" t="str">
        <f>VLOOKUP($H:$H,型材表!$B$5:$I$448,2,0)</f>
        <v>中梃</v>
      </c>
      <c r="G319" s="45" t="s">
        <v>39</v>
      </c>
      <c r="H319" s="45" t="str">
        <f>IF(G298=55,"SW55T001",IF(G298=551,"SW55BT001",IF(G298=60,"SW60T001",IF(G298=601,"SW60AT001",IF(G298=65,"SW65AT001",IF(G298=50,"SW50T001"))))))</f>
        <v>SW55T001</v>
      </c>
      <c r="I319" s="207" t="s">
        <v>1382</v>
      </c>
      <c r="J319" s="46">
        <f>IF(G298=55,M302-V319,IF(G298=551,M302-X319,IF(G298=60,M302-Z319,IF(G298=601,M302-AB319,IF(G298=65,M302-AD319,IF(G298=50,M302-AF319))))))</f>
        <v>1304</v>
      </c>
      <c r="K319" s="45">
        <v>2</v>
      </c>
      <c r="L319" s="47">
        <f>VLOOKUP($H:$H,型材表!$B$5:$I$448,4,0)</f>
        <v>1.113</v>
      </c>
      <c r="M319" s="46">
        <f t="shared" si="48"/>
        <v>2.9027040000000004</v>
      </c>
      <c r="N319" s="72">
        <f>VLOOKUP($H:$H,型材表!$B$5:$I$448,7,0)</f>
        <v>0</v>
      </c>
      <c r="O319" s="46">
        <f t="shared" si="49"/>
        <v>0</v>
      </c>
      <c r="P319" s="100">
        <f>VLOOKUP($H:$H,型材表!$B$5:$I$448,5,0)</f>
        <v>0.125</v>
      </c>
      <c r="Q319" s="100" t="str">
        <f>VLOOKUP($H:$H,型材表!$B$5:$I$448,6,0)</f>
        <v>断桥隔热铝型材</v>
      </c>
      <c r="R319" s="49"/>
      <c r="S319" s="50"/>
      <c r="T319" s="478"/>
      <c r="U319" s="470" t="s">
        <v>1384</v>
      </c>
      <c r="V319" s="259">
        <f>23*2</f>
        <v>46</v>
      </c>
      <c r="X319" s="286">
        <f>23*2</f>
        <v>46</v>
      </c>
      <c r="Y319" s="265"/>
      <c r="Z319" s="286">
        <f>23*2</f>
        <v>46</v>
      </c>
      <c r="AA319" s="265"/>
      <c r="AB319" s="286">
        <f>23*2</f>
        <v>46</v>
      </c>
      <c r="AC319" s="265"/>
      <c r="AD319" s="286">
        <f>23*2</f>
        <v>46</v>
      </c>
      <c r="AE319" s="265"/>
      <c r="AF319" s="264"/>
      <c r="AG319" s="288"/>
    </row>
    <row r="320" spans="1:33" x14ac:dyDescent="0.15">
      <c r="A320" s="258">
        <v>8</v>
      </c>
      <c r="B320" s="534"/>
      <c r="C320" s="535"/>
      <c r="D320" s="535"/>
      <c r="E320" s="536"/>
      <c r="F320" s="47" t="str">
        <f>VLOOKUP($H:$H,型材表!$B$5:$I$448,2,0)</f>
        <v>中梃</v>
      </c>
      <c r="G320" s="45" t="s">
        <v>40</v>
      </c>
      <c r="H320" s="207" t="str">
        <f>IF(G298=55,"SW55T001",IF(G298=551,"SW55BT001",IF(G298=60,"SW60T001",IF(G298=601,"SW60AT001",IF(G298=65,"SW65AT001",IF(G298=50,"SW50T001"))))))</f>
        <v>SW55T001</v>
      </c>
      <c r="I320" s="207" t="s">
        <v>1383</v>
      </c>
      <c r="J320" s="208">
        <f>IF(G298=55,M307-V320,IF(G298=551,M307-X320,IF(G298=60,M307-Z320,IF(G298=601,M307-AB320,IF(G298=65,M307-AD320,IF(G298=50,M307-AF320))))))</f>
        <v>669</v>
      </c>
      <c r="K320" s="207">
        <v>1</v>
      </c>
      <c r="L320" s="47">
        <f>VLOOKUP($H:$H,型材表!$B$5:$I$448,4,0)</f>
        <v>1.113</v>
      </c>
      <c r="M320" s="46">
        <f t="shared" ref="M320" si="50">J320*K320*L320/1000</f>
        <v>0.74459699999999995</v>
      </c>
      <c r="N320" s="72">
        <f>VLOOKUP($H:$H,型材表!$B$5:$I$448,7,0)</f>
        <v>0</v>
      </c>
      <c r="O320" s="46">
        <f t="shared" ref="O320" si="51">N320*M320</f>
        <v>0</v>
      </c>
      <c r="P320" s="100">
        <f>VLOOKUP($H:$H,型材表!$B$5:$I$448,5,0)</f>
        <v>0.125</v>
      </c>
      <c r="Q320" s="100" t="str">
        <f>VLOOKUP($H:$H,型材表!$B$5:$I$448,6,0)</f>
        <v>断桥隔热铝型材</v>
      </c>
      <c r="R320" s="49"/>
      <c r="S320" s="50"/>
      <c r="T320" s="478"/>
      <c r="U320" s="470" t="s">
        <v>1385</v>
      </c>
      <c r="V320" s="259">
        <f>23+8</f>
        <v>31</v>
      </c>
      <c r="X320" s="286">
        <f>23+8</f>
        <v>31</v>
      </c>
      <c r="Y320" s="265"/>
      <c r="Z320" s="286">
        <f>23+8</f>
        <v>31</v>
      </c>
      <c r="AA320" s="265"/>
      <c r="AB320" s="286">
        <f>23+8</f>
        <v>31</v>
      </c>
      <c r="AC320" s="265"/>
      <c r="AD320" s="286">
        <f>23+8</f>
        <v>31</v>
      </c>
      <c r="AE320" s="265"/>
      <c r="AF320" s="264"/>
      <c r="AG320" s="288"/>
    </row>
    <row r="321" spans="1:33" x14ac:dyDescent="0.15">
      <c r="A321" s="258">
        <v>9</v>
      </c>
      <c r="B321" s="534"/>
      <c r="C321" s="535"/>
      <c r="D321" s="535"/>
      <c r="E321" s="536"/>
      <c r="F321" s="47" t="str">
        <f>VLOOKUP($H:$H,型材表!$B$5:$I$448,2,0)</f>
        <v>内开扇</v>
      </c>
      <c r="G321" s="45" t="s">
        <v>39</v>
      </c>
      <c r="H321" s="207" t="str">
        <f>IF(G298=55,"SN55S001",IF(G298=551,"SN55BS001",IF(G298=60,"SN60S001",IF(G298=601,"SN60AS001",IF(G298=65,"SN65AS001")))))</f>
        <v>SN55S001</v>
      </c>
      <c r="I321" s="207" t="s">
        <v>1386</v>
      </c>
      <c r="J321" s="208">
        <f>IF(G298=55,M302-V321,IF(G298=551,M302-X321,IF(G298=60,M302-Z321,IF(G298=601,M302-AB321,IF(G298=65,M302-AD321)))))</f>
        <v>1321</v>
      </c>
      <c r="K321" s="207">
        <v>2</v>
      </c>
      <c r="L321" s="47">
        <f>VLOOKUP($H:$H,型材表!$B$5:$I$448,4,0)</f>
        <v>1.24</v>
      </c>
      <c r="M321" s="46">
        <f t="shared" ref="M321:M322" si="52">J321*K321*L321/1000</f>
        <v>3.2760799999999999</v>
      </c>
      <c r="N321" s="72">
        <f>VLOOKUP($H:$H,型材表!$B$5:$I$448,7,0)</f>
        <v>0</v>
      </c>
      <c r="O321" s="46">
        <f t="shared" ref="O321:O322" si="53">N321*M321</f>
        <v>0</v>
      </c>
      <c r="P321" s="100">
        <f>VLOOKUP($H:$H,型材表!$B$5:$I$448,5,0)</f>
        <v>0.125</v>
      </c>
      <c r="Q321" s="100" t="str">
        <f>VLOOKUP($H:$H,型材表!$B$5:$I$448,6,0)</f>
        <v>断桥隔热铝型材</v>
      </c>
      <c r="R321" s="210"/>
      <c r="S321" s="50"/>
      <c r="T321" s="478"/>
      <c r="U321" s="470" t="s">
        <v>1388</v>
      </c>
      <c r="V321" s="259">
        <f>22+7</f>
        <v>29</v>
      </c>
      <c r="X321" s="286">
        <f>22+7</f>
        <v>29</v>
      </c>
      <c r="Y321" s="265"/>
      <c r="Z321" s="286">
        <f>22+7</f>
        <v>29</v>
      </c>
      <c r="AA321" s="265"/>
      <c r="AB321" s="286">
        <f>22+7</f>
        <v>29</v>
      </c>
      <c r="AC321" s="265"/>
      <c r="AD321" s="286">
        <f>22+7</f>
        <v>29</v>
      </c>
      <c r="AE321" s="265"/>
      <c r="AF321" s="264"/>
      <c r="AG321" s="288"/>
    </row>
    <row r="322" spans="1:33" x14ac:dyDescent="0.15">
      <c r="A322" s="258">
        <v>10</v>
      </c>
      <c r="B322" s="534"/>
      <c r="C322" s="535"/>
      <c r="D322" s="535"/>
      <c r="E322" s="536"/>
      <c r="F322" s="47" t="str">
        <f>VLOOKUP($H:$H,型材表!$B$5:$I$448,2,0)</f>
        <v>内开扇</v>
      </c>
      <c r="G322" s="45" t="s">
        <v>40</v>
      </c>
      <c r="H322" s="207" t="str">
        <f>H321</f>
        <v>SN55S001</v>
      </c>
      <c r="I322" s="207" t="s">
        <v>1387</v>
      </c>
      <c r="J322" s="208">
        <f>IF(G298=55,M307-V322,IF(G298=551,M307-X322,IF(G298=60,M307-Z322,IF(G298=601,M307-AB322,IF(G298=65,M307-AD322)))))</f>
        <v>671</v>
      </c>
      <c r="K322" s="207">
        <v>2</v>
      </c>
      <c r="L322" s="47">
        <f>VLOOKUP($H:$H,型材表!$B$5:$I$448,4,0)</f>
        <v>1.24</v>
      </c>
      <c r="M322" s="46">
        <f t="shared" si="52"/>
        <v>1.66408</v>
      </c>
      <c r="N322" s="72">
        <f>VLOOKUP($H:$H,型材表!$B$5:$I$448,7,0)</f>
        <v>0</v>
      </c>
      <c r="O322" s="46">
        <f t="shared" si="53"/>
        <v>0</v>
      </c>
      <c r="P322" s="100">
        <f>VLOOKUP($H:$H,型材表!$B$5:$I$448,5,0)</f>
        <v>0.125</v>
      </c>
      <c r="Q322" s="100" t="str">
        <f>VLOOKUP($H:$H,型材表!$B$5:$I$448,6,0)</f>
        <v>断桥隔热铝型材</v>
      </c>
      <c r="R322" s="210"/>
      <c r="S322" s="50"/>
      <c r="T322" s="478"/>
      <c r="U322" s="470" t="s">
        <v>1389</v>
      </c>
      <c r="V322" s="259">
        <f>22+7</f>
        <v>29</v>
      </c>
      <c r="X322" s="286">
        <f>22+7</f>
        <v>29</v>
      </c>
      <c r="Y322" s="265"/>
      <c r="Z322" s="286">
        <f>22+7</f>
        <v>29</v>
      </c>
      <c r="AA322" s="265"/>
      <c r="AB322" s="286">
        <f>22+7</f>
        <v>29</v>
      </c>
      <c r="AC322" s="265"/>
      <c r="AD322" s="286">
        <f>22+7</f>
        <v>29</v>
      </c>
      <c r="AE322" s="265"/>
      <c r="AF322" s="264"/>
      <c r="AG322" s="288"/>
    </row>
    <row r="323" spans="1:33" s="315" customFormat="1" x14ac:dyDescent="0.15">
      <c r="A323" s="258">
        <v>11</v>
      </c>
      <c r="B323" s="537"/>
      <c r="C323" s="538"/>
      <c r="D323" s="538"/>
      <c r="E323" s="539"/>
      <c r="F323" s="310" t="str">
        <f>VLOOKUP($H:$H,型材表!$B$5:$I$448,2,0)</f>
        <v>拼管</v>
      </c>
      <c r="G323" s="116"/>
      <c r="H323" s="116" t="str">
        <f>IF(G298=55,"SN55P001",IF(G298=551,"SN55BP001",IF(G298=60,"SN60P001",IF(G298=601,"SN60AP001",IF(G298=65,"SN65AP001")))))</f>
        <v>SN55P001</v>
      </c>
      <c r="I323" s="207" t="s">
        <v>1337</v>
      </c>
      <c r="J323" s="147">
        <f>M300</f>
        <v>2300</v>
      </c>
      <c r="K323" s="116">
        <v>1</v>
      </c>
      <c r="L323" s="310">
        <f>VLOOKUP($H:$H,型材表!$B$5:$I$448,4,0)</f>
        <v>0.877</v>
      </c>
      <c r="M323" s="147">
        <f t="shared" si="48"/>
        <v>2.0171000000000001</v>
      </c>
      <c r="N323" s="311">
        <f>VLOOKUP($H:$H,型材表!$B$5:$I$448,7,0)</f>
        <v>0</v>
      </c>
      <c r="O323" s="147">
        <f t="shared" si="49"/>
        <v>0</v>
      </c>
      <c r="P323" s="312">
        <f>VLOOKUP($H:$H,型材表!$B$5:$I$448,5,0)</f>
        <v>0.125</v>
      </c>
      <c r="Q323" s="100" t="str">
        <f>VLOOKUP($H:$H,型材表!$B$5:$I$448,6,0)</f>
        <v>断桥隔热铝型材</v>
      </c>
      <c r="R323" s="313"/>
      <c r="S323" s="314"/>
      <c r="T323" s="487"/>
      <c r="U323" s="472"/>
      <c r="V323" s="316"/>
      <c r="W323" s="316"/>
      <c r="X323" s="317"/>
      <c r="Y323" s="318"/>
      <c r="Z323" s="317"/>
      <c r="AA323" s="318"/>
      <c r="AB323" s="317"/>
      <c r="AC323" s="318"/>
      <c r="AD323" s="317"/>
      <c r="AE323" s="318"/>
      <c r="AF323" s="317"/>
      <c r="AG323" s="318"/>
    </row>
    <row r="324" spans="1:33" x14ac:dyDescent="0.15">
      <c r="A324" s="258">
        <v>12</v>
      </c>
      <c r="B324" s="531" t="s">
        <v>44</v>
      </c>
      <c r="C324" s="532"/>
      <c r="D324" s="532"/>
      <c r="E324" s="533"/>
      <c r="F324" s="47" t="str">
        <f>VLOOKUP($H:$H,型材表!$B$5:$I$448,2,0)</f>
        <v>压线</v>
      </c>
      <c r="G324" s="45" t="s">
        <v>39</v>
      </c>
      <c r="H324" s="45" t="str">
        <f>IF(G298=55,"SN55Y001",IF(G298=551,"SW55BY001",IF(G298=60,"SN60Y001",IF(G298=601,"SW60AY001",IF(G298=65,"SN65AY001",IF(G298=50,"SW50Y001"))))))</f>
        <v>SN55Y001</v>
      </c>
      <c r="I324" s="207" t="s">
        <v>1390</v>
      </c>
      <c r="J324" s="52">
        <f>IF(G298=55,M300-V324,IF(G298=551,M300-X324,IF(G298=60,M300-Z324,IF(G298=601,M300-AB324,IF(G298=65,M300-AD324,IF(G298=50,M300-AF324))))))</f>
        <v>2103</v>
      </c>
      <c r="K324" s="45">
        <v>2</v>
      </c>
      <c r="L324" s="47">
        <f>VLOOKUP($H:$H,型材表!$B$5:$I$448,4,0)</f>
        <v>0.214</v>
      </c>
      <c r="M324" s="46">
        <f t="shared" si="48"/>
        <v>0.900084</v>
      </c>
      <c r="N324" s="72">
        <f>VLOOKUP($H:$H,型材表!$B$5:$I$448,7,0)</f>
        <v>0</v>
      </c>
      <c r="O324" s="46">
        <f t="shared" si="49"/>
        <v>0</v>
      </c>
      <c r="P324" s="100">
        <f>VLOOKUP($H:$H,型材表!$B$5:$I$448,5,0)</f>
        <v>0.125</v>
      </c>
      <c r="Q324" s="100" t="str">
        <f>VLOOKUP($H:$H,型材表!$B$5:$I$448,6,0)</f>
        <v>非断桥隔热铝型材</v>
      </c>
      <c r="R324" s="49"/>
      <c r="S324" s="50"/>
      <c r="T324" s="478"/>
      <c r="U324" s="470" t="s">
        <v>1348</v>
      </c>
      <c r="V324" s="269">
        <f>98.5*2</f>
        <v>197</v>
      </c>
      <c r="X324" s="279">
        <f>98.5*2</f>
        <v>197</v>
      </c>
      <c r="Y324" s="265"/>
      <c r="Z324" s="279">
        <f>98.5*2</f>
        <v>197</v>
      </c>
      <c r="AA324" s="265"/>
      <c r="AB324" s="279">
        <f>98.5*2</f>
        <v>197</v>
      </c>
      <c r="AC324" s="265"/>
      <c r="AD324" s="279">
        <f>98.5*2</f>
        <v>197</v>
      </c>
      <c r="AE324" s="265"/>
      <c r="AF324" s="264"/>
      <c r="AG324" s="288"/>
    </row>
    <row r="325" spans="1:33" x14ac:dyDescent="0.15">
      <c r="A325" s="382">
        <v>13</v>
      </c>
      <c r="B325" s="534"/>
      <c r="C325" s="535"/>
      <c r="D325" s="535"/>
      <c r="E325" s="536"/>
      <c r="F325" s="47" t="str">
        <f>VLOOKUP($H:$H,型材表!$B$5:$I$448,2,0)</f>
        <v>压线</v>
      </c>
      <c r="G325" s="45" t="s">
        <v>39</v>
      </c>
      <c r="H325" s="207" t="str">
        <f>H324</f>
        <v>SN55Y001</v>
      </c>
      <c r="I325" s="207" t="s">
        <v>1391</v>
      </c>
      <c r="J325" s="214">
        <f>IF(G298=55,M300-V325,IF(G298=551,M300-X325,IF(G298=60,M300-Z325,IF(G298=601,M300-AB325,IF(G298=65,M300-AD325,IF(G298=50,M300-AF325))))))</f>
        <v>2254</v>
      </c>
      <c r="K325" s="45">
        <v>2</v>
      </c>
      <c r="L325" s="47">
        <f>VLOOKUP($H:$H,型材表!$B$5:$I$448,4,0)</f>
        <v>0.214</v>
      </c>
      <c r="M325" s="46">
        <f t="shared" ref="M325:M330" si="54">J325*K325*L325/1000</f>
        <v>0.96471200000000001</v>
      </c>
      <c r="N325" s="72">
        <f>VLOOKUP($H:$H,型材表!$B$5:$I$448,7,0)</f>
        <v>0</v>
      </c>
      <c r="O325" s="46">
        <f t="shared" ref="O325:O330" si="55">N325*M325</f>
        <v>0</v>
      </c>
      <c r="P325" s="100">
        <f>VLOOKUP($H:$H,型材表!$B$5:$I$448,5,0)</f>
        <v>0.125</v>
      </c>
      <c r="Q325" s="100" t="str">
        <f>VLOOKUP($H:$H,型材表!$B$5:$I$448,6,0)</f>
        <v>非断桥隔热铝型材</v>
      </c>
      <c r="R325" s="210"/>
      <c r="S325" s="50"/>
      <c r="T325" s="478"/>
      <c r="U325" s="470" t="s">
        <v>1392</v>
      </c>
      <c r="V325" s="269">
        <f>23*2</f>
        <v>46</v>
      </c>
      <c r="X325" s="279">
        <f>23*2</f>
        <v>46</v>
      </c>
      <c r="Y325" s="265"/>
      <c r="Z325" s="279">
        <f>23*2</f>
        <v>46</v>
      </c>
      <c r="AA325" s="265"/>
      <c r="AB325" s="279">
        <f>23*2</f>
        <v>46</v>
      </c>
      <c r="AC325" s="265"/>
      <c r="AD325" s="279">
        <f>23*2</f>
        <v>46</v>
      </c>
      <c r="AE325" s="265"/>
      <c r="AF325" s="264"/>
      <c r="AG325" s="288"/>
    </row>
    <row r="326" spans="1:33" x14ac:dyDescent="0.15">
      <c r="A326" s="382">
        <v>14</v>
      </c>
      <c r="B326" s="534"/>
      <c r="C326" s="535"/>
      <c r="D326" s="535"/>
      <c r="E326" s="536"/>
      <c r="F326" s="47" t="str">
        <f>VLOOKUP($H:$H,型材表!$B$5:$I$448,2,0)</f>
        <v>压线</v>
      </c>
      <c r="G326" s="45" t="s">
        <v>39</v>
      </c>
      <c r="H326" s="207" t="str">
        <f t="shared" ref="H326:H330" si="56">H325</f>
        <v>SN55Y001</v>
      </c>
      <c r="I326" s="207" t="s">
        <v>1393</v>
      </c>
      <c r="J326" s="214">
        <f>IF(G298=55,M302-V326,IF(G298=551,M302-X326,IF(G298=60,M302-Z326,IF(G298=601,M302-AB326,IF(G298=65,M302-AD326,IF(G298=50,M302-AF326))))))</f>
        <v>1245.4000000000001</v>
      </c>
      <c r="K326" s="45">
        <v>2</v>
      </c>
      <c r="L326" s="47">
        <f>VLOOKUP($H:$H,型材表!$B$5:$I$448,4,0)</f>
        <v>0.214</v>
      </c>
      <c r="M326" s="46">
        <f t="shared" si="54"/>
        <v>0.53303120000000004</v>
      </c>
      <c r="N326" s="72">
        <f>VLOOKUP($H:$H,型材表!$B$5:$I$448,7,0)</f>
        <v>0</v>
      </c>
      <c r="O326" s="46">
        <f t="shared" si="55"/>
        <v>0</v>
      </c>
      <c r="P326" s="100">
        <f>VLOOKUP($H:$H,型材表!$B$5:$I$448,5,0)</f>
        <v>0.125</v>
      </c>
      <c r="Q326" s="100" t="str">
        <f>VLOOKUP($H:$H,型材表!$B$5:$I$448,6,0)</f>
        <v>非断桥隔热铝型材</v>
      </c>
      <c r="R326" s="210"/>
      <c r="S326" s="50"/>
      <c r="T326" s="478"/>
      <c r="U326" s="470" t="s">
        <v>1057</v>
      </c>
      <c r="V326" s="269">
        <f>59.8+44.8</f>
        <v>104.6</v>
      </c>
      <c r="X326" s="279">
        <f>59.8+44.8</f>
        <v>104.6</v>
      </c>
      <c r="Y326" s="265"/>
      <c r="Z326" s="279">
        <f>59.8+44.8</f>
        <v>104.6</v>
      </c>
      <c r="AA326" s="265"/>
      <c r="AB326" s="279">
        <f>59.8+44.8</f>
        <v>104.6</v>
      </c>
      <c r="AC326" s="265"/>
      <c r="AD326" s="279">
        <f>59.8+44.8</f>
        <v>104.6</v>
      </c>
      <c r="AE326" s="265"/>
      <c r="AF326" s="264"/>
      <c r="AG326" s="288"/>
    </row>
    <row r="327" spans="1:33" x14ac:dyDescent="0.15">
      <c r="A327" s="382">
        <v>15</v>
      </c>
      <c r="B327" s="534"/>
      <c r="C327" s="535"/>
      <c r="D327" s="535"/>
      <c r="E327" s="536"/>
      <c r="F327" s="47" t="str">
        <f>VLOOKUP($H:$H,型材表!$B$5:$I$448,2,0)</f>
        <v>压线</v>
      </c>
      <c r="G327" s="45" t="s">
        <v>39</v>
      </c>
      <c r="H327" s="207" t="str">
        <f t="shared" si="56"/>
        <v>SN55Y001</v>
      </c>
      <c r="I327" s="207" t="s">
        <v>1395</v>
      </c>
      <c r="J327" s="214">
        <f>IF(G298=55,M303-V327,IF(G298=551,M303-X327,IF(G298=60,M303-Z327,IF(G298=601,M303-AB327,IF(G298=65,M303-AD327,IF(G298=50,M303-AF327))))))</f>
        <v>919</v>
      </c>
      <c r="K327" s="45">
        <v>2</v>
      </c>
      <c r="L327" s="47">
        <f>VLOOKUP($H:$H,型材表!$B$5:$I$448,4,0)</f>
        <v>0.214</v>
      </c>
      <c r="M327" s="46">
        <f t="shared" si="54"/>
        <v>0.39333200000000001</v>
      </c>
      <c r="N327" s="72">
        <f>VLOOKUP($H:$H,型材表!$B$5:$I$448,7,0)</f>
        <v>0</v>
      </c>
      <c r="O327" s="46">
        <f t="shared" si="55"/>
        <v>0</v>
      </c>
      <c r="P327" s="100">
        <f>VLOOKUP($H:$H,型材表!$B$5:$I$448,5,0)</f>
        <v>0.125</v>
      </c>
      <c r="Q327" s="100" t="str">
        <f>VLOOKUP($H:$H,型材表!$B$5:$I$448,6,0)</f>
        <v>非断桥隔热铝型材</v>
      </c>
      <c r="R327" s="210"/>
      <c r="S327" s="50"/>
      <c r="T327" s="478"/>
      <c r="U327" s="470" t="s">
        <v>1394</v>
      </c>
      <c r="V327" s="269">
        <f>8+23</f>
        <v>31</v>
      </c>
      <c r="X327" s="279">
        <f>8+23</f>
        <v>31</v>
      </c>
      <c r="Y327" s="265"/>
      <c r="Z327" s="279">
        <f>8+23</f>
        <v>31</v>
      </c>
      <c r="AA327" s="265"/>
      <c r="AB327" s="279">
        <f>8+23</f>
        <v>31</v>
      </c>
      <c r="AC327" s="265"/>
      <c r="AD327" s="279">
        <f>8+23</f>
        <v>31</v>
      </c>
      <c r="AE327" s="265"/>
      <c r="AF327" s="264"/>
      <c r="AG327" s="288"/>
    </row>
    <row r="328" spans="1:33" x14ac:dyDescent="0.15">
      <c r="A328" s="382">
        <v>16</v>
      </c>
      <c r="B328" s="534"/>
      <c r="C328" s="535"/>
      <c r="D328" s="535"/>
      <c r="E328" s="536"/>
      <c r="F328" s="47" t="str">
        <f>VLOOKUP($H:$H,型材表!$B$5:$I$448,2,0)</f>
        <v>压线</v>
      </c>
      <c r="G328" s="45" t="s">
        <v>40</v>
      </c>
      <c r="H328" s="207" t="str">
        <f t="shared" si="56"/>
        <v>SN55Y001</v>
      </c>
      <c r="I328" s="207" t="s">
        <v>1399</v>
      </c>
      <c r="J328" s="214">
        <f>IF(G298=55,M305-V328,IF(G298=551,M305-X328,IF(G298=60,M305-Z328,IF(G298=601,M305-AB328,IF(G298=65,M305-AD328,IF(G298=50,M305-AF328))))))</f>
        <v>794.5</v>
      </c>
      <c r="K328" s="45">
        <v>2</v>
      </c>
      <c r="L328" s="47">
        <f>VLOOKUP($H:$H,型材表!$B$5:$I$448,4,0)</f>
        <v>0.214</v>
      </c>
      <c r="M328" s="46">
        <f t="shared" si="54"/>
        <v>0.34004600000000001</v>
      </c>
      <c r="N328" s="72">
        <f>VLOOKUP($H:$H,型材表!$B$5:$I$448,7,0)</f>
        <v>0</v>
      </c>
      <c r="O328" s="46">
        <f t="shared" si="55"/>
        <v>0</v>
      </c>
      <c r="P328" s="100">
        <f>VLOOKUP($H:$H,型材表!$B$5:$I$448,5,0)</f>
        <v>0.125</v>
      </c>
      <c r="Q328" s="100" t="str">
        <f>VLOOKUP($H:$H,型材表!$B$5:$I$448,6,0)</f>
        <v>非断桥隔热铝型材</v>
      </c>
      <c r="R328" s="210"/>
      <c r="S328" s="50"/>
      <c r="T328" s="478"/>
      <c r="U328" s="470" t="s">
        <v>1396</v>
      </c>
      <c r="V328" s="303">
        <f>98.5+107</f>
        <v>205.5</v>
      </c>
      <c r="X328" s="305">
        <f>98.5+107</f>
        <v>205.5</v>
      </c>
      <c r="Y328" s="265"/>
      <c r="Z328" s="305">
        <f>98.5+107</f>
        <v>205.5</v>
      </c>
      <c r="AA328" s="265"/>
      <c r="AB328" s="305">
        <f>98.5+107</f>
        <v>205.5</v>
      </c>
      <c r="AC328" s="265"/>
      <c r="AD328" s="305">
        <f>98.5+107</f>
        <v>205.5</v>
      </c>
      <c r="AE328" s="265"/>
      <c r="AF328" s="264"/>
      <c r="AG328" s="288"/>
    </row>
    <row r="329" spans="1:33" x14ac:dyDescent="0.15">
      <c r="A329" s="382">
        <v>17</v>
      </c>
      <c r="B329" s="534"/>
      <c r="C329" s="535"/>
      <c r="D329" s="535"/>
      <c r="E329" s="536"/>
      <c r="F329" s="47" t="str">
        <f>VLOOKUP($H:$H,型材表!$B$5:$I$448,2,0)</f>
        <v>压线</v>
      </c>
      <c r="G329" s="45" t="s">
        <v>40</v>
      </c>
      <c r="H329" s="207" t="str">
        <f t="shared" si="56"/>
        <v>SN55Y001</v>
      </c>
      <c r="I329" s="207" t="s">
        <v>1400</v>
      </c>
      <c r="J329" s="214">
        <f>IF(G298=55,M306-V329,IF(G298=551,M306-X329,IF(G298=60,M306-Z329,IF(G298=601,M306-AB329,IF(G298=65,M306-AD329,IF(G298=50,M306-AF329))))))</f>
        <v>861</v>
      </c>
      <c r="K329" s="45">
        <v>2</v>
      </c>
      <c r="L329" s="47">
        <f>VLOOKUP($H:$H,型材表!$B$5:$I$448,4,0)</f>
        <v>0.214</v>
      </c>
      <c r="M329" s="46">
        <f t="shared" si="54"/>
        <v>0.368508</v>
      </c>
      <c r="N329" s="72">
        <f>VLOOKUP($H:$H,型材表!$B$5:$I$448,7,0)</f>
        <v>0</v>
      </c>
      <c r="O329" s="46">
        <f t="shared" si="55"/>
        <v>0</v>
      </c>
      <c r="P329" s="100">
        <f>VLOOKUP($H:$H,型材表!$B$5:$I$448,5,0)</f>
        <v>0.125</v>
      </c>
      <c r="Q329" s="100" t="str">
        <f>VLOOKUP($H:$H,型材表!$B$5:$I$448,6,0)</f>
        <v>非断桥隔热铝型材</v>
      </c>
      <c r="R329" s="210"/>
      <c r="S329" s="50"/>
      <c r="T329" s="478"/>
      <c r="U329" s="470" t="s">
        <v>1397</v>
      </c>
      <c r="V329" s="303">
        <f>31+8</f>
        <v>39</v>
      </c>
      <c r="X329" s="305">
        <f>31+8</f>
        <v>39</v>
      </c>
      <c r="Y329" s="265"/>
      <c r="Z329" s="305">
        <f>31+8</f>
        <v>39</v>
      </c>
      <c r="AA329" s="265"/>
      <c r="AB329" s="305">
        <f>31+8</f>
        <v>39</v>
      </c>
      <c r="AC329" s="265"/>
      <c r="AD329" s="305">
        <f>31+8</f>
        <v>39</v>
      </c>
      <c r="AE329" s="265"/>
      <c r="AF329" s="264"/>
      <c r="AG329" s="288"/>
    </row>
    <row r="330" spans="1:33" x14ac:dyDescent="0.15">
      <c r="A330" s="382">
        <v>18</v>
      </c>
      <c r="B330" s="534"/>
      <c r="C330" s="535"/>
      <c r="D330" s="535"/>
      <c r="E330" s="536"/>
      <c r="F330" s="47" t="str">
        <f>VLOOKUP($H:$H,型材表!$B$5:$I$448,2,0)</f>
        <v>压线</v>
      </c>
      <c r="G330" s="45" t="s">
        <v>40</v>
      </c>
      <c r="H330" s="207" t="str">
        <f t="shared" si="56"/>
        <v>SN55Y001</v>
      </c>
      <c r="I330" s="207" t="s">
        <v>1401</v>
      </c>
      <c r="J330" s="214">
        <f>IF(G298=55,M307-V330,IF(G298=551,M307-X330,IF(G298=60,M307-Z330,IF(G298=601,M307-AB330,IF(G298=65,M307-AD330,IF(G298=50,M307-AF330))))))</f>
        <v>595.4</v>
      </c>
      <c r="K330" s="45">
        <v>2</v>
      </c>
      <c r="L330" s="47">
        <f>VLOOKUP($H:$H,型材表!$B$5:$I$448,4,0)</f>
        <v>0.214</v>
      </c>
      <c r="M330" s="46">
        <f t="shared" si="54"/>
        <v>0.25483119999999998</v>
      </c>
      <c r="N330" s="72">
        <f>VLOOKUP($H:$H,型材表!$B$5:$I$448,7,0)</f>
        <v>0</v>
      </c>
      <c r="O330" s="46">
        <f t="shared" si="55"/>
        <v>0</v>
      </c>
      <c r="P330" s="100">
        <f>VLOOKUP($H:$H,型材表!$B$5:$I$448,5,0)</f>
        <v>0.125</v>
      </c>
      <c r="Q330" s="100" t="str">
        <f>VLOOKUP($H:$H,型材表!$B$5:$I$448,6,0)</f>
        <v>非断桥隔热铝型材</v>
      </c>
      <c r="R330" s="210"/>
      <c r="S330" s="50"/>
      <c r="T330" s="478"/>
      <c r="U330" s="470" t="s">
        <v>1398</v>
      </c>
      <c r="V330" s="303">
        <f>59.8+44.8</f>
        <v>104.6</v>
      </c>
      <c r="X330" s="305">
        <f>59.8+44.8</f>
        <v>104.6</v>
      </c>
      <c r="Y330" s="265"/>
      <c r="Z330" s="305">
        <f>59.8+44.8</f>
        <v>104.6</v>
      </c>
      <c r="AA330" s="265"/>
      <c r="AB330" s="305">
        <f>59.8+44.8</f>
        <v>104.6</v>
      </c>
      <c r="AC330" s="265"/>
      <c r="AD330" s="305">
        <f>59.8+44.8</f>
        <v>104.6</v>
      </c>
      <c r="AE330" s="265"/>
      <c r="AF330" s="264"/>
      <c r="AG330" s="288"/>
    </row>
    <row r="331" spans="1:33" x14ac:dyDescent="0.15">
      <c r="A331" s="382">
        <v>19</v>
      </c>
      <c r="B331" s="534"/>
      <c r="C331" s="535"/>
      <c r="D331" s="535"/>
      <c r="E331" s="536"/>
      <c r="F331" s="47" t="str">
        <f>VLOOKUP($H:$H,型材表!$B$5:$I$448,2,0)</f>
        <v>压线</v>
      </c>
      <c r="G331" s="45" t="s">
        <v>40</v>
      </c>
      <c r="H331" s="207" t="str">
        <f>H324</f>
        <v>SN55Y001</v>
      </c>
      <c r="I331" s="207" t="s">
        <v>1402</v>
      </c>
      <c r="J331" s="214">
        <f>IF(G298=55,M307-V331,IF(G298=551,M307-X331,IF(G298=60,M307-Z331,IF(G298=601,M307-AB331,IF(G298=65,M307-AD331,IF(G298=50,M307-AF331))))))</f>
        <v>669</v>
      </c>
      <c r="K331" s="207">
        <v>2</v>
      </c>
      <c r="L331" s="47">
        <f>VLOOKUP($H:$H,型材表!$B$5:$I$448,4,0)</f>
        <v>0.214</v>
      </c>
      <c r="M331" s="46">
        <f t="shared" si="48"/>
        <v>0.28633199999999998</v>
      </c>
      <c r="N331" s="72">
        <f>VLOOKUP($H:$H,型材表!$B$5:$I$448,7,0)</f>
        <v>0</v>
      </c>
      <c r="O331" s="46">
        <f t="shared" si="49"/>
        <v>0</v>
      </c>
      <c r="P331" s="100">
        <f>VLOOKUP($H:$H,型材表!$B$5:$I$448,5,0)</f>
        <v>0.125</v>
      </c>
      <c r="Q331" s="100" t="str">
        <f>VLOOKUP($H:$H,型材表!$B$5:$I$448,6,0)</f>
        <v>非断桥隔热铝型材</v>
      </c>
      <c r="R331" s="210"/>
      <c r="S331" s="50"/>
      <c r="T331" s="478"/>
      <c r="U331" s="470" t="s">
        <v>1309</v>
      </c>
      <c r="V331" s="303">
        <f>23+8</f>
        <v>31</v>
      </c>
      <c r="X331" s="305">
        <f>23+8</f>
        <v>31</v>
      </c>
      <c r="Y331" s="265"/>
      <c r="Z331" s="305">
        <f>23+8</f>
        <v>31</v>
      </c>
      <c r="AA331" s="265"/>
      <c r="AB331" s="305">
        <f>23+8</f>
        <v>31</v>
      </c>
      <c r="AC331" s="265"/>
      <c r="AD331" s="305">
        <f>23+8</f>
        <v>31</v>
      </c>
      <c r="AE331" s="265"/>
      <c r="AF331" s="264"/>
      <c r="AG331" s="288"/>
    </row>
    <row r="332" spans="1:33" x14ac:dyDescent="0.15">
      <c r="A332" s="382">
        <v>20</v>
      </c>
      <c r="B332" s="534"/>
      <c r="C332" s="535"/>
      <c r="D332" s="535"/>
      <c r="E332" s="536"/>
      <c r="F332" s="47" t="str">
        <f>VLOOKUP($H:$H,型材表!$B$5:$I$448,2,0)</f>
        <v>角码</v>
      </c>
      <c r="G332" s="213" t="s">
        <v>446</v>
      </c>
      <c r="H332" s="207" t="str">
        <f>IF(G298=50,"SW50F002","SN55MF004")</f>
        <v>SN55MF004</v>
      </c>
      <c r="I332" s="207" t="s">
        <v>1343</v>
      </c>
      <c r="J332" s="214">
        <f>IF(G298=55,V332,IF(G298=551,X332,IF(G298=60,Z332,IF(G298=601,AB332,IF(G298=65,AD332,IF(G298=50,AF332))))))</f>
        <v>26.4</v>
      </c>
      <c r="K332" s="207">
        <v>4</v>
      </c>
      <c r="L332" s="47">
        <f>VLOOKUP($H:$H,型材表!$B$5:$I$448,4,0)</f>
        <v>2.996</v>
      </c>
      <c r="M332" s="46">
        <f t="shared" si="48"/>
        <v>0.31637759999999998</v>
      </c>
      <c r="N332" s="72">
        <f>VLOOKUP($H:$H,型材表!$B$5:$I$448,7,0)</f>
        <v>0</v>
      </c>
      <c r="O332" s="46">
        <f t="shared" si="49"/>
        <v>0</v>
      </c>
      <c r="P332" s="100">
        <f>VLOOKUP($H:$H,型材表!$B$5:$I$448,5,0)</f>
        <v>0.125</v>
      </c>
      <c r="Q332" s="100" t="str">
        <f>VLOOKUP($H:$H,型材表!$B$5:$I$448,6,0)</f>
        <v>阳极氧化铝型材</v>
      </c>
      <c r="R332" s="210"/>
      <c r="S332" s="50"/>
      <c r="T332" s="478"/>
      <c r="U332" s="470" t="s">
        <v>1343</v>
      </c>
      <c r="V332" s="259">
        <f>9.9-1+18.5-1</f>
        <v>26.4</v>
      </c>
      <c r="X332" s="286">
        <f>9.9-1+18.5-1</f>
        <v>26.4</v>
      </c>
      <c r="Y332" s="265"/>
      <c r="Z332" s="317">
        <f>18.5-1+13.7-1</f>
        <v>30.2</v>
      </c>
      <c r="AA332" s="265"/>
      <c r="AB332" s="286">
        <f>9.9-1+18.5-1</f>
        <v>26.4</v>
      </c>
      <c r="AC332" s="265"/>
      <c r="AD332" s="317">
        <f>18.5-1+13.7-1</f>
        <v>30.2</v>
      </c>
      <c r="AE332" s="265"/>
      <c r="AF332" s="264"/>
      <c r="AG332" s="288"/>
    </row>
    <row r="333" spans="1:33" s="229" customFormat="1" x14ac:dyDescent="0.15">
      <c r="A333" s="382">
        <v>21</v>
      </c>
      <c r="B333" s="534"/>
      <c r="C333" s="535"/>
      <c r="D333" s="535"/>
      <c r="E333" s="536"/>
      <c r="F333" s="47" t="str">
        <f>VLOOKUP($H:$H,型材表!$B$5:$I$448,2,0)</f>
        <v>角码</v>
      </c>
      <c r="G333" s="230" t="s">
        <v>447</v>
      </c>
      <c r="H333" s="222" t="str">
        <f>IF(G298=50,"SW50MF001","SN55MF005")</f>
        <v>SN55MF005</v>
      </c>
      <c r="I333" s="222" t="s">
        <v>1344</v>
      </c>
      <c r="J333" s="214">
        <f>IF(G298=55,V333,IF(G298=551,X333,IF(G298=60,Z333,IF(G298=601,AB333,IF(G298=65,AD333,IF(G298=50,AF333))))))</f>
        <v>24.7</v>
      </c>
      <c r="K333" s="207">
        <v>4</v>
      </c>
      <c r="L333" s="47">
        <f>VLOOKUP($H:$H,型材表!$B$5:$I$448,4,0)</f>
        <v>4.7119999999999997</v>
      </c>
      <c r="M333" s="46">
        <f t="shared" si="48"/>
        <v>0.4655456</v>
      </c>
      <c r="N333" s="72">
        <f>VLOOKUP($H:$H,型材表!$B$5:$I$448,7,0)</f>
        <v>0</v>
      </c>
      <c r="O333" s="46">
        <f t="shared" si="49"/>
        <v>0</v>
      </c>
      <c r="P333" s="100">
        <f>VLOOKUP($H:$H,型材表!$B$5:$I$448,5,0)</f>
        <v>0.125</v>
      </c>
      <c r="Q333" s="100" t="str">
        <f>VLOOKUP($H:$H,型材表!$B$5:$I$448,6,0)</f>
        <v>阳极氧化铝型材</v>
      </c>
      <c r="R333" s="227"/>
      <c r="S333" s="228"/>
      <c r="T333" s="479"/>
      <c r="U333" s="470" t="s">
        <v>995</v>
      </c>
      <c r="V333" s="266">
        <f>25.7-1</f>
        <v>24.7</v>
      </c>
      <c r="W333" s="266"/>
      <c r="X333" s="267">
        <f>25.4-1</f>
        <v>24.4</v>
      </c>
      <c r="Y333" s="268"/>
      <c r="Z333" s="267">
        <f>25.7-1</f>
        <v>24.7</v>
      </c>
      <c r="AA333" s="268"/>
      <c r="AB333" s="267">
        <f>25.4-1</f>
        <v>24.4</v>
      </c>
      <c r="AC333" s="268"/>
      <c r="AD333" s="267">
        <f>25.7-1</f>
        <v>24.7</v>
      </c>
      <c r="AE333" s="268"/>
      <c r="AF333" s="267"/>
      <c r="AG333" s="289"/>
    </row>
    <row r="334" spans="1:33" x14ac:dyDescent="0.15">
      <c r="A334" s="382">
        <v>22</v>
      </c>
      <c r="B334" s="534"/>
      <c r="C334" s="535"/>
      <c r="D334" s="535"/>
      <c r="E334" s="536"/>
      <c r="F334" s="47" t="str">
        <f>VLOOKUP($H:$H,型材表!$B$5:$I$448,2,0)</f>
        <v>角码</v>
      </c>
      <c r="G334" s="230" t="s">
        <v>447</v>
      </c>
      <c r="H334" s="45" t="str">
        <f>IF(G298=551,"SW55BMF001",IF(G298=601,"SW55BMF001",IF(G298=50,"0","SN55MF005")))</f>
        <v>SN55MF005</v>
      </c>
      <c r="I334" s="207" t="s">
        <v>1345</v>
      </c>
      <c r="J334" s="52">
        <f>IF(G298=55,V334,IF(G298=551,X334,IF(G298=60,Z334,IF(G298=601,AB334,IF(G298=65,AD334,IF(G298=50,AF334))))))</f>
        <v>13.7</v>
      </c>
      <c r="K334" s="45">
        <v>4</v>
      </c>
      <c r="L334" s="47">
        <f>VLOOKUP($H:$H,型材表!$B$5:$I$448,4,0)</f>
        <v>4.7119999999999997</v>
      </c>
      <c r="M334" s="46">
        <f t="shared" si="48"/>
        <v>0.25821759999999994</v>
      </c>
      <c r="N334" s="72">
        <f>VLOOKUP($H:$H,型材表!$B$5:$I$448,7,0)</f>
        <v>0</v>
      </c>
      <c r="O334" s="46">
        <f t="shared" si="49"/>
        <v>0</v>
      </c>
      <c r="P334" s="100">
        <f>VLOOKUP($H:$H,型材表!$B$5:$I$448,5,0)</f>
        <v>0.125</v>
      </c>
      <c r="Q334" s="100" t="str">
        <f>VLOOKUP($H:$H,型材表!$B$5:$I$448,6,0)</f>
        <v>阳极氧化铝型材</v>
      </c>
      <c r="R334" s="49"/>
      <c r="S334" s="50"/>
      <c r="T334" s="478"/>
      <c r="U334" s="470" t="s">
        <v>996</v>
      </c>
      <c r="V334" s="259">
        <f>14.7-1</f>
        <v>13.7</v>
      </c>
      <c r="X334" s="317">
        <f>11.2-1</f>
        <v>10.199999999999999</v>
      </c>
      <c r="Y334" s="265"/>
      <c r="Z334" s="286">
        <f>14.7-1</f>
        <v>13.7</v>
      </c>
      <c r="AA334" s="265"/>
      <c r="AB334" s="317">
        <f>11.2-1</f>
        <v>10.199999999999999</v>
      </c>
      <c r="AC334" s="265"/>
      <c r="AD334" s="286">
        <f>14.7-1</f>
        <v>13.7</v>
      </c>
      <c r="AE334" s="265"/>
      <c r="AF334" s="264"/>
      <c r="AG334" s="288"/>
    </row>
    <row r="335" spans="1:33" x14ac:dyDescent="0.15">
      <c r="A335" s="382">
        <v>23</v>
      </c>
      <c r="B335" s="534"/>
      <c r="C335" s="535"/>
      <c r="D335" s="535"/>
      <c r="E335" s="536"/>
      <c r="F335" s="47" t="str">
        <f>VLOOKUP($H:$H,型材表!$B$5:$I$448,2,0)</f>
        <v>中梃角码</v>
      </c>
      <c r="G335" s="213"/>
      <c r="H335" s="45" t="str">
        <f>IF(G303=65,"SN55F001","SN55F001")</f>
        <v>SN55F001</v>
      </c>
      <c r="I335" s="207" t="s">
        <v>1668</v>
      </c>
      <c r="J335" s="214">
        <f>IF(G298=55,V335,IF(G298=551,X335,IF(G298=60,Z335,IF(G298=601,AB335,IF(G298=65,AD335,IF(G298=50,AF335))))))</f>
        <v>18.5</v>
      </c>
      <c r="K335" s="207">
        <v>4</v>
      </c>
      <c r="L335" s="47">
        <f>VLOOKUP($H:$H,型材表!$B$5:$I$448,4,0)</f>
        <v>1.4730000000000001</v>
      </c>
      <c r="M335" s="46">
        <f t="shared" si="48"/>
        <v>0.10900200000000002</v>
      </c>
      <c r="N335" s="72">
        <f>VLOOKUP($H:$H,型材表!$B$5:$I$448,7,0)</f>
        <v>0</v>
      </c>
      <c r="O335" s="46">
        <f t="shared" si="49"/>
        <v>0</v>
      </c>
      <c r="P335" s="100">
        <f>VLOOKUP($H:$H,型材表!$B$5:$I$448,5,0)</f>
        <v>0.125</v>
      </c>
      <c r="Q335" s="100" t="str">
        <f>VLOOKUP($H:$H,型材表!$B$5:$I$448,6,0)</f>
        <v>阳极氧化铝型材</v>
      </c>
      <c r="R335" s="210"/>
      <c r="S335" s="50"/>
      <c r="T335" s="478"/>
      <c r="U335" s="470" t="s">
        <v>1657</v>
      </c>
      <c r="V335" s="497">
        <f>19.5-1</f>
        <v>18.5</v>
      </c>
      <c r="W335" s="497"/>
      <c r="X335" s="494">
        <f>19.5-1</f>
        <v>18.5</v>
      </c>
      <c r="Y335" s="498"/>
      <c r="Z335" s="494">
        <f>19.5-1</f>
        <v>18.5</v>
      </c>
      <c r="AA335" s="498"/>
      <c r="AB335" s="494">
        <f>19.5-1</f>
        <v>18.5</v>
      </c>
      <c r="AC335" s="498"/>
      <c r="AD335" s="494">
        <f>19.5-1</f>
        <v>18.5</v>
      </c>
      <c r="AE335" s="265"/>
      <c r="AF335" s="264"/>
      <c r="AG335" s="288"/>
    </row>
    <row r="336" spans="1:33" s="229" customFormat="1" x14ac:dyDescent="0.15">
      <c r="A336" s="382">
        <v>24</v>
      </c>
      <c r="B336" s="534"/>
      <c r="C336" s="535"/>
      <c r="D336" s="535"/>
      <c r="E336" s="536"/>
      <c r="F336" s="47" t="str">
        <f>VLOOKUP($H:$H,型材表!$B$5:$I$448,2,0)</f>
        <v>中梃角码</v>
      </c>
      <c r="G336" s="232"/>
      <c r="H336" s="45" t="str">
        <f>IF(G303=70,"SN70F001",IF(G303=75,"SN70F001",IF(G303=551,"SN55BF001",IF(G303=601,"SN55BF001","SN55F002"))))</f>
        <v>SN55F002</v>
      </c>
      <c r="I336" s="207" t="s">
        <v>1669</v>
      </c>
      <c r="J336" s="234">
        <f>IF(G298=55,V336,IF(G298=551,X336,IF(G298=60,Z336,IF(G298=601,AB336,IF(G298=65,AD336,IF(G298=50,AF336))))))</f>
        <v>13.5</v>
      </c>
      <c r="K336" s="233">
        <v>4</v>
      </c>
      <c r="L336" s="47">
        <f>VLOOKUP($H:$H,型材表!$B$5:$I$448,4,0)</f>
        <v>0.90400000000000003</v>
      </c>
      <c r="M336" s="46">
        <f t="shared" si="48"/>
        <v>4.8816000000000005E-2</v>
      </c>
      <c r="N336" s="72">
        <f>VLOOKUP($H:$H,型材表!$B$5:$I$448,7,0)</f>
        <v>0</v>
      </c>
      <c r="O336" s="46">
        <f t="shared" si="49"/>
        <v>0</v>
      </c>
      <c r="P336" s="100">
        <f>VLOOKUP($H:$H,型材表!$B$5:$I$448,5,0)</f>
        <v>0.125</v>
      </c>
      <c r="Q336" s="100" t="str">
        <f>VLOOKUP($H:$H,型材表!$B$5:$I$448,6,0)</f>
        <v>阳极氧化铝型材</v>
      </c>
      <c r="R336" s="235"/>
      <c r="S336" s="228"/>
      <c r="T336" s="479"/>
      <c r="U336" s="470" t="s">
        <v>1658</v>
      </c>
      <c r="V336" s="499">
        <f>14.5-1</f>
        <v>13.5</v>
      </c>
      <c r="W336" s="499"/>
      <c r="X336" s="500">
        <f>14.5-1</f>
        <v>13.5</v>
      </c>
      <c r="Y336" s="501"/>
      <c r="Z336" s="500">
        <f>14.5-1</f>
        <v>13.5</v>
      </c>
      <c r="AA336" s="501"/>
      <c r="AB336" s="500">
        <f>14.5-1</f>
        <v>13.5</v>
      </c>
      <c r="AC336" s="501"/>
      <c r="AD336" s="500">
        <f>14.5-1</f>
        <v>13.5</v>
      </c>
      <c r="AE336" s="268"/>
      <c r="AF336" s="267"/>
      <c r="AG336" s="289"/>
    </row>
    <row r="337" spans="1:33" s="229" customFormat="1" x14ac:dyDescent="0.15">
      <c r="A337" s="382">
        <v>25</v>
      </c>
      <c r="B337" s="534"/>
      <c r="C337" s="535"/>
      <c r="D337" s="535"/>
      <c r="E337" s="536"/>
      <c r="F337" s="47" t="str">
        <f>VLOOKUP($H:$H,型材表!$B$5:$I$448,2,0)</f>
        <v>角码</v>
      </c>
      <c r="G337" s="51" t="s">
        <v>446</v>
      </c>
      <c r="H337" s="45" t="str">
        <f>IF(G308=65,"SW55F001","SN55F003")</f>
        <v>SN55F003</v>
      </c>
      <c r="I337" s="207" t="s">
        <v>1404</v>
      </c>
      <c r="J337" s="231">
        <f>V337</f>
        <v>32.200000000000003</v>
      </c>
      <c r="K337" s="222">
        <v>4</v>
      </c>
      <c r="L337" s="47">
        <f>VLOOKUP($H:$H,型材表!$B$5:$I$448,4,0)</f>
        <v>1.7490000000000001</v>
      </c>
      <c r="M337" s="46">
        <f t="shared" ref="M337:M339" si="57">J337*K337*L337/1000</f>
        <v>0.22527120000000003</v>
      </c>
      <c r="N337" s="72">
        <f>VLOOKUP($H:$H,型材表!$B$5:$I$448,7,0)</f>
        <v>0</v>
      </c>
      <c r="O337" s="46">
        <f t="shared" ref="O337:O339" si="58">N337*M337</f>
        <v>0</v>
      </c>
      <c r="P337" s="100">
        <f>VLOOKUP($H:$H,型材表!$B$5:$I$448,5,0)</f>
        <v>0.125</v>
      </c>
      <c r="Q337" s="100" t="str">
        <f>VLOOKUP($H:$H,型材表!$B$5:$I$448,6,0)</f>
        <v>阳极氧化铝型材</v>
      </c>
      <c r="R337" s="296"/>
      <c r="S337" s="228"/>
      <c r="T337" s="479"/>
      <c r="U337" s="470" t="s">
        <v>1404</v>
      </c>
      <c r="V337" s="259">
        <f>19.5-1+14.7-1</f>
        <v>32.200000000000003</v>
      </c>
      <c r="W337" s="266"/>
      <c r="X337" s="267"/>
      <c r="Y337" s="268"/>
      <c r="Z337" s="267"/>
      <c r="AA337" s="268"/>
      <c r="AB337" s="267"/>
      <c r="AC337" s="268"/>
      <c r="AD337" s="267"/>
      <c r="AE337" s="268"/>
      <c r="AF337" s="267"/>
      <c r="AG337" s="289"/>
    </row>
    <row r="338" spans="1:33" s="229" customFormat="1" x14ac:dyDescent="0.15">
      <c r="A338" s="382">
        <v>26</v>
      </c>
      <c r="B338" s="534"/>
      <c r="C338" s="535"/>
      <c r="D338" s="535"/>
      <c r="E338" s="536"/>
      <c r="F338" s="47" t="str">
        <f>VLOOKUP($H:$H,型材表!$B$5:$I$448,2,0)</f>
        <v>角码</v>
      </c>
      <c r="G338" s="51" t="s">
        <v>447</v>
      </c>
      <c r="H338" s="45" t="str">
        <f>IF(G308=65,"SN55F003","SN55F003")</f>
        <v>SN55F003</v>
      </c>
      <c r="I338" s="207" t="s">
        <v>1405</v>
      </c>
      <c r="J338" s="231">
        <f t="shared" ref="J338:J339" si="59">V338</f>
        <v>27.1</v>
      </c>
      <c r="K338" s="222">
        <v>4</v>
      </c>
      <c r="L338" s="47">
        <f>VLOOKUP($H:$H,型材表!$B$5:$I$448,4,0)</f>
        <v>1.7490000000000001</v>
      </c>
      <c r="M338" s="46">
        <f t="shared" si="57"/>
        <v>0.18959160000000003</v>
      </c>
      <c r="N338" s="72">
        <f>VLOOKUP($H:$H,型材表!$B$5:$I$448,7,0)</f>
        <v>0</v>
      </c>
      <c r="O338" s="46">
        <f t="shared" si="58"/>
        <v>0</v>
      </c>
      <c r="P338" s="100">
        <f>VLOOKUP($H:$H,型材表!$B$5:$I$448,5,0)</f>
        <v>0.125</v>
      </c>
      <c r="Q338" s="100" t="str">
        <f>VLOOKUP($H:$H,型材表!$B$5:$I$448,6,0)</f>
        <v>阳极氧化铝型材</v>
      </c>
      <c r="R338" s="296"/>
      <c r="S338" s="228"/>
      <c r="T338" s="479"/>
      <c r="U338" s="470" t="s">
        <v>1405</v>
      </c>
      <c r="V338" s="259">
        <f>28.1-1</f>
        <v>27.1</v>
      </c>
      <c r="W338" s="266"/>
      <c r="X338" s="267"/>
      <c r="Y338" s="268"/>
      <c r="Z338" s="267"/>
      <c r="AA338" s="268"/>
      <c r="AB338" s="267"/>
      <c r="AC338" s="268"/>
      <c r="AD338" s="267"/>
      <c r="AE338" s="268"/>
      <c r="AF338" s="267"/>
      <c r="AG338" s="289"/>
    </row>
    <row r="339" spans="1:33" s="229" customFormat="1" x14ac:dyDescent="0.15">
      <c r="A339" s="382">
        <v>27</v>
      </c>
      <c r="B339" s="537"/>
      <c r="C339" s="538"/>
      <c r="D339" s="538"/>
      <c r="E339" s="539"/>
      <c r="F339" s="47" t="str">
        <f>VLOOKUP($H:$H,型材表!$B$5:$I$448,2,0)</f>
        <v>角码</v>
      </c>
      <c r="G339" s="51" t="s">
        <v>447</v>
      </c>
      <c r="H339" s="45" t="str">
        <f>IF(G308=70,"SW50F002",IF(G308=75,"SW50F002","SN55F003"))</f>
        <v>SN55F003</v>
      </c>
      <c r="I339" s="207" t="s">
        <v>1406</v>
      </c>
      <c r="J339" s="231">
        <f t="shared" si="59"/>
        <v>8</v>
      </c>
      <c r="K339" s="233">
        <v>4</v>
      </c>
      <c r="L339" s="47">
        <f>VLOOKUP($H:$H,型材表!$B$5:$I$448,4,0)</f>
        <v>1.7490000000000001</v>
      </c>
      <c r="M339" s="46">
        <f t="shared" si="57"/>
        <v>5.5968000000000004E-2</v>
      </c>
      <c r="N339" s="72">
        <f>VLOOKUP($H:$H,型材表!$B$5:$I$448,7,0)</f>
        <v>0</v>
      </c>
      <c r="O339" s="46">
        <f t="shared" si="58"/>
        <v>0</v>
      </c>
      <c r="P339" s="100">
        <f>VLOOKUP($H:$H,型材表!$B$5:$I$448,5,0)</f>
        <v>0.125</v>
      </c>
      <c r="Q339" s="100" t="str">
        <f>VLOOKUP($H:$H,型材表!$B$5:$I$448,6,0)</f>
        <v>阳极氧化铝型材</v>
      </c>
      <c r="R339" s="296"/>
      <c r="S339" s="228"/>
      <c r="T339" s="479"/>
      <c r="U339" s="470" t="s">
        <v>1406</v>
      </c>
      <c r="V339" s="259">
        <f>9-1</f>
        <v>8</v>
      </c>
      <c r="W339" s="266"/>
      <c r="X339" s="267"/>
      <c r="Y339" s="268"/>
      <c r="Z339" s="267"/>
      <c r="AA339" s="268"/>
      <c r="AB339" s="267"/>
      <c r="AC339" s="268"/>
      <c r="AD339" s="267"/>
      <c r="AE339" s="268"/>
      <c r="AF339" s="267"/>
      <c r="AG339" s="289"/>
    </row>
    <row r="340" spans="1:33" s="229" customFormat="1" x14ac:dyDescent="0.15">
      <c r="A340" s="567" t="s">
        <v>919</v>
      </c>
      <c r="B340" s="568"/>
      <c r="C340" s="568"/>
      <c r="D340" s="568"/>
      <c r="E340" s="568"/>
      <c r="F340" s="568"/>
      <c r="G340" s="568"/>
      <c r="H340" s="568"/>
      <c r="I340" s="568"/>
      <c r="J340" s="568"/>
      <c r="K340" s="568"/>
      <c r="L340" s="569"/>
      <c r="M340" s="224">
        <f>SUMIF($Q$313:$Q$339,A340,$M$313:$M$339)</f>
        <v>41.764376999999996</v>
      </c>
      <c r="N340" s="364"/>
      <c r="O340" s="46"/>
      <c r="P340" s="365"/>
      <c r="Q340" s="360"/>
      <c r="R340" s="296"/>
      <c r="S340" s="228"/>
      <c r="T340" s="479"/>
      <c r="U340" s="471"/>
      <c r="V340" s="259"/>
      <c r="W340" s="266"/>
      <c r="X340" s="267"/>
      <c r="Y340" s="268"/>
      <c r="Z340" s="267"/>
      <c r="AA340" s="268"/>
      <c r="AB340" s="267"/>
      <c r="AC340" s="268"/>
      <c r="AD340" s="267"/>
      <c r="AE340" s="268"/>
      <c r="AF340" s="267"/>
      <c r="AG340" s="289"/>
    </row>
    <row r="341" spans="1:33" s="229" customFormat="1" x14ac:dyDescent="0.15">
      <c r="A341" s="567" t="s">
        <v>920</v>
      </c>
      <c r="B341" s="568"/>
      <c r="C341" s="568"/>
      <c r="D341" s="568"/>
      <c r="E341" s="568"/>
      <c r="F341" s="568"/>
      <c r="G341" s="568"/>
      <c r="H341" s="568"/>
      <c r="I341" s="568"/>
      <c r="J341" s="568"/>
      <c r="K341" s="568"/>
      <c r="L341" s="569"/>
      <c r="M341" s="224">
        <f>SUMIF($Q$313:$Q$339,A341,$M$313:$M$339)</f>
        <v>4.0408764000000001</v>
      </c>
      <c r="N341" s="364"/>
      <c r="O341" s="46"/>
      <c r="P341" s="365"/>
      <c r="Q341" s="360"/>
      <c r="R341" s="296"/>
      <c r="S341" s="228"/>
      <c r="T341" s="479"/>
      <c r="U341" s="471"/>
      <c r="V341" s="259"/>
      <c r="W341" s="266"/>
      <c r="X341" s="267"/>
      <c r="Y341" s="268"/>
      <c r="Z341" s="267"/>
      <c r="AA341" s="268"/>
      <c r="AB341" s="267"/>
      <c r="AC341" s="268"/>
      <c r="AD341" s="267"/>
      <c r="AE341" s="268"/>
      <c r="AF341" s="267"/>
      <c r="AG341" s="289"/>
    </row>
    <row r="342" spans="1:33" s="229" customFormat="1" x14ac:dyDescent="0.15">
      <c r="A342" s="567" t="s">
        <v>921</v>
      </c>
      <c r="B342" s="568"/>
      <c r="C342" s="568"/>
      <c r="D342" s="568"/>
      <c r="E342" s="568"/>
      <c r="F342" s="568"/>
      <c r="G342" s="568"/>
      <c r="H342" s="568"/>
      <c r="I342" s="568"/>
      <c r="J342" s="568"/>
      <c r="K342" s="568"/>
      <c r="L342" s="569"/>
      <c r="M342" s="224">
        <f>SUMIF($Q$313:$Q$339,A342,$M$313:$M$339)</f>
        <v>1.6687896000000002</v>
      </c>
      <c r="N342" s="364"/>
      <c r="O342" s="46"/>
      <c r="P342" s="365"/>
      <c r="Q342" s="360"/>
      <c r="R342" s="296"/>
      <c r="S342" s="228"/>
      <c r="T342" s="479"/>
      <c r="U342" s="471"/>
      <c r="V342" s="259"/>
      <c r="W342" s="266"/>
      <c r="X342" s="267"/>
      <c r="Y342" s="268"/>
      <c r="Z342" s="267"/>
      <c r="AA342" s="268"/>
      <c r="AB342" s="267"/>
      <c r="AC342" s="268"/>
      <c r="AD342" s="267"/>
      <c r="AE342" s="268"/>
      <c r="AF342" s="267"/>
      <c r="AG342" s="289"/>
    </row>
    <row r="343" spans="1:33" x14ac:dyDescent="0.15">
      <c r="A343" s="61"/>
      <c r="B343" s="571"/>
      <c r="C343" s="572"/>
      <c r="D343" s="572"/>
      <c r="E343" s="573"/>
      <c r="F343" s="552" t="s">
        <v>48</v>
      </c>
      <c r="G343" s="557"/>
      <c r="H343" s="557"/>
      <c r="I343" s="557"/>
      <c r="J343" s="557"/>
      <c r="K343" s="557"/>
      <c r="L343" s="553"/>
      <c r="M343" s="62">
        <f>SUM(M340:M342)</f>
        <v>47.474042999999995</v>
      </c>
      <c r="N343" s="63"/>
      <c r="O343" s="62">
        <f>SUM(O313:O336)</f>
        <v>0</v>
      </c>
      <c r="P343" s="63"/>
      <c r="Q343" s="337"/>
      <c r="R343" s="64"/>
      <c r="S343" s="64"/>
      <c r="T343" s="480"/>
      <c r="X343" s="264"/>
      <c r="Y343" s="265"/>
      <c r="Z343" s="264"/>
      <c r="AA343" s="265"/>
      <c r="AB343" s="264"/>
      <c r="AC343" s="265"/>
      <c r="AD343" s="264"/>
      <c r="AE343" s="265"/>
      <c r="AF343" s="264"/>
      <c r="AG343" s="288"/>
    </row>
    <row r="344" spans="1:33" ht="24" x14ac:dyDescent="0.15">
      <c r="A344" s="65"/>
      <c r="B344" s="560" t="s">
        <v>49</v>
      </c>
      <c r="C344" s="561"/>
      <c r="D344" s="561"/>
      <c r="E344" s="562"/>
      <c r="F344" s="565" t="s">
        <v>26</v>
      </c>
      <c r="G344" s="566"/>
      <c r="H344" s="66" t="s">
        <v>1335</v>
      </c>
      <c r="I344" s="351" t="s">
        <v>1336</v>
      </c>
      <c r="J344" s="66" t="s">
        <v>50</v>
      </c>
      <c r="K344" s="66" t="s">
        <v>51</v>
      </c>
      <c r="L344" s="67" t="s">
        <v>30</v>
      </c>
      <c r="M344" s="66" t="s">
        <v>52</v>
      </c>
      <c r="N344" s="68" t="s">
        <v>53</v>
      </c>
      <c r="O344" s="68" t="s">
        <v>34</v>
      </c>
      <c r="P344" s="69" t="s">
        <v>35</v>
      </c>
      <c r="Q344" s="42"/>
      <c r="R344" s="67"/>
      <c r="S344" s="67"/>
      <c r="T344" s="481"/>
      <c r="V344" s="270" t="s">
        <v>352</v>
      </c>
      <c r="W344" s="270" t="s">
        <v>353</v>
      </c>
      <c r="X344" s="271" t="s">
        <v>352</v>
      </c>
      <c r="Y344" s="272" t="s">
        <v>353</v>
      </c>
      <c r="Z344" s="271" t="s">
        <v>352</v>
      </c>
      <c r="AA344" s="272" t="s">
        <v>353</v>
      </c>
      <c r="AB344" s="271" t="s">
        <v>352</v>
      </c>
      <c r="AC344" s="272" t="s">
        <v>353</v>
      </c>
      <c r="AD344" s="271" t="s">
        <v>352</v>
      </c>
      <c r="AE344" s="272" t="s">
        <v>353</v>
      </c>
      <c r="AF344" s="271"/>
      <c r="AG344" s="290"/>
    </row>
    <row r="345" spans="1:33" x14ac:dyDescent="0.15">
      <c r="A345" s="258">
        <v>1</v>
      </c>
      <c r="B345" s="545" t="s">
        <v>133</v>
      </c>
      <c r="C345" s="546"/>
      <c r="D345" s="546"/>
      <c r="E345" s="547"/>
      <c r="F345" s="545" t="s">
        <v>55</v>
      </c>
      <c r="G345" s="547"/>
      <c r="H345" s="45" t="s">
        <v>1408</v>
      </c>
      <c r="I345" s="207" t="s">
        <v>1407</v>
      </c>
      <c r="J345" s="46">
        <f>IF(G298=55,M305-V345,IF(G298=551,M305-X345,IF(G298=60,M305-Z345,IF(G298=601,M305-AB345,IF(G298=65,M305-AD345,IF(G298=50,M305-AF345))))))</f>
        <v>770.5</v>
      </c>
      <c r="K345" s="70">
        <f>IF(G298=55,M300-W345,IF(G298=551,M300-Y345,IF(G298=60,M300-AA345,IF(G298=601,M300-AC345,IF(G298=65,M300-AE345,IF(G298=50,M300-AG345))))))</f>
        <v>2079</v>
      </c>
      <c r="L345" s="70">
        <v>1</v>
      </c>
      <c r="M345" s="46">
        <f>J345*K345*L345/1000000</f>
        <v>1.6018695000000001</v>
      </c>
      <c r="N345" s="46"/>
      <c r="O345" s="46">
        <f>N345*M345</f>
        <v>0</v>
      </c>
      <c r="P345" s="71"/>
      <c r="Q345" s="71"/>
      <c r="R345" s="72"/>
      <c r="S345" s="72"/>
      <c r="T345" s="482" t="s">
        <v>1631</v>
      </c>
      <c r="U345" s="470" t="s">
        <v>1611</v>
      </c>
      <c r="V345" s="259">
        <f>110.5+119</f>
        <v>229.5</v>
      </c>
      <c r="W345" s="259">
        <f>110.5*2</f>
        <v>221</v>
      </c>
      <c r="X345" s="286">
        <f>110.5+119</f>
        <v>229.5</v>
      </c>
      <c r="Y345" s="304">
        <f>110.5*2</f>
        <v>221</v>
      </c>
      <c r="Z345" s="286">
        <f>110.5+119</f>
        <v>229.5</v>
      </c>
      <c r="AA345" s="304">
        <f>110.5*2</f>
        <v>221</v>
      </c>
      <c r="AB345" s="286">
        <f>110.5+119</f>
        <v>229.5</v>
      </c>
      <c r="AC345" s="304">
        <f>110.5*2</f>
        <v>221</v>
      </c>
      <c r="AD345" s="286">
        <f>110.5+119</f>
        <v>229.5</v>
      </c>
      <c r="AE345" s="496">
        <f>108.5*2</f>
        <v>217</v>
      </c>
      <c r="AF345" s="264"/>
      <c r="AG345" s="288"/>
    </row>
    <row r="346" spans="1:33" x14ac:dyDescent="0.15">
      <c r="A346" s="238">
        <v>2</v>
      </c>
      <c r="B346" s="545" t="s">
        <v>133</v>
      </c>
      <c r="C346" s="546"/>
      <c r="D346" s="546"/>
      <c r="E346" s="547"/>
      <c r="F346" s="545" t="s">
        <v>135</v>
      </c>
      <c r="G346" s="547"/>
      <c r="H346" s="207" t="s">
        <v>1409</v>
      </c>
      <c r="I346" s="207" t="s">
        <v>1410</v>
      </c>
      <c r="J346" s="208">
        <f>IF(G298=55,M307-V346,IF(G298=551,M307-X346,IF(G298=60,M307-Z346,IF(G298=601,M307-AB346,IF(G298=65,M307-AD346,IF(G298=50,M307-AF346))))))</f>
        <v>575</v>
      </c>
      <c r="K346" s="239">
        <f>IF(G298=55,M302-W346,IF(G298=551,M302-Y346,IF(G298=60,M302-AA346,IF(G298=601,M302-AC346,IF(G298=65,M302-AE346,IF(G298=50,M302-AG346))))))</f>
        <v>1225</v>
      </c>
      <c r="L346" s="239">
        <v>1</v>
      </c>
      <c r="M346" s="46">
        <f>J346*K346*L346/1000000</f>
        <v>0.70437499999999997</v>
      </c>
      <c r="N346" s="208"/>
      <c r="O346" s="46">
        <f>N346*M346</f>
        <v>0</v>
      </c>
      <c r="P346" s="240"/>
      <c r="Q346" s="71"/>
      <c r="R346" s="209"/>
      <c r="S346" s="209"/>
      <c r="T346" s="482" t="s">
        <v>1632</v>
      </c>
      <c r="U346" s="470" t="s">
        <v>1635</v>
      </c>
      <c r="V346" s="259">
        <f t="shared" ref="V346:AE346" si="60">70+55</f>
        <v>125</v>
      </c>
      <c r="W346" s="259">
        <f t="shared" si="60"/>
        <v>125</v>
      </c>
      <c r="X346" s="286">
        <f t="shared" si="60"/>
        <v>125</v>
      </c>
      <c r="Y346" s="304">
        <f t="shared" si="60"/>
        <v>125</v>
      </c>
      <c r="Z346" s="286">
        <f t="shared" si="60"/>
        <v>125</v>
      </c>
      <c r="AA346" s="304">
        <f t="shared" si="60"/>
        <v>125</v>
      </c>
      <c r="AB346" s="286">
        <f t="shared" si="60"/>
        <v>125</v>
      </c>
      <c r="AC346" s="304">
        <f t="shared" si="60"/>
        <v>125</v>
      </c>
      <c r="AD346" s="286">
        <f t="shared" si="60"/>
        <v>125</v>
      </c>
      <c r="AE346" s="304">
        <f t="shared" si="60"/>
        <v>125</v>
      </c>
      <c r="AF346" s="264"/>
      <c r="AG346" s="288"/>
    </row>
    <row r="347" spans="1:33" x14ac:dyDescent="0.15">
      <c r="A347" s="258">
        <v>3</v>
      </c>
      <c r="B347" s="545" t="s">
        <v>855</v>
      </c>
      <c r="C347" s="546"/>
      <c r="D347" s="546"/>
      <c r="E347" s="547"/>
      <c r="F347" s="545" t="s">
        <v>145</v>
      </c>
      <c r="G347" s="547"/>
      <c r="H347" s="45" t="s">
        <v>1411</v>
      </c>
      <c r="I347" s="207" t="s">
        <v>1412</v>
      </c>
      <c r="J347" s="45">
        <f>IF(G298=55,M306-V347,IF(G298=551,M306-X347,IF(G298=60,M306-Z347,IF(G298=601,M306-AB347,IF(G298=65,M306-AD347,IF(G298=50,M306-AF347))))))</f>
        <v>839</v>
      </c>
      <c r="K347" s="45">
        <f>IF(G298=55,M300-W347,IF(G298=551,M300-Y347,IF(G298=60,M300-AA347,IF(G298=601,M300-AC347,IF(G298=65,M300-AE347,IF(G298=50,M300-AG347))))))</f>
        <v>2234</v>
      </c>
      <c r="L347" s="70">
        <v>1</v>
      </c>
      <c r="M347" s="46">
        <f>J347*K347*L347/1000000</f>
        <v>1.8743259999999999</v>
      </c>
      <c r="N347" s="46"/>
      <c r="O347" s="46">
        <f>N347*M347</f>
        <v>0</v>
      </c>
      <c r="P347" s="71"/>
      <c r="Q347" s="71"/>
      <c r="R347" s="72"/>
      <c r="S347" s="72"/>
      <c r="T347" s="482" t="s">
        <v>1633</v>
      </c>
      <c r="U347" s="470" t="s">
        <v>1636</v>
      </c>
      <c r="V347" s="259">
        <f>43+18</f>
        <v>61</v>
      </c>
      <c r="W347" s="259">
        <f>33*2</f>
        <v>66</v>
      </c>
      <c r="X347" s="286">
        <f>43+18</f>
        <v>61</v>
      </c>
      <c r="Y347" s="304">
        <f>33*2</f>
        <v>66</v>
      </c>
      <c r="Z347" s="286">
        <f>43+18</f>
        <v>61</v>
      </c>
      <c r="AA347" s="304">
        <f>33*2</f>
        <v>66</v>
      </c>
      <c r="AB347" s="286">
        <f>43+18</f>
        <v>61</v>
      </c>
      <c r="AC347" s="304">
        <f>33*2</f>
        <v>66</v>
      </c>
      <c r="AD347" s="286">
        <f>43+18</f>
        <v>61</v>
      </c>
      <c r="AE347" s="304">
        <f>33*2</f>
        <v>66</v>
      </c>
      <c r="AF347" s="264"/>
      <c r="AG347" s="288"/>
    </row>
    <row r="348" spans="1:33" x14ac:dyDescent="0.15">
      <c r="A348" s="238">
        <v>4</v>
      </c>
      <c r="B348" s="545" t="s">
        <v>855</v>
      </c>
      <c r="C348" s="546"/>
      <c r="D348" s="546"/>
      <c r="E348" s="547"/>
      <c r="F348" s="545" t="s">
        <v>147</v>
      </c>
      <c r="G348" s="547"/>
      <c r="H348" s="207" t="s">
        <v>1413</v>
      </c>
      <c r="I348" s="207" t="s">
        <v>1414</v>
      </c>
      <c r="J348" s="46">
        <f>IF(G298=55,M307-V348,IF(G298=551,M307-X348,IF(G298=60,M307-Z348,IF(G298=601,M307-AB348,IF(G298=65,M307-AD348,IF(G298=50,M307-AF348))))))</f>
        <v>649</v>
      </c>
      <c r="K348" s="258">
        <f>IF(G298=55,M303-W348,IF(G298=551,M303-Y348,IF(G298=60,M303-AA348,IF(G298=601,M303-AC348,IF(G298=65,M303-AE348,IF(G298=50,M303-AG348))))))</f>
        <v>899</v>
      </c>
      <c r="L348" s="239">
        <v>1</v>
      </c>
      <c r="M348" s="46">
        <f>J348*K348*L348/1000000</f>
        <v>0.58345100000000005</v>
      </c>
      <c r="N348" s="46"/>
      <c r="O348" s="46">
        <f>N348*M348</f>
        <v>0</v>
      </c>
      <c r="P348" s="48"/>
      <c r="Q348" s="48"/>
      <c r="R348" s="73"/>
      <c r="S348" s="73"/>
      <c r="T348" s="478" t="s">
        <v>1634</v>
      </c>
      <c r="U348" s="470" t="s">
        <v>1637</v>
      </c>
      <c r="V348" s="259">
        <f>33+18</f>
        <v>51</v>
      </c>
      <c r="W348" s="259">
        <f>18+33</f>
        <v>51</v>
      </c>
      <c r="X348" s="286">
        <f>33+18</f>
        <v>51</v>
      </c>
      <c r="Y348" s="304">
        <f>18+33</f>
        <v>51</v>
      </c>
      <c r="Z348" s="286">
        <f>33+18</f>
        <v>51</v>
      </c>
      <c r="AA348" s="304">
        <f>18+33</f>
        <v>51</v>
      </c>
      <c r="AB348" s="286">
        <f>33+18</f>
        <v>51</v>
      </c>
      <c r="AC348" s="304">
        <f>18+33</f>
        <v>51</v>
      </c>
      <c r="AD348" s="286">
        <f>33+18</f>
        <v>51</v>
      </c>
      <c r="AE348" s="304">
        <f>18+33</f>
        <v>51</v>
      </c>
    </row>
    <row r="349" spans="1:33" x14ac:dyDescent="0.15">
      <c r="A349" s="74"/>
      <c r="B349" s="571"/>
      <c r="C349" s="572"/>
      <c r="D349" s="572"/>
      <c r="E349" s="573"/>
      <c r="F349" s="554" t="s">
        <v>56</v>
      </c>
      <c r="G349" s="554"/>
      <c r="H349" s="554"/>
      <c r="I349" s="579"/>
      <c r="J349" s="570"/>
      <c r="K349" s="570"/>
      <c r="L349" s="554"/>
      <c r="M349" s="62">
        <f>SUM(M345:M348)</f>
        <v>4.7640215000000001</v>
      </c>
      <c r="N349" s="255"/>
      <c r="O349" s="62">
        <f>SUM(O345:O348)</f>
        <v>0</v>
      </c>
      <c r="P349" s="63" t="s">
        <v>57</v>
      </c>
      <c r="Q349" s="337"/>
      <c r="R349" s="64"/>
      <c r="S349" s="64"/>
      <c r="T349" s="480"/>
    </row>
    <row r="350" spans="1:33" ht="24" x14ac:dyDescent="0.15">
      <c r="A350" s="65"/>
      <c r="B350" s="560" t="s">
        <v>58</v>
      </c>
      <c r="C350" s="561"/>
      <c r="D350" s="561"/>
      <c r="E350" s="562"/>
      <c r="F350" s="565" t="s">
        <v>26</v>
      </c>
      <c r="G350" s="566"/>
      <c r="H350" s="66" t="s">
        <v>59</v>
      </c>
      <c r="I350" s="351"/>
      <c r="J350" s="66" t="s">
        <v>60</v>
      </c>
      <c r="K350" s="66" t="s">
        <v>6</v>
      </c>
      <c r="L350" s="67" t="s">
        <v>61</v>
      </c>
      <c r="M350" s="66" t="s">
        <v>30</v>
      </c>
      <c r="N350" s="68" t="s">
        <v>62</v>
      </c>
      <c r="O350" s="68" t="s">
        <v>34</v>
      </c>
      <c r="P350" s="69" t="s">
        <v>57</v>
      </c>
      <c r="Q350" s="42"/>
      <c r="R350" s="67"/>
      <c r="S350" s="67"/>
      <c r="T350" s="481"/>
    </row>
    <row r="351" spans="1:33" ht="25.5" customHeight="1" x14ac:dyDescent="0.15">
      <c r="A351" s="258">
        <v>1</v>
      </c>
      <c r="B351" s="545"/>
      <c r="C351" s="546"/>
      <c r="D351" s="546"/>
      <c r="E351" s="547"/>
      <c r="F351" s="545" t="s">
        <v>852</v>
      </c>
      <c r="G351" s="547"/>
      <c r="H351" s="45"/>
      <c r="I351" s="207"/>
      <c r="J351" s="45"/>
      <c r="K351" s="46" t="str">
        <f>VLOOKUP($F:$F,材料单价表!$B$3:$G$42,4,0)</f>
        <v>套</v>
      </c>
      <c r="L351" s="72"/>
      <c r="M351" s="46">
        <v>1</v>
      </c>
      <c r="N351" s="46">
        <f>VLOOKUP($F:$F,材料单价表!$B$3:$G$42,5,0)</f>
        <v>0</v>
      </c>
      <c r="O351" s="46">
        <f t="shared" ref="O351" si="61">N351*M351</f>
        <v>0</v>
      </c>
      <c r="P351" s="48"/>
      <c r="Q351" s="48"/>
      <c r="R351" s="73"/>
      <c r="S351" s="73"/>
      <c r="T351" s="478"/>
    </row>
    <row r="352" spans="1:33" ht="25.5" customHeight="1" x14ac:dyDescent="0.15">
      <c r="A352" s="258">
        <v>2</v>
      </c>
      <c r="B352" s="545"/>
      <c r="C352" s="546"/>
      <c r="D352" s="546"/>
      <c r="E352" s="547"/>
      <c r="F352" s="545" t="s">
        <v>63</v>
      </c>
      <c r="G352" s="547"/>
      <c r="H352" s="45"/>
      <c r="I352" s="207"/>
      <c r="J352" s="45"/>
      <c r="K352" s="46" t="str">
        <f>VLOOKUP($F:$F,材料单价表!$B$3:$G$42,4,0)</f>
        <v>套</v>
      </c>
      <c r="L352" s="72"/>
      <c r="M352" s="46">
        <v>1</v>
      </c>
      <c r="N352" s="46">
        <f>VLOOKUP($F:$F,材料单价表!$B$3:$G$42,5,0)</f>
        <v>0</v>
      </c>
      <c r="O352" s="46">
        <f t="shared" ref="O352" si="62">N352*M352</f>
        <v>0</v>
      </c>
      <c r="P352" s="48"/>
      <c r="Q352" s="48"/>
      <c r="R352" s="73"/>
      <c r="S352" s="73"/>
      <c r="T352" s="478"/>
    </row>
    <row r="353" spans="1:23" x14ac:dyDescent="0.15">
      <c r="A353" s="74"/>
      <c r="B353" s="571"/>
      <c r="C353" s="572"/>
      <c r="D353" s="572"/>
      <c r="E353" s="573"/>
      <c r="F353" s="554" t="s">
        <v>64</v>
      </c>
      <c r="G353" s="554"/>
      <c r="H353" s="554"/>
      <c r="I353" s="579"/>
      <c r="J353" s="570"/>
      <c r="K353" s="570"/>
      <c r="L353" s="554"/>
      <c r="M353" s="62">
        <f>M351+M352</f>
        <v>2</v>
      </c>
      <c r="N353" s="255"/>
      <c r="O353" s="62">
        <f>SUM(O351:O351)</f>
        <v>0</v>
      </c>
      <c r="P353" s="63" t="s">
        <v>57</v>
      </c>
      <c r="Q353" s="337"/>
      <c r="R353" s="64"/>
      <c r="S353" s="64"/>
      <c r="T353" s="480"/>
    </row>
    <row r="354" spans="1:23" ht="24" x14ac:dyDescent="0.15">
      <c r="A354" s="65"/>
      <c r="B354" s="560" t="s">
        <v>65</v>
      </c>
      <c r="C354" s="561"/>
      <c r="D354" s="561"/>
      <c r="E354" s="562"/>
      <c r="F354" s="565" t="s">
        <v>26</v>
      </c>
      <c r="G354" s="566"/>
      <c r="H354" s="66" t="s">
        <v>59</v>
      </c>
      <c r="I354" s="351"/>
      <c r="J354" s="66" t="s">
        <v>60</v>
      </c>
      <c r="K354" s="66" t="s">
        <v>6</v>
      </c>
      <c r="L354" s="67" t="s">
        <v>61</v>
      </c>
      <c r="M354" s="66" t="s">
        <v>30</v>
      </c>
      <c r="N354" s="68" t="s">
        <v>62</v>
      </c>
      <c r="O354" s="68" t="s">
        <v>34</v>
      </c>
      <c r="P354" s="69" t="s">
        <v>57</v>
      </c>
      <c r="Q354" s="42"/>
      <c r="R354" s="67"/>
      <c r="S354" s="67"/>
      <c r="T354" s="481"/>
    </row>
    <row r="355" spans="1:23" ht="13.5" customHeight="1" x14ac:dyDescent="0.15">
      <c r="A355" s="76">
        <v>1</v>
      </c>
      <c r="B355" s="545"/>
      <c r="C355" s="546"/>
      <c r="D355" s="546"/>
      <c r="E355" s="547"/>
      <c r="F355" s="558" t="s">
        <v>66</v>
      </c>
      <c r="G355" s="559"/>
      <c r="H355" s="78"/>
      <c r="I355" s="352"/>
      <c r="J355" s="77"/>
      <c r="K355" s="46" t="str">
        <f>VLOOKUP($F:$F,材料单价表!$B$3:$G$42,4,0)</f>
        <v>m</v>
      </c>
      <c r="L355" s="46"/>
      <c r="M355" s="80">
        <f>M311</f>
        <v>10.199999999999999</v>
      </c>
      <c r="N355" s="46">
        <f>VLOOKUP($F:$F,材料单价表!$B$3:$G$42,5,0)</f>
        <v>0</v>
      </c>
      <c r="O355" s="46">
        <f>N355*M355</f>
        <v>0</v>
      </c>
      <c r="P355" s="48"/>
      <c r="Q355" s="59"/>
      <c r="R355" s="81"/>
      <c r="S355" s="79"/>
      <c r="T355" s="483"/>
    </row>
    <row r="356" spans="1:23" ht="15.75" customHeight="1" x14ac:dyDescent="0.15">
      <c r="A356" s="76">
        <v>2</v>
      </c>
      <c r="B356" s="545"/>
      <c r="C356" s="546"/>
      <c r="D356" s="546"/>
      <c r="E356" s="547"/>
      <c r="F356" s="558" t="s">
        <v>68</v>
      </c>
      <c r="G356" s="559"/>
      <c r="H356" s="78" t="s">
        <v>67</v>
      </c>
      <c r="I356" s="352"/>
      <c r="J356" s="77"/>
      <c r="K356" s="46" t="str">
        <f>VLOOKUP($F:$F,材料单价表!$B$3:$G$42,4,0)</f>
        <v>m</v>
      </c>
      <c r="L356" s="46"/>
      <c r="M356" s="80">
        <f>(J324*K324+J331*K331+J325*K325+J326*K326+J327*K327+J328*K328+J329*K329+J330*K330)/1000*2</f>
        <v>37.7652</v>
      </c>
      <c r="N356" s="46">
        <f>VLOOKUP($F:$F,材料单价表!$B$3:$G$42,5,0)</f>
        <v>0</v>
      </c>
      <c r="O356" s="46">
        <f t="shared" ref="O356:O361" si="63">N356*M356</f>
        <v>0</v>
      </c>
      <c r="P356" s="48"/>
      <c r="Q356" s="59"/>
      <c r="R356" s="81"/>
      <c r="S356" s="79"/>
      <c r="T356" s="483"/>
      <c r="V356" s="104"/>
      <c r="W356" s="104"/>
    </row>
    <row r="357" spans="1:23" ht="13.5" customHeight="1" x14ac:dyDescent="0.15">
      <c r="A357" s="76">
        <v>3</v>
      </c>
      <c r="B357" s="545"/>
      <c r="C357" s="546"/>
      <c r="D357" s="546"/>
      <c r="E357" s="547"/>
      <c r="F357" s="558" t="s">
        <v>68</v>
      </c>
      <c r="G357" s="559"/>
      <c r="H357" s="78" t="s">
        <v>69</v>
      </c>
      <c r="I357" s="352"/>
      <c r="J357" s="77"/>
      <c r="K357" s="46" t="str">
        <f>VLOOKUP($F:$F,材料单价表!$B$3:$G$42,4,0)</f>
        <v>m</v>
      </c>
      <c r="L357" s="46"/>
      <c r="M357" s="80">
        <f>M311</f>
        <v>10.199999999999999</v>
      </c>
      <c r="N357" s="46">
        <f>VLOOKUP($F:$F,材料单价表!$B$3:$G$42,5,0)</f>
        <v>0</v>
      </c>
      <c r="O357" s="46">
        <f t="shared" si="63"/>
        <v>0</v>
      </c>
      <c r="P357" s="48"/>
      <c r="Q357" s="59"/>
      <c r="R357" s="81"/>
      <c r="S357" s="79"/>
      <c r="T357" s="483"/>
      <c r="V357" s="104"/>
      <c r="W357" s="104"/>
    </row>
    <row r="358" spans="1:23" ht="13.5" customHeight="1" x14ac:dyDescent="0.15">
      <c r="A358" s="76">
        <v>4</v>
      </c>
      <c r="B358" s="545"/>
      <c r="C358" s="546"/>
      <c r="D358" s="546"/>
      <c r="E358" s="547"/>
      <c r="F358" s="558" t="s">
        <v>68</v>
      </c>
      <c r="G358" s="559"/>
      <c r="H358" s="78" t="s">
        <v>70</v>
      </c>
      <c r="I358" s="352"/>
      <c r="J358" s="77"/>
      <c r="K358" s="46" t="str">
        <f>VLOOKUP($F:$F,材料单价表!$B$3:$G$42,4,0)</f>
        <v>m</v>
      </c>
      <c r="L358" s="46"/>
      <c r="M358" s="80">
        <f>M311</f>
        <v>10.199999999999999</v>
      </c>
      <c r="N358" s="46">
        <f>VLOOKUP($F:$F,材料单价表!$B$3:$G$42,5,0)</f>
        <v>0</v>
      </c>
      <c r="O358" s="46">
        <f t="shared" si="63"/>
        <v>0</v>
      </c>
      <c r="P358" s="48"/>
      <c r="Q358" s="59"/>
      <c r="R358" s="81"/>
      <c r="S358" s="79"/>
      <c r="T358" s="483"/>
      <c r="V358" s="104"/>
      <c r="W358" s="104"/>
    </row>
    <row r="359" spans="1:23" ht="13.5" customHeight="1" x14ac:dyDescent="0.15">
      <c r="A359" s="76">
        <v>5</v>
      </c>
      <c r="B359" s="545"/>
      <c r="C359" s="546"/>
      <c r="D359" s="546"/>
      <c r="E359" s="547"/>
      <c r="F359" s="558" t="s">
        <v>71</v>
      </c>
      <c r="G359" s="559"/>
      <c r="H359" s="78"/>
      <c r="I359" s="352"/>
      <c r="J359" s="77"/>
      <c r="K359" s="46" t="str">
        <f>VLOOKUP($F:$F,材料单价表!$B$3:$G$42,4,0)</f>
        <v>个</v>
      </c>
      <c r="L359" s="79"/>
      <c r="M359" s="80">
        <f>K332+K333+K335+K337+K338</f>
        <v>20</v>
      </c>
      <c r="N359" s="46">
        <f>VLOOKUP($F:$F,材料单价表!$B$3:$G$42,5,0)</f>
        <v>0</v>
      </c>
      <c r="O359" s="46">
        <f t="shared" si="63"/>
        <v>0</v>
      </c>
      <c r="P359" s="48"/>
      <c r="Q359" s="59"/>
      <c r="R359" s="81"/>
      <c r="S359" s="79"/>
      <c r="T359" s="483"/>
    </row>
    <row r="360" spans="1:23" ht="13.5" customHeight="1" x14ac:dyDescent="0.15">
      <c r="A360" s="76">
        <v>6</v>
      </c>
      <c r="B360" s="545"/>
      <c r="C360" s="546"/>
      <c r="D360" s="546"/>
      <c r="E360" s="547"/>
      <c r="F360" s="558" t="s">
        <v>121</v>
      </c>
      <c r="G360" s="559"/>
      <c r="H360" s="78"/>
      <c r="I360" s="352"/>
      <c r="J360" s="77"/>
      <c r="K360" s="46" t="str">
        <f>VLOOKUP($F:$F,材料单价表!$B$3:$G$42,4,0)</f>
        <v>m</v>
      </c>
      <c r="L360" s="79"/>
      <c r="M360" s="80">
        <f>(J317*K317+J318*K318)/1000*2</f>
        <v>12.672000000000001</v>
      </c>
      <c r="N360" s="46">
        <f>VLOOKUP($F:$F,材料单价表!$B$3:$G$42,5,0)</f>
        <v>0</v>
      </c>
      <c r="O360" s="46">
        <f t="shared" si="63"/>
        <v>0</v>
      </c>
      <c r="P360" s="48"/>
      <c r="Q360" s="59"/>
      <c r="R360" s="81"/>
      <c r="S360" s="46"/>
      <c r="T360" s="484"/>
    </row>
    <row r="361" spans="1:23" x14ac:dyDescent="0.15">
      <c r="A361" s="76">
        <v>7</v>
      </c>
      <c r="B361" s="545"/>
      <c r="C361" s="546"/>
      <c r="D361" s="546"/>
      <c r="E361" s="547"/>
      <c r="F361" s="558" t="s">
        <v>72</v>
      </c>
      <c r="G361" s="559"/>
      <c r="H361" s="45"/>
      <c r="I361" s="207"/>
      <c r="J361" s="45"/>
      <c r="K361" s="46" t="str">
        <f>VLOOKUP($F:$F,材料单价表!$B$3:$G$42,4,0)</f>
        <v>m2</v>
      </c>
      <c r="L361" s="72"/>
      <c r="M361" s="46">
        <f>M367</f>
        <v>6.48</v>
      </c>
      <c r="N361" s="46">
        <f>VLOOKUP($F:$F,材料单价表!$B$3:$G$42,5,0)</f>
        <v>0</v>
      </c>
      <c r="O361" s="46">
        <f t="shared" si="63"/>
        <v>0</v>
      </c>
      <c r="P361" s="48"/>
      <c r="Q361" s="48"/>
      <c r="R361" s="73"/>
      <c r="S361" s="73"/>
      <c r="T361" s="478"/>
    </row>
    <row r="362" spans="1:23" x14ac:dyDescent="0.15">
      <c r="A362" s="76">
        <v>8</v>
      </c>
      <c r="B362" s="545"/>
      <c r="C362" s="546"/>
      <c r="D362" s="546"/>
      <c r="E362" s="547"/>
      <c r="F362" s="256"/>
      <c r="G362" s="257"/>
      <c r="H362" s="207"/>
      <c r="I362" s="207"/>
      <c r="J362" s="207"/>
      <c r="K362" s="208"/>
      <c r="L362" s="209"/>
      <c r="M362" s="208"/>
      <c r="N362" s="208"/>
      <c r="O362" s="208"/>
      <c r="P362" s="211"/>
      <c r="Q362" s="48"/>
      <c r="R362" s="212"/>
      <c r="S362" s="212"/>
      <c r="T362" s="478"/>
    </row>
    <row r="363" spans="1:23" x14ac:dyDescent="0.15">
      <c r="A363" s="76">
        <v>9</v>
      </c>
      <c r="B363" s="545"/>
      <c r="C363" s="546"/>
      <c r="D363" s="546"/>
      <c r="E363" s="547"/>
      <c r="F363" s="558"/>
      <c r="G363" s="559"/>
      <c r="H363" s="45"/>
      <c r="I363" s="207"/>
      <c r="J363" s="45"/>
      <c r="K363" s="45"/>
      <c r="L363" s="72"/>
      <c r="M363" s="46"/>
      <c r="N363" s="46"/>
      <c r="O363" s="82"/>
      <c r="P363" s="48"/>
      <c r="Q363" s="48"/>
      <c r="R363" s="73"/>
      <c r="S363" s="73"/>
      <c r="T363" s="478"/>
    </row>
    <row r="364" spans="1:23" x14ac:dyDescent="0.15">
      <c r="A364" s="74"/>
      <c r="B364" s="571"/>
      <c r="C364" s="572"/>
      <c r="D364" s="572"/>
      <c r="E364" s="573"/>
      <c r="F364" s="552" t="s">
        <v>73</v>
      </c>
      <c r="G364" s="557"/>
      <c r="H364" s="557"/>
      <c r="I364" s="557"/>
      <c r="J364" s="557"/>
      <c r="K364" s="557"/>
      <c r="L364" s="557"/>
      <c r="M364" s="61"/>
      <c r="N364" s="61"/>
      <c r="O364" s="62">
        <f>SUM(O355:O363)</f>
        <v>0</v>
      </c>
      <c r="P364" s="63" t="s">
        <v>57</v>
      </c>
      <c r="Q364" s="337"/>
      <c r="R364" s="64"/>
      <c r="S364" s="64"/>
      <c r="T364" s="480"/>
    </row>
    <row r="365" spans="1:23" x14ac:dyDescent="0.15">
      <c r="A365" s="74"/>
      <c r="B365" s="571"/>
      <c r="C365" s="572"/>
      <c r="D365" s="572"/>
      <c r="E365" s="573"/>
      <c r="F365" s="552" t="s">
        <v>74</v>
      </c>
      <c r="G365" s="557"/>
      <c r="H365" s="557"/>
      <c r="I365" s="557"/>
      <c r="J365" s="557"/>
      <c r="K365" s="557"/>
      <c r="L365" s="557"/>
      <c r="M365" s="557"/>
      <c r="N365" s="553"/>
      <c r="O365" s="62">
        <f>O364+O353+O349+O343</f>
        <v>0</v>
      </c>
      <c r="P365" s="63" t="s">
        <v>57</v>
      </c>
      <c r="Q365" s="337"/>
      <c r="R365" s="64"/>
      <c r="S365" s="64"/>
      <c r="T365" s="480"/>
    </row>
    <row r="366" spans="1:23" ht="24" x14ac:dyDescent="0.15">
      <c r="A366" s="65"/>
      <c r="B366" s="560" t="s">
        <v>75</v>
      </c>
      <c r="C366" s="561"/>
      <c r="D366" s="561"/>
      <c r="E366" s="562"/>
      <c r="F366" s="565" t="s">
        <v>26</v>
      </c>
      <c r="G366" s="566"/>
      <c r="H366" s="66"/>
      <c r="I366" s="351"/>
      <c r="J366" s="66"/>
      <c r="K366" s="66" t="s">
        <v>6</v>
      </c>
      <c r="L366" s="83" t="s">
        <v>61</v>
      </c>
      <c r="M366" s="66" t="s">
        <v>76</v>
      </c>
      <c r="N366" s="68" t="s">
        <v>62</v>
      </c>
      <c r="O366" s="68" t="s">
        <v>34</v>
      </c>
      <c r="P366" s="84" t="s">
        <v>57</v>
      </c>
      <c r="Q366" s="84"/>
      <c r="R366" s="67"/>
      <c r="S366" s="67"/>
      <c r="T366" s="481"/>
    </row>
    <row r="367" spans="1:23" x14ac:dyDescent="0.15">
      <c r="A367" s="258">
        <v>1</v>
      </c>
      <c r="B367" s="545"/>
      <c r="C367" s="546"/>
      <c r="D367" s="546"/>
      <c r="E367" s="547"/>
      <c r="F367" s="545" t="s">
        <v>77</v>
      </c>
      <c r="G367" s="547"/>
      <c r="H367" s="45"/>
      <c r="I367" s="207"/>
      <c r="J367" s="46"/>
      <c r="K367" s="45" t="s">
        <v>78</v>
      </c>
      <c r="L367" s="72"/>
      <c r="M367" s="85">
        <f>O298</f>
        <v>6.48</v>
      </c>
      <c r="N367" s="46">
        <f>VLOOKUP($F:$F,材料单价表!$B$3:$G$42,5,0)</f>
        <v>0</v>
      </c>
      <c r="O367" s="46">
        <f>N367*M367</f>
        <v>0</v>
      </c>
      <c r="P367" s="48"/>
      <c r="Q367" s="48"/>
      <c r="R367" s="72"/>
      <c r="S367" s="72"/>
      <c r="T367" s="482"/>
    </row>
    <row r="368" spans="1:23" x14ac:dyDescent="0.15">
      <c r="A368" s="258">
        <v>2</v>
      </c>
      <c r="B368" s="545"/>
      <c r="C368" s="546"/>
      <c r="D368" s="546"/>
      <c r="E368" s="547"/>
      <c r="F368" s="545" t="s">
        <v>79</v>
      </c>
      <c r="G368" s="547"/>
      <c r="H368" s="45"/>
      <c r="I368" s="207"/>
      <c r="J368" s="46"/>
      <c r="K368" s="45" t="s">
        <v>78</v>
      </c>
      <c r="L368" s="72"/>
      <c r="M368" s="85">
        <f>M367</f>
        <v>6.48</v>
      </c>
      <c r="N368" s="46">
        <f>VLOOKUP($F:$F,材料单价表!$B$3:$G$42,5,0)</f>
        <v>0</v>
      </c>
      <c r="O368" s="46">
        <f>N368*M368</f>
        <v>0</v>
      </c>
      <c r="P368" s="48"/>
      <c r="Q368" s="48"/>
      <c r="R368" s="72"/>
      <c r="S368" s="72"/>
      <c r="T368" s="482"/>
    </row>
    <row r="369" spans="1:20" ht="24.75" customHeight="1" x14ac:dyDescent="0.15">
      <c r="A369" s="74"/>
      <c r="B369" s="571"/>
      <c r="C369" s="572"/>
      <c r="D369" s="572"/>
      <c r="E369" s="573"/>
      <c r="F369" s="552" t="s">
        <v>80</v>
      </c>
      <c r="G369" s="553"/>
      <c r="H369" s="254"/>
      <c r="I369" s="379"/>
      <c r="J369" s="554" t="s">
        <v>81</v>
      </c>
      <c r="K369" s="554"/>
      <c r="L369" s="554"/>
      <c r="M369" s="554"/>
      <c r="N369" s="87"/>
      <c r="O369" s="62">
        <f>O365+O367+O368</f>
        <v>0</v>
      </c>
      <c r="P369" s="63" t="s">
        <v>57</v>
      </c>
      <c r="Q369" s="337"/>
      <c r="R369" s="64"/>
      <c r="S369" s="64"/>
      <c r="T369" s="480"/>
    </row>
    <row r="370" spans="1:20" ht="24" customHeight="1" x14ac:dyDescent="0.15">
      <c r="A370" s="74"/>
      <c r="B370" s="571"/>
      <c r="C370" s="572"/>
      <c r="D370" s="572"/>
      <c r="E370" s="573"/>
      <c r="F370" s="555" t="s">
        <v>82</v>
      </c>
      <c r="G370" s="556"/>
      <c r="H370" s="253"/>
      <c r="I370" s="381"/>
      <c r="J370" s="552" t="s">
        <v>81</v>
      </c>
      <c r="K370" s="557"/>
      <c r="L370" s="557"/>
      <c r="M370" s="557"/>
      <c r="N370" s="62"/>
      <c r="O370" s="62">
        <f>O369/O298</f>
        <v>0</v>
      </c>
      <c r="P370" s="89" t="s">
        <v>57</v>
      </c>
      <c r="Q370" s="89"/>
      <c r="R370" s="90"/>
      <c r="S370" s="90"/>
      <c r="T370" s="485"/>
    </row>
    <row r="371" spans="1:20" ht="18.75" customHeight="1" x14ac:dyDescent="0.15">
      <c r="A371" s="549" t="s">
        <v>0</v>
      </c>
      <c r="B371" s="549"/>
      <c r="C371" s="549"/>
      <c r="D371" s="549"/>
      <c r="E371" s="549"/>
      <c r="F371" s="549"/>
      <c r="G371" s="549"/>
      <c r="H371" s="549"/>
      <c r="I371" s="549"/>
      <c r="J371" s="549"/>
      <c r="K371" s="549"/>
      <c r="L371" s="550"/>
      <c r="M371" s="549"/>
      <c r="N371" s="549"/>
      <c r="O371" s="549"/>
      <c r="P371" s="549"/>
      <c r="Q371" s="549"/>
      <c r="R371" s="551"/>
      <c r="S371" s="551"/>
      <c r="T371" s="474"/>
    </row>
    <row r="372" spans="1:20" ht="15" customHeight="1" x14ac:dyDescent="0.15">
      <c r="A372" s="2" t="s">
        <v>1</v>
      </c>
      <c r="B372" s="3" t="s">
        <v>966</v>
      </c>
      <c r="C372" s="3">
        <v>2</v>
      </c>
      <c r="D372" s="3"/>
      <c r="E372" s="3"/>
      <c r="F372" s="4" t="s">
        <v>2</v>
      </c>
      <c r="G372" s="5">
        <v>55</v>
      </c>
      <c r="H372" s="106" t="s">
        <v>86</v>
      </c>
      <c r="I372" s="106"/>
      <c r="J372" s="4" t="s">
        <v>3</v>
      </c>
      <c r="K372" s="6">
        <f>L375</f>
        <v>1600</v>
      </c>
      <c r="L372" s="7" t="s">
        <v>83</v>
      </c>
      <c r="M372" s="6">
        <f>L374</f>
        <v>2400</v>
      </c>
      <c r="N372" s="8" t="s">
        <v>4</v>
      </c>
      <c r="O372" s="9">
        <f>M384</f>
        <v>3.3</v>
      </c>
      <c r="P372" s="10"/>
      <c r="Q372" s="10"/>
      <c r="R372" s="10" t="s">
        <v>5</v>
      </c>
      <c r="S372" s="11"/>
      <c r="T372" s="475"/>
    </row>
    <row r="373" spans="1:20" ht="15" customHeight="1" x14ac:dyDescent="0.2">
      <c r="A373" s="12"/>
      <c r="B373" s="252"/>
      <c r="C373" s="252"/>
      <c r="D373" s="252"/>
      <c r="E373" s="252"/>
      <c r="F373" s="14"/>
      <c r="G373" s="14" t="s">
        <v>851</v>
      </c>
      <c r="H373" s="15"/>
      <c r="I373" s="15"/>
      <c r="J373" s="16"/>
      <c r="K373" s="16" t="s">
        <v>6</v>
      </c>
      <c r="L373" s="17" t="s">
        <v>7</v>
      </c>
      <c r="M373" s="16" t="s">
        <v>8</v>
      </c>
      <c r="N373" s="18"/>
      <c r="O373" s="548" t="s">
        <v>940</v>
      </c>
      <c r="P373" s="548"/>
      <c r="Q373" s="16" t="s">
        <v>1018</v>
      </c>
      <c r="R373" s="529" t="s">
        <v>1187</v>
      </c>
      <c r="S373" s="530" t="s">
        <v>1592</v>
      </c>
      <c r="T373" s="476"/>
    </row>
    <row r="374" spans="1:20" ht="15" customHeight="1" x14ac:dyDescent="0.2">
      <c r="A374" s="402" t="s">
        <v>918</v>
      </c>
      <c r="B374" s="407" t="s">
        <v>967</v>
      </c>
      <c r="C374"/>
      <c r="D374"/>
      <c r="E374"/>
      <c r="F374" s="23"/>
      <c r="G374" s="23"/>
      <c r="H374" s="107"/>
      <c r="I374" s="107"/>
      <c r="J374" s="24" t="s">
        <v>9</v>
      </c>
      <c r="K374" s="16" t="s">
        <v>10</v>
      </c>
      <c r="L374" s="25">
        <v>2400</v>
      </c>
      <c r="M374" s="113">
        <f>L374-M383*2</f>
        <v>2300</v>
      </c>
      <c r="N374" s="18"/>
      <c r="O374" s="356" t="s">
        <v>941</v>
      </c>
      <c r="P374" s="357"/>
      <c r="Q374" s="16" t="s">
        <v>1019</v>
      </c>
      <c r="R374" s="529"/>
      <c r="S374" s="530"/>
      <c r="T374" s="476"/>
    </row>
    <row r="375" spans="1:20" ht="15" customHeight="1" x14ac:dyDescent="0.2">
      <c r="A375" s="21"/>
      <c r="B375" s="22"/>
      <c r="C375" s="22"/>
      <c r="D375" s="22"/>
      <c r="E375" s="22"/>
      <c r="F375" s="23"/>
      <c r="G375" s="23"/>
      <c r="H375" s="18"/>
      <c r="I375" s="18"/>
      <c r="J375" s="24" t="s">
        <v>11</v>
      </c>
      <c r="K375" s="16" t="s">
        <v>10</v>
      </c>
      <c r="L375" s="25">
        <v>1600</v>
      </c>
      <c r="M375" s="113">
        <f>L375-M383*2</f>
        <v>1500</v>
      </c>
      <c r="N375" s="18"/>
      <c r="O375" s="356" t="s">
        <v>924</v>
      </c>
      <c r="P375" s="357"/>
      <c r="Q375" s="16" t="s">
        <v>1020</v>
      </c>
      <c r="R375" s="529" t="s">
        <v>1188</v>
      </c>
      <c r="S375" s="530" t="s">
        <v>1086</v>
      </c>
      <c r="T375" s="476"/>
    </row>
    <row r="376" spans="1:20" ht="15" customHeight="1" x14ac:dyDescent="0.2">
      <c r="A376" s="21"/>
      <c r="B376" s="22"/>
      <c r="C376" s="22"/>
      <c r="D376" s="22"/>
      <c r="E376" s="22"/>
      <c r="F376" s="23"/>
      <c r="G376" s="23"/>
      <c r="H376" s="18"/>
      <c r="I376" s="18"/>
      <c r="J376" s="24" t="s">
        <v>12</v>
      </c>
      <c r="K376" s="16" t="s">
        <v>10</v>
      </c>
      <c r="L376" s="26"/>
      <c r="M376" s="113">
        <f>M374-900</f>
        <v>1400</v>
      </c>
      <c r="N376" s="18"/>
      <c r="O376" s="356" t="s">
        <v>925</v>
      </c>
      <c r="P376" s="357"/>
      <c r="Q376" s="16" t="s">
        <v>1021</v>
      </c>
      <c r="R376" s="529"/>
      <c r="S376" s="530"/>
      <c r="T376" s="476"/>
    </row>
    <row r="377" spans="1:20" ht="15" customHeight="1" x14ac:dyDescent="0.2">
      <c r="A377" s="21"/>
      <c r="B377" s="22"/>
      <c r="C377" s="22"/>
      <c r="D377" s="22"/>
      <c r="E377" s="22"/>
      <c r="F377" s="23"/>
      <c r="G377" s="23"/>
      <c r="H377" s="18"/>
      <c r="I377" s="18"/>
      <c r="J377" s="24" t="s">
        <v>13</v>
      </c>
      <c r="K377" s="16" t="s">
        <v>10</v>
      </c>
      <c r="L377" s="26"/>
      <c r="M377" s="113"/>
      <c r="N377" s="18"/>
      <c r="O377" s="356" t="s">
        <v>926</v>
      </c>
      <c r="P377" s="357"/>
      <c r="Q377" s="16" t="s">
        <v>1022</v>
      </c>
      <c r="R377" s="27"/>
      <c r="S377" s="28"/>
      <c r="T377" s="476"/>
    </row>
    <row r="378" spans="1:20" ht="15" customHeight="1" x14ac:dyDescent="0.2">
      <c r="A378" s="21"/>
      <c r="B378" s="22"/>
      <c r="C378" s="22"/>
      <c r="D378" s="22"/>
      <c r="E378" s="22"/>
      <c r="F378" s="23"/>
      <c r="G378" s="23"/>
      <c r="H378" s="18"/>
      <c r="I378" s="18"/>
      <c r="J378" s="24" t="s">
        <v>14</v>
      </c>
      <c r="K378" s="16" t="s">
        <v>10</v>
      </c>
      <c r="L378" s="26"/>
      <c r="M378" s="113"/>
      <c r="N378" s="18"/>
      <c r="O378" s="356" t="s">
        <v>927</v>
      </c>
      <c r="P378" s="357"/>
      <c r="Q378" s="16" t="s">
        <v>1023</v>
      </c>
      <c r="R378" s="27"/>
      <c r="S378" s="28"/>
      <c r="T378" s="476"/>
    </row>
    <row r="379" spans="1:20" ht="15" customHeight="1" x14ac:dyDescent="0.2">
      <c r="A379" s="21"/>
      <c r="B379" s="22"/>
      <c r="C379" s="22"/>
      <c r="D379" s="22"/>
      <c r="E379" s="22"/>
      <c r="F379" s="23"/>
      <c r="G379" s="23"/>
      <c r="H379" s="18"/>
      <c r="I379" s="18"/>
      <c r="J379" s="24" t="s">
        <v>15</v>
      </c>
      <c r="K379" s="16" t="s">
        <v>10</v>
      </c>
      <c r="L379" s="26"/>
      <c r="M379" s="113">
        <f>M375-M380</f>
        <v>600</v>
      </c>
      <c r="N379" s="18"/>
      <c r="O379" s="356" t="s">
        <v>928</v>
      </c>
      <c r="P379" s="357"/>
      <c r="Q379" s="16" t="s">
        <v>1005</v>
      </c>
      <c r="R379" s="27"/>
      <c r="S379" s="28"/>
      <c r="T379" s="476"/>
    </row>
    <row r="380" spans="1:20" ht="15" customHeight="1" x14ac:dyDescent="0.2">
      <c r="A380" s="21"/>
      <c r="B380" s="22"/>
      <c r="C380" s="22"/>
      <c r="D380" s="22"/>
      <c r="E380" s="22"/>
      <c r="F380" s="23"/>
      <c r="G380" s="23"/>
      <c r="H380" s="18"/>
      <c r="I380" s="18"/>
      <c r="J380" s="24" t="s">
        <v>16</v>
      </c>
      <c r="K380" s="16" t="s">
        <v>10</v>
      </c>
      <c r="L380" s="26"/>
      <c r="M380" s="113">
        <v>900</v>
      </c>
      <c r="N380" s="18"/>
      <c r="O380" s="356" t="s">
        <v>929</v>
      </c>
      <c r="P380" s="357"/>
      <c r="Q380" s="16" t="s">
        <v>1024</v>
      </c>
      <c r="R380" s="27"/>
      <c r="S380" s="28"/>
      <c r="T380" s="476"/>
    </row>
    <row r="381" spans="1:20" ht="15" customHeight="1" x14ac:dyDescent="0.2">
      <c r="A381" s="21"/>
      <c r="B381" s="22"/>
      <c r="C381" s="22"/>
      <c r="D381" s="22"/>
      <c r="E381" s="22"/>
      <c r="F381" s="23"/>
      <c r="G381" s="23"/>
      <c r="H381" s="18"/>
      <c r="I381" s="18"/>
      <c r="J381" s="24" t="s">
        <v>17</v>
      </c>
      <c r="K381" s="16" t="s">
        <v>10</v>
      </c>
      <c r="L381" s="26"/>
      <c r="M381" s="113"/>
      <c r="N381" s="18"/>
      <c r="O381" s="356" t="s">
        <v>930</v>
      </c>
      <c r="P381" s="357"/>
      <c r="Q381" s="16" t="s">
        <v>931</v>
      </c>
      <c r="R381" s="27"/>
      <c r="S381" s="28"/>
      <c r="T381" s="476"/>
    </row>
    <row r="382" spans="1:20" ht="15" customHeight="1" x14ac:dyDescent="0.2">
      <c r="A382" s="21"/>
      <c r="B382" s="22"/>
      <c r="C382" s="22"/>
      <c r="D382" s="22"/>
      <c r="E382" s="22"/>
      <c r="F382" s="23"/>
      <c r="G382" s="23"/>
      <c r="H382" s="18"/>
      <c r="I382" s="18"/>
      <c r="J382" s="24" t="s">
        <v>18</v>
      </c>
      <c r="K382" s="16" t="s">
        <v>10</v>
      </c>
      <c r="L382" s="26"/>
      <c r="M382" s="113"/>
      <c r="N382" s="18"/>
      <c r="O382" s="356" t="s">
        <v>932</v>
      </c>
      <c r="P382" s="357"/>
      <c r="Q382" s="16" t="s">
        <v>933</v>
      </c>
      <c r="R382" s="27"/>
      <c r="S382" s="28"/>
      <c r="T382" s="476"/>
    </row>
    <row r="383" spans="1:20" ht="15" customHeight="1" x14ac:dyDescent="0.2">
      <c r="A383" s="21"/>
      <c r="B383" s="22"/>
      <c r="C383" s="22"/>
      <c r="D383" s="22"/>
      <c r="E383" s="22"/>
      <c r="F383" s="23"/>
      <c r="G383" s="23"/>
      <c r="H383" s="18"/>
      <c r="I383" s="18"/>
      <c r="J383" s="24" t="s">
        <v>19</v>
      </c>
      <c r="K383" s="16" t="s">
        <v>10</v>
      </c>
      <c r="L383" s="26"/>
      <c r="M383" s="25">
        <v>50</v>
      </c>
      <c r="N383" s="18"/>
      <c r="O383" s="356" t="s">
        <v>934</v>
      </c>
      <c r="P383" s="357"/>
      <c r="Q383" s="16" t="s">
        <v>935</v>
      </c>
      <c r="R383" s="27"/>
      <c r="S383" s="28"/>
      <c r="T383" s="476"/>
    </row>
    <row r="384" spans="1:20" ht="15" customHeight="1" x14ac:dyDescent="0.2">
      <c r="A384" s="21"/>
      <c r="B384" s="22"/>
      <c r="C384" s="22"/>
      <c r="D384" s="22"/>
      <c r="E384" s="22"/>
      <c r="F384" s="23"/>
      <c r="G384" s="23"/>
      <c r="H384" s="18"/>
      <c r="I384" s="18"/>
      <c r="J384" s="29" t="s">
        <v>862</v>
      </c>
      <c r="K384" s="16" t="s">
        <v>21</v>
      </c>
      <c r="L384" s="30"/>
      <c r="M384" s="31">
        <f>(L374*L375-900*M379)/1000000</f>
        <v>3.3</v>
      </c>
      <c r="N384" s="18"/>
      <c r="O384" s="356" t="s">
        <v>936</v>
      </c>
      <c r="P384" s="357"/>
      <c r="Q384" s="16" t="s">
        <v>937</v>
      </c>
      <c r="R384" s="27"/>
      <c r="S384" s="28"/>
      <c r="T384" s="476"/>
    </row>
    <row r="385" spans="1:33" ht="15" customHeight="1" x14ac:dyDescent="0.2">
      <c r="A385" s="32"/>
      <c r="B385" s="33"/>
      <c r="C385" s="33"/>
      <c r="D385" s="33"/>
      <c r="E385" s="33"/>
      <c r="F385" s="34"/>
      <c r="G385" s="34"/>
      <c r="H385" s="35"/>
      <c r="I385" s="35"/>
      <c r="J385" s="29" t="s">
        <v>22</v>
      </c>
      <c r="K385" s="16" t="s">
        <v>23</v>
      </c>
      <c r="L385" s="30"/>
      <c r="M385" s="36">
        <f>(L375+L374)*2/1000</f>
        <v>8</v>
      </c>
      <c r="N385" s="35"/>
      <c r="O385" s="356" t="s">
        <v>938</v>
      </c>
      <c r="P385" s="357"/>
      <c r="Q385" s="16" t="s">
        <v>939</v>
      </c>
      <c r="R385" s="37"/>
      <c r="S385" s="38"/>
      <c r="T385" s="476"/>
    </row>
    <row r="386" spans="1:33" ht="48.75" customHeight="1" x14ac:dyDescent="0.15">
      <c r="A386" s="39" t="s">
        <v>24</v>
      </c>
      <c r="B386" s="560" t="s">
        <v>25</v>
      </c>
      <c r="C386" s="561"/>
      <c r="D386" s="561"/>
      <c r="E386" s="562"/>
      <c r="F386" s="40" t="s">
        <v>26</v>
      </c>
      <c r="G386" s="40" t="s">
        <v>27</v>
      </c>
      <c r="H386" s="40" t="s">
        <v>28</v>
      </c>
      <c r="I386" s="40" t="s">
        <v>1334</v>
      </c>
      <c r="J386" s="40" t="s">
        <v>29</v>
      </c>
      <c r="K386" s="40" t="s">
        <v>30</v>
      </c>
      <c r="L386" s="41" t="s">
        <v>31</v>
      </c>
      <c r="M386" s="40" t="s">
        <v>32</v>
      </c>
      <c r="N386" s="40" t="s">
        <v>33</v>
      </c>
      <c r="O386" s="40" t="s">
        <v>34</v>
      </c>
      <c r="P386" s="42" t="s">
        <v>35</v>
      </c>
      <c r="Q386" s="359" t="s">
        <v>962</v>
      </c>
      <c r="R386" s="43" t="s">
        <v>36</v>
      </c>
      <c r="S386" s="43" t="s">
        <v>37</v>
      </c>
      <c r="T386" s="477"/>
      <c r="V386" s="332" t="s">
        <v>128</v>
      </c>
      <c r="W386" s="280"/>
      <c r="X386" s="273" t="s">
        <v>359</v>
      </c>
      <c r="Y386" s="281"/>
      <c r="Z386" s="273" t="s">
        <v>355</v>
      </c>
      <c r="AA386" s="281"/>
      <c r="AB386" s="273" t="s">
        <v>360</v>
      </c>
      <c r="AC386" s="281"/>
      <c r="AD386" s="273" t="s">
        <v>127</v>
      </c>
      <c r="AE386" s="263"/>
      <c r="AF386" s="262"/>
      <c r="AG386" s="287"/>
    </row>
    <row r="387" spans="1:33" x14ac:dyDescent="0.15">
      <c r="A387" s="258">
        <v>1</v>
      </c>
      <c r="B387" s="531" t="s">
        <v>38</v>
      </c>
      <c r="C387" s="532"/>
      <c r="D387" s="532"/>
      <c r="E387" s="533"/>
      <c r="F387" s="47" t="str">
        <f>VLOOKUP($H:$H,型材表!$B$5:$I$448,2,0)</f>
        <v>边框</v>
      </c>
      <c r="G387" s="45" t="s">
        <v>39</v>
      </c>
      <c r="H387" s="45" t="str">
        <f>IF(G372=55,"SW55MK001",IF(G372=551,"SW55BMK001",IF(G372=60,"SW60MK001",IF(G372=601,"SW60AMK001",IF(G372=65,"SW65AMK001",IF(G372=50,"SW50MK001"))))))</f>
        <v>SW55MK001</v>
      </c>
      <c r="I387" s="207" t="s">
        <v>1337</v>
      </c>
      <c r="J387" s="46">
        <f>M374</f>
        <v>2300</v>
      </c>
      <c r="K387" s="45">
        <v>2</v>
      </c>
      <c r="L387" s="47">
        <f>VLOOKUP($H:$H,型材表!$B$5:$I$448,4,0)</f>
        <v>1.4510000000000001</v>
      </c>
      <c r="M387" s="46">
        <f>J387*K387*L387/1000</f>
        <v>6.6746000000000008</v>
      </c>
      <c r="N387" s="72">
        <f>VLOOKUP($H:$H,型材表!$B$5:$I$448,7,0)</f>
        <v>0</v>
      </c>
      <c r="O387" s="46">
        <f>N387*M387</f>
        <v>0</v>
      </c>
      <c r="P387" s="100">
        <f>VLOOKUP($H:$H,型材表!$B$5:$I$448,5,0)</f>
        <v>0.125</v>
      </c>
      <c r="Q387" s="100" t="str">
        <f>VLOOKUP($H:$H,型材表!$B$5:$I$448,6,0)</f>
        <v>断桥隔热铝型材</v>
      </c>
      <c r="R387" s="49"/>
      <c r="S387" s="50"/>
      <c r="T387" s="478"/>
      <c r="X387" s="264"/>
      <c r="Y387" s="265"/>
      <c r="Z387" s="264"/>
      <c r="AA387" s="265"/>
      <c r="AB387" s="264"/>
      <c r="AC387" s="265"/>
      <c r="AD387" s="264"/>
      <c r="AE387" s="265"/>
      <c r="AF387" s="264"/>
      <c r="AG387" s="288"/>
    </row>
    <row r="388" spans="1:33" x14ac:dyDescent="0.15">
      <c r="A388" s="258">
        <v>2</v>
      </c>
      <c r="B388" s="534"/>
      <c r="C388" s="535"/>
      <c r="D388" s="535"/>
      <c r="E388" s="536"/>
      <c r="F388" s="47" t="str">
        <f>VLOOKUP($H:$H,型材表!$B$5:$I$448,2,0)</f>
        <v>边框</v>
      </c>
      <c r="G388" s="45" t="s">
        <v>40</v>
      </c>
      <c r="H388" s="45" t="str">
        <f>H387</f>
        <v>SW55MK001</v>
      </c>
      <c r="I388" s="207" t="s">
        <v>1415</v>
      </c>
      <c r="J388" s="46">
        <f>M380-8</f>
        <v>892</v>
      </c>
      <c r="K388" s="45">
        <v>2</v>
      </c>
      <c r="L388" s="47">
        <f>VLOOKUP($H:$H,型材表!$B$5:$I$448,4,0)</f>
        <v>1.4510000000000001</v>
      </c>
      <c r="M388" s="46">
        <f t="shared" ref="M388" si="64">J388*K388*L388/1000</f>
        <v>2.5885840000000004</v>
      </c>
      <c r="N388" s="72">
        <f>VLOOKUP($H:$H,型材表!$B$5:$I$448,7,0)</f>
        <v>0</v>
      </c>
      <c r="O388" s="46">
        <f t="shared" ref="O388" si="65">N388*M388</f>
        <v>0</v>
      </c>
      <c r="P388" s="100">
        <f>VLOOKUP($H:$H,型材表!$B$5:$I$448,5,0)</f>
        <v>0.125</v>
      </c>
      <c r="Q388" s="100" t="str">
        <f>VLOOKUP($H:$H,型材表!$B$5:$I$448,6,0)</f>
        <v>断桥隔热铝型材</v>
      </c>
      <c r="R388" s="49"/>
      <c r="S388" s="50"/>
      <c r="T388" s="478"/>
      <c r="X388" s="264"/>
      <c r="Y388" s="265"/>
      <c r="Z388" s="264"/>
      <c r="AA388" s="265"/>
      <c r="AB388" s="264"/>
      <c r="AC388" s="265"/>
      <c r="AD388" s="264"/>
      <c r="AE388" s="265"/>
      <c r="AF388" s="264"/>
      <c r="AG388" s="288"/>
    </row>
    <row r="389" spans="1:33" x14ac:dyDescent="0.15">
      <c r="A389" s="413">
        <v>3</v>
      </c>
      <c r="B389" s="534"/>
      <c r="C389" s="535"/>
      <c r="D389" s="535"/>
      <c r="E389" s="536"/>
      <c r="F389" s="47" t="str">
        <f>VLOOKUP($H:$H,型材表!$B$5:$I$448,2,0)</f>
        <v>边框</v>
      </c>
      <c r="G389" s="45" t="s">
        <v>39</v>
      </c>
      <c r="H389" s="207" t="str">
        <f>IF(G372=55,"SW55K001",IF(G372=551,"SW55BK001",IF(G372=60,"SW60K001",IF(G372=601,"SW60AK001",IF(G372=65,"SW65AK001")))))</f>
        <v>SW55K001</v>
      </c>
      <c r="I389" s="207" t="s">
        <v>1416</v>
      </c>
      <c r="J389" s="208">
        <f>M376</f>
        <v>1400</v>
      </c>
      <c r="K389" s="207">
        <v>2</v>
      </c>
      <c r="L389" s="47">
        <f>VLOOKUP($H:$H,型材表!$B$5:$I$448,4,0)</f>
        <v>0.96699999999999997</v>
      </c>
      <c r="M389" s="46">
        <f t="shared" ref="M389:M390" si="66">J389*K389*L389/1000</f>
        <v>2.7075999999999998</v>
      </c>
      <c r="N389" s="72">
        <f>VLOOKUP($H:$H,型材表!$B$5:$I$448,7,0)</f>
        <v>0</v>
      </c>
      <c r="O389" s="46">
        <f t="shared" ref="O389:O390" si="67">N389*M389</f>
        <v>0</v>
      </c>
      <c r="P389" s="100">
        <f>VLOOKUP($H:$H,型材表!$B$5:$I$448,5,0)</f>
        <v>0.125</v>
      </c>
      <c r="Q389" s="100" t="str">
        <f>VLOOKUP($H:$H,型材表!$B$5:$I$448,6,0)</f>
        <v>断桥隔热铝型材</v>
      </c>
      <c r="R389" s="210"/>
      <c r="S389" s="50"/>
      <c r="T389" s="478"/>
      <c r="X389" s="264"/>
      <c r="Y389" s="265"/>
      <c r="Z389" s="264"/>
      <c r="AA389" s="265"/>
      <c r="AB389" s="264"/>
      <c r="AC389" s="265"/>
      <c r="AD389" s="264"/>
      <c r="AE389" s="265"/>
      <c r="AF389" s="264"/>
      <c r="AG389" s="288"/>
    </row>
    <row r="390" spans="1:33" s="229" customFormat="1" x14ac:dyDescent="0.15">
      <c r="A390" s="413">
        <v>4</v>
      </c>
      <c r="B390" s="537"/>
      <c r="C390" s="538"/>
      <c r="D390" s="538"/>
      <c r="E390" s="539"/>
      <c r="F390" s="47" t="str">
        <f>VLOOKUP($H:$H,型材表!$B$5:$I$448,2,0)</f>
        <v>边框</v>
      </c>
      <c r="G390" s="45" t="s">
        <v>40</v>
      </c>
      <c r="H390" s="222" t="str">
        <f>H389</f>
        <v>SW55K001</v>
      </c>
      <c r="I390" s="222" t="s">
        <v>1377</v>
      </c>
      <c r="J390" s="223">
        <f>M379-8</f>
        <v>592</v>
      </c>
      <c r="K390" s="222">
        <v>2</v>
      </c>
      <c r="L390" s="47">
        <f>VLOOKUP($H:$H,型材表!$B$5:$I$448,4,0)</f>
        <v>0.96699999999999997</v>
      </c>
      <c r="M390" s="46">
        <f t="shared" si="66"/>
        <v>1.1449279999999999</v>
      </c>
      <c r="N390" s="72">
        <f>VLOOKUP($H:$H,型材表!$B$5:$I$448,7,0)</f>
        <v>0</v>
      </c>
      <c r="O390" s="46">
        <f t="shared" si="67"/>
        <v>0</v>
      </c>
      <c r="P390" s="100">
        <f>VLOOKUP($H:$H,型材表!$B$5:$I$448,5,0)</f>
        <v>0.125</v>
      </c>
      <c r="Q390" s="100" t="str">
        <f>VLOOKUP($H:$H,型材表!$B$5:$I$448,6,0)</f>
        <v>断桥隔热铝型材</v>
      </c>
      <c r="R390" s="227"/>
      <c r="S390" s="228"/>
      <c r="T390" s="479"/>
      <c r="U390" s="471"/>
      <c r="V390" s="266"/>
      <c r="W390" s="266"/>
      <c r="X390" s="267"/>
      <c r="Y390" s="268"/>
      <c r="Z390" s="267"/>
      <c r="AA390" s="268"/>
      <c r="AB390" s="267"/>
      <c r="AC390" s="268"/>
      <c r="AD390" s="267"/>
      <c r="AE390" s="268"/>
      <c r="AF390" s="267"/>
      <c r="AG390" s="289"/>
    </row>
    <row r="391" spans="1:33" x14ac:dyDescent="0.15">
      <c r="A391" s="413">
        <v>5</v>
      </c>
      <c r="B391" s="531" t="s">
        <v>41</v>
      </c>
      <c r="C391" s="532"/>
      <c r="D391" s="532"/>
      <c r="E391" s="533"/>
      <c r="F391" s="47" t="str">
        <f>VLOOKUP($H:$H,型材表!$B$5:$I$448,2,0)</f>
        <v>外开扇</v>
      </c>
      <c r="G391" s="45" t="s">
        <v>39</v>
      </c>
      <c r="H391" s="45" t="str">
        <f>IF(G372=55,"SW55MS001",IF(G372=551,"SW55BMS001",IF(G372=60,"SW60MS001",IF(G372=601,"SW60AMS001",IF(G372=65,"SW65AMS001",IF(G372=50,"SW50MS001"))))))</f>
        <v>SW55MS001</v>
      </c>
      <c r="I391" s="207" t="s">
        <v>1379</v>
      </c>
      <c r="J391" s="46">
        <f>IF(G372=55,M374-V391,IF(G372=551,M374-X391,IF(G372=60,M374-Z391,IF(G372=601,M374-AB391,IF(G372=65,M374-AD391,IF(G372=50,M374-AF391))))))</f>
        <v>2238</v>
      </c>
      <c r="K391" s="45">
        <v>2</v>
      </c>
      <c r="L391" s="47">
        <f>VLOOKUP($H:$H,型材表!$B$5:$I$448,4,0)</f>
        <v>2.157</v>
      </c>
      <c r="M391" s="46">
        <f t="shared" ref="M391:M405" si="68">J391*K391*L391/1000</f>
        <v>9.6547319999999992</v>
      </c>
      <c r="N391" s="72">
        <f>VLOOKUP($H:$H,型材表!$B$5:$I$448,7,0)</f>
        <v>0</v>
      </c>
      <c r="O391" s="46">
        <f t="shared" ref="O391:O405" si="69">N391*M391</f>
        <v>0</v>
      </c>
      <c r="P391" s="100">
        <f>VLOOKUP($H:$H,型材表!$B$5:$I$448,5,0)</f>
        <v>0.125</v>
      </c>
      <c r="Q391" s="100" t="str">
        <f>VLOOKUP($H:$H,型材表!$B$5:$I$448,6,0)</f>
        <v>断桥隔热铝型材</v>
      </c>
      <c r="R391" s="49"/>
      <c r="S391" s="50"/>
      <c r="T391" s="478"/>
      <c r="U391" s="470" t="s">
        <v>1341</v>
      </c>
      <c r="V391" s="259">
        <f>31*2</f>
        <v>62</v>
      </c>
      <c r="X391" s="286">
        <f>31*2</f>
        <v>62</v>
      </c>
      <c r="Y391" s="304"/>
      <c r="Z391" s="286">
        <f>31*2</f>
        <v>62</v>
      </c>
      <c r="AA391" s="304"/>
      <c r="AB391" s="286">
        <f>31*2</f>
        <v>62</v>
      </c>
      <c r="AC391" s="304"/>
      <c r="AD391" s="286">
        <f>31*2</f>
        <v>62</v>
      </c>
      <c r="AE391" s="304"/>
      <c r="AF391" s="264"/>
      <c r="AG391" s="288"/>
    </row>
    <row r="392" spans="1:33" x14ac:dyDescent="0.15">
      <c r="A392" s="413">
        <v>6</v>
      </c>
      <c r="B392" s="534"/>
      <c r="C392" s="535"/>
      <c r="D392" s="535"/>
      <c r="E392" s="536"/>
      <c r="F392" s="47" t="str">
        <f>VLOOKUP($H:$H,型材表!$B$5:$I$448,2,0)</f>
        <v>外开扇</v>
      </c>
      <c r="G392" s="45" t="s">
        <v>40</v>
      </c>
      <c r="H392" s="207" t="str">
        <f>H391</f>
        <v>SW55MS001</v>
      </c>
      <c r="I392" s="207" t="s">
        <v>1417</v>
      </c>
      <c r="J392" s="208">
        <f>IF(G372=55,M380-V392,IF(G372=551,M380-X392,IF(G372=60,M380-Z392,IF(G372=601,M380-AB392,IF(G372=65,M380-AD392,IF(G372=50,M380-AF392))))))</f>
        <v>830</v>
      </c>
      <c r="K392" s="207">
        <v>2</v>
      </c>
      <c r="L392" s="47">
        <f>VLOOKUP($H:$H,型材表!$B$5:$I$448,4,0)</f>
        <v>2.157</v>
      </c>
      <c r="M392" s="46">
        <f t="shared" si="68"/>
        <v>3.5806199999999997</v>
      </c>
      <c r="N392" s="72">
        <f>VLOOKUP($H:$H,型材表!$B$5:$I$448,7,0)</f>
        <v>0</v>
      </c>
      <c r="O392" s="46">
        <f t="shared" si="69"/>
        <v>0</v>
      </c>
      <c r="P392" s="100">
        <f>VLOOKUP($H:$H,型材表!$B$5:$I$448,5,0)</f>
        <v>0.125</v>
      </c>
      <c r="Q392" s="100" t="str">
        <f>VLOOKUP($H:$H,型材表!$B$5:$I$448,6,0)</f>
        <v>断桥隔热铝型材</v>
      </c>
      <c r="R392" s="210"/>
      <c r="S392" s="50"/>
      <c r="T392" s="478"/>
      <c r="U392" s="470" t="s">
        <v>1381</v>
      </c>
      <c r="V392" s="259">
        <f>31+39</f>
        <v>70</v>
      </c>
      <c r="X392" s="286">
        <f>31+39</f>
        <v>70</v>
      </c>
      <c r="Y392" s="304"/>
      <c r="Z392" s="286">
        <f>31+39</f>
        <v>70</v>
      </c>
      <c r="AA392" s="304"/>
      <c r="AB392" s="286">
        <f>31+39</f>
        <v>70</v>
      </c>
      <c r="AC392" s="304"/>
      <c r="AD392" s="286">
        <f>31+39</f>
        <v>70</v>
      </c>
      <c r="AE392" s="304"/>
      <c r="AF392" s="264"/>
      <c r="AG392" s="288"/>
    </row>
    <row r="393" spans="1:33" x14ac:dyDescent="0.15">
      <c r="A393" s="413">
        <v>7</v>
      </c>
      <c r="B393" s="534"/>
      <c r="C393" s="535"/>
      <c r="D393" s="535"/>
      <c r="E393" s="536"/>
      <c r="F393" s="47" t="str">
        <f>VLOOKUP($H:$H,型材表!$B$5:$I$448,2,0)</f>
        <v>拼管</v>
      </c>
      <c r="G393" s="45"/>
      <c r="H393" s="116" t="str">
        <f>IF(G372=55,"SN55P001",IF(G372=551,"SN55BP001",IF(G372=60,"SN60P001",IF(G372=601,"SN60AP001",IF(G372=65,"SN65AP001")))))</f>
        <v>SN55P001</v>
      </c>
      <c r="I393" s="207" t="s">
        <v>1416</v>
      </c>
      <c r="J393" s="46">
        <f>M376</f>
        <v>1400</v>
      </c>
      <c r="K393" s="45">
        <v>1</v>
      </c>
      <c r="L393" s="47">
        <f>VLOOKUP($H:$H,型材表!$B$5:$I$448,4,0)</f>
        <v>0.877</v>
      </c>
      <c r="M393" s="46">
        <f t="shared" si="68"/>
        <v>1.2278</v>
      </c>
      <c r="N393" s="72">
        <f>VLOOKUP($H:$H,型材表!$B$5:$I$448,7,0)</f>
        <v>0</v>
      </c>
      <c r="O393" s="46">
        <f t="shared" si="69"/>
        <v>0</v>
      </c>
      <c r="P393" s="100">
        <f>VLOOKUP($H:$H,型材表!$B$5:$I$448,5,0)</f>
        <v>0.125</v>
      </c>
      <c r="Q393" s="100" t="str">
        <f>VLOOKUP($H:$H,型材表!$B$5:$I$448,6,0)</f>
        <v>断桥隔热铝型材</v>
      </c>
      <c r="R393" s="49"/>
      <c r="S393" s="50"/>
      <c r="T393" s="478"/>
      <c r="X393" s="286"/>
      <c r="Y393" s="304"/>
      <c r="Z393" s="286"/>
      <c r="AA393" s="304"/>
      <c r="AB393" s="286"/>
      <c r="AC393" s="304"/>
      <c r="AD393" s="286"/>
      <c r="AE393" s="304"/>
      <c r="AF393" s="264"/>
      <c r="AG393" s="288"/>
    </row>
    <row r="394" spans="1:33" x14ac:dyDescent="0.15">
      <c r="A394" s="413">
        <v>8</v>
      </c>
      <c r="B394" s="534"/>
      <c r="C394" s="535"/>
      <c r="D394" s="535"/>
      <c r="E394" s="536"/>
      <c r="F394" s="47"/>
      <c r="G394" s="45"/>
      <c r="H394" s="207"/>
      <c r="I394" s="207"/>
      <c r="J394" s="208"/>
      <c r="K394" s="207"/>
      <c r="L394" s="47"/>
      <c r="M394" s="46"/>
      <c r="N394" s="72"/>
      <c r="O394" s="46"/>
      <c r="P394" s="100"/>
      <c r="Q394" s="100"/>
      <c r="R394" s="49"/>
      <c r="S394" s="50"/>
      <c r="T394" s="478"/>
      <c r="X394" s="286"/>
      <c r="Y394" s="304"/>
      <c r="Z394" s="286"/>
      <c r="AA394" s="304"/>
      <c r="AB394" s="286"/>
      <c r="AC394" s="304"/>
      <c r="AD394" s="286"/>
      <c r="AE394" s="304"/>
      <c r="AF394" s="264"/>
      <c r="AG394" s="288"/>
    </row>
    <row r="395" spans="1:33" x14ac:dyDescent="0.15">
      <c r="A395" s="413">
        <v>9</v>
      </c>
      <c r="B395" s="534"/>
      <c r="C395" s="535"/>
      <c r="D395" s="535"/>
      <c r="E395" s="536"/>
      <c r="F395" s="47" t="str">
        <f>VLOOKUP($H:$H,型材表!$B$5:$I$448,2,0)</f>
        <v>外开扇</v>
      </c>
      <c r="G395" s="45" t="s">
        <v>39</v>
      </c>
      <c r="H395" s="207" t="str">
        <f>IF(G372=55,"SW55S001",IF(G372=551,"SW55BS001",IF(G372=60,"SW60S001",IF(G372=601,"SW60AS001",IF(G372=65,"SW65AS001")))))</f>
        <v>SW55S001</v>
      </c>
      <c r="I395" s="207" t="s">
        <v>1419</v>
      </c>
      <c r="J395" s="208">
        <f>IF(G372=55,M376-V395,IF(G372=551,M376-X395,IF(G372=60,M376-Z395,IF(G372=601,M376-AB395,IF(G372=65,M376-AD395,IF(G372=50,M376-AF395))))))</f>
        <v>1359</v>
      </c>
      <c r="K395" s="207">
        <v>2</v>
      </c>
      <c r="L395" s="47">
        <f>VLOOKUP($H:$H,型材表!$B$5:$I$448,4,0)</f>
        <v>1.4450000000000001</v>
      </c>
      <c r="M395" s="46">
        <f t="shared" si="68"/>
        <v>3.9275100000000003</v>
      </c>
      <c r="N395" s="72">
        <f>VLOOKUP($H:$H,型材表!$B$5:$I$448,7,0)</f>
        <v>0</v>
      </c>
      <c r="O395" s="46">
        <f t="shared" si="69"/>
        <v>0</v>
      </c>
      <c r="P395" s="100">
        <f>VLOOKUP($H:$H,型材表!$B$5:$I$448,5,0)</f>
        <v>0.125</v>
      </c>
      <c r="Q395" s="100" t="str">
        <f>VLOOKUP($H:$H,型材表!$B$5:$I$448,6,0)</f>
        <v>断桥隔热铝型材</v>
      </c>
      <c r="R395" s="210"/>
      <c r="S395" s="50"/>
      <c r="T395" s="478"/>
      <c r="U395" s="470" t="s">
        <v>1418</v>
      </c>
      <c r="V395" s="259">
        <f>20.5*2</f>
        <v>41</v>
      </c>
      <c r="X395" s="286">
        <f>20.5*2</f>
        <v>41</v>
      </c>
      <c r="Y395" s="304"/>
      <c r="Z395" s="286">
        <f>20.5*2</f>
        <v>41</v>
      </c>
      <c r="AA395" s="304"/>
      <c r="AB395" s="286">
        <f>20.5*2</f>
        <v>41</v>
      </c>
      <c r="AC395" s="304"/>
      <c r="AD395" s="286">
        <f>20.5*2</f>
        <v>41</v>
      </c>
      <c r="AE395" s="304"/>
      <c r="AF395" s="264"/>
      <c r="AG395" s="288"/>
    </row>
    <row r="396" spans="1:33" x14ac:dyDescent="0.15">
      <c r="A396" s="413">
        <v>10</v>
      </c>
      <c r="B396" s="534"/>
      <c r="C396" s="535"/>
      <c r="D396" s="535"/>
      <c r="E396" s="536"/>
      <c r="F396" s="47" t="str">
        <f>VLOOKUP($H:$H,型材表!$B$5:$I$448,2,0)</f>
        <v>外开扇</v>
      </c>
      <c r="G396" s="45" t="s">
        <v>40</v>
      </c>
      <c r="H396" s="207" t="str">
        <f>H395</f>
        <v>SW55S001</v>
      </c>
      <c r="I396" s="207" t="s">
        <v>1420</v>
      </c>
      <c r="J396" s="208">
        <f>IF(G372=55,M379-V396,IF(G372=551,M379-X396,IF(G372=60,M379-Z396,IF(G372=601,M379-AB396,IF(G372=65,M379-AD396,IF(G372=50,M379-AF396))))))</f>
        <v>551</v>
      </c>
      <c r="K396" s="207">
        <v>2</v>
      </c>
      <c r="L396" s="47">
        <f>VLOOKUP($H:$H,型材表!$B$5:$I$448,4,0)</f>
        <v>1.4450000000000001</v>
      </c>
      <c r="M396" s="46">
        <f t="shared" si="68"/>
        <v>1.5923900000000002</v>
      </c>
      <c r="N396" s="72">
        <f>VLOOKUP($H:$H,型材表!$B$5:$I$448,7,0)</f>
        <v>0</v>
      </c>
      <c r="O396" s="46">
        <f t="shared" si="69"/>
        <v>0</v>
      </c>
      <c r="P396" s="100">
        <f>VLOOKUP($H:$H,型材表!$B$5:$I$448,5,0)</f>
        <v>0.125</v>
      </c>
      <c r="Q396" s="100" t="str">
        <f>VLOOKUP($H:$H,型材表!$B$5:$I$448,6,0)</f>
        <v>断桥隔热铝型材</v>
      </c>
      <c r="R396" s="210"/>
      <c r="S396" s="50"/>
      <c r="T396" s="478"/>
      <c r="U396" s="470" t="s">
        <v>1421</v>
      </c>
      <c r="V396" s="259">
        <f>20.5*2+8</f>
        <v>49</v>
      </c>
      <c r="X396" s="286">
        <f>20.5*2+8</f>
        <v>49</v>
      </c>
      <c r="Y396" s="304"/>
      <c r="Z396" s="286">
        <f>20.5*2+8</f>
        <v>49</v>
      </c>
      <c r="AA396" s="304"/>
      <c r="AB396" s="286">
        <f>20.5*2+8</f>
        <v>49</v>
      </c>
      <c r="AC396" s="304"/>
      <c r="AD396" s="286">
        <f>20.5*2+8</f>
        <v>49</v>
      </c>
      <c r="AE396" s="304"/>
      <c r="AF396" s="264"/>
      <c r="AG396" s="288"/>
    </row>
    <row r="397" spans="1:33" s="248" customFormat="1" x14ac:dyDescent="0.15">
      <c r="A397" s="413">
        <v>11</v>
      </c>
      <c r="B397" s="534"/>
      <c r="C397" s="535"/>
      <c r="D397" s="535"/>
      <c r="E397" s="536"/>
      <c r="F397" s="241"/>
      <c r="G397" s="242"/>
      <c r="H397" s="242"/>
      <c r="I397" s="249"/>
      <c r="J397" s="243"/>
      <c r="K397" s="242"/>
      <c r="L397" s="241"/>
      <c r="M397" s="243"/>
      <c r="N397" s="244"/>
      <c r="O397" s="243"/>
      <c r="P397" s="245"/>
      <c r="Q397" s="100"/>
      <c r="R397" s="246"/>
      <c r="S397" s="247"/>
      <c r="T397" s="488"/>
      <c r="U397" s="473"/>
      <c r="V397" s="283"/>
      <c r="W397" s="283"/>
      <c r="X397" s="284"/>
      <c r="Y397" s="319"/>
      <c r="Z397" s="284"/>
      <c r="AA397" s="319"/>
      <c r="AB397" s="284"/>
      <c r="AC397" s="319"/>
      <c r="AD397" s="284"/>
      <c r="AE397" s="319"/>
      <c r="AF397" s="284"/>
      <c r="AG397" s="285"/>
    </row>
    <row r="398" spans="1:33" s="248" customFormat="1" x14ac:dyDescent="0.15">
      <c r="A398" s="413">
        <v>12</v>
      </c>
      <c r="B398" s="537"/>
      <c r="C398" s="538"/>
      <c r="D398" s="538"/>
      <c r="E398" s="539"/>
      <c r="F398" s="241"/>
      <c r="G398" s="242"/>
      <c r="H398" s="249"/>
      <c r="I398" s="249"/>
      <c r="J398" s="250"/>
      <c r="K398" s="249"/>
      <c r="L398" s="241"/>
      <c r="M398" s="243"/>
      <c r="N398" s="244"/>
      <c r="O398" s="243"/>
      <c r="P398" s="245"/>
      <c r="Q398" s="100"/>
      <c r="R398" s="251"/>
      <c r="S398" s="247"/>
      <c r="T398" s="488"/>
      <c r="U398" s="473"/>
      <c r="V398" s="283"/>
      <c r="W398" s="283"/>
      <c r="X398" s="284"/>
      <c r="Y398" s="319"/>
      <c r="Z398" s="284"/>
      <c r="AA398" s="319"/>
      <c r="AB398" s="284"/>
      <c r="AC398" s="319"/>
      <c r="AD398" s="284"/>
      <c r="AE398" s="319"/>
      <c r="AF398" s="284"/>
      <c r="AG398" s="285"/>
    </row>
    <row r="399" spans="1:33" x14ac:dyDescent="0.15">
      <c r="A399" s="413">
        <v>13</v>
      </c>
      <c r="B399" s="531" t="s">
        <v>44</v>
      </c>
      <c r="C399" s="532"/>
      <c r="D399" s="532"/>
      <c r="E399" s="533"/>
      <c r="F399" s="47" t="str">
        <f>VLOOKUP($H:$H,型材表!$B$5:$I$448,2,0)</f>
        <v>压线</v>
      </c>
      <c r="G399" s="45" t="s">
        <v>39</v>
      </c>
      <c r="H399" s="45" t="str">
        <f>IF(G372=55,"SN55Y001",IF(G372=551,"SW55BY001",IF(G372=60,"SN60Y001",IF(G372=601,"SW60AY001",IF(G372=65,"SN65AY001",IF(G372=50,"SW50Y001"))))))</f>
        <v>SN55Y001</v>
      </c>
      <c r="I399" s="207" t="s">
        <v>1390</v>
      </c>
      <c r="J399" s="52">
        <f>IF(G372=55,M374-V399,IF(G372=551,M374-X399,IF(G372=60,M374-Z399,IF(G372=601,M374-AB399,IF(G372=65,M374-AD399,IF(G372=50,M374-AF399))))))</f>
        <v>2103</v>
      </c>
      <c r="K399" s="45">
        <v>2</v>
      </c>
      <c r="L399" s="47">
        <f>VLOOKUP($H:$H,型材表!$B$5:$I$448,4,0)</f>
        <v>0.214</v>
      </c>
      <c r="M399" s="46">
        <f t="shared" si="68"/>
        <v>0.900084</v>
      </c>
      <c r="N399" s="72">
        <f>VLOOKUP($H:$H,型材表!$B$5:$I$448,7,0)</f>
        <v>0</v>
      </c>
      <c r="O399" s="46">
        <f t="shared" si="69"/>
        <v>0</v>
      </c>
      <c r="P399" s="100">
        <f>VLOOKUP($H:$H,型材表!$B$5:$I$448,5,0)</f>
        <v>0.125</v>
      </c>
      <c r="Q399" s="100" t="str">
        <f>VLOOKUP($H:$H,型材表!$B$5:$I$448,6,0)</f>
        <v>非断桥隔热铝型材</v>
      </c>
      <c r="R399" s="49"/>
      <c r="S399" s="50"/>
      <c r="T399" s="478"/>
      <c r="U399" s="470" t="s">
        <v>1348</v>
      </c>
      <c r="V399" s="269">
        <f>98.5*2</f>
        <v>197</v>
      </c>
      <c r="X399" s="279">
        <f>98.5*2</f>
        <v>197</v>
      </c>
      <c r="Y399" s="304"/>
      <c r="Z399" s="279">
        <f>98.5*2</f>
        <v>197</v>
      </c>
      <c r="AA399" s="304"/>
      <c r="AB399" s="279">
        <f>98.5*2</f>
        <v>197</v>
      </c>
      <c r="AC399" s="304"/>
      <c r="AD399" s="279">
        <f>98.5*2</f>
        <v>197</v>
      </c>
      <c r="AE399" s="304"/>
      <c r="AF399" s="264"/>
      <c r="AG399" s="288"/>
    </row>
    <row r="400" spans="1:33" x14ac:dyDescent="0.15">
      <c r="A400" s="413">
        <v>14</v>
      </c>
      <c r="B400" s="534"/>
      <c r="C400" s="535"/>
      <c r="D400" s="535"/>
      <c r="E400" s="536"/>
      <c r="F400" s="47" t="str">
        <f>VLOOKUP($H:$H,型材表!$B$5:$I$448,2,0)</f>
        <v>压线</v>
      </c>
      <c r="G400" s="45" t="s">
        <v>39</v>
      </c>
      <c r="H400" s="207" t="str">
        <f>H399</f>
        <v>SN55Y001</v>
      </c>
      <c r="I400" s="207" t="s">
        <v>1422</v>
      </c>
      <c r="J400" s="214">
        <f>IF(G372=55,M376-V400,IF(G372=551,M376-X400,IF(G372=60,M376-Z400,IF(G372=601,M376-AB400,IF(G372=65,M376-AD400,IF(G372=50,M376-AF400))))))</f>
        <v>1257</v>
      </c>
      <c r="K400" s="45">
        <v>2</v>
      </c>
      <c r="L400" s="47">
        <f>VLOOKUP($H:$H,型材表!$B$5:$I$448,4,0)</f>
        <v>0.214</v>
      </c>
      <c r="M400" s="46">
        <f t="shared" ref="M400:M401" si="70">J400*K400*L400/1000</f>
        <v>0.53799600000000003</v>
      </c>
      <c r="N400" s="72">
        <f>VLOOKUP($H:$H,型材表!$B$5:$I$448,7,0)</f>
        <v>0</v>
      </c>
      <c r="O400" s="46">
        <f t="shared" ref="O400:O401" si="71">N400*M400</f>
        <v>0</v>
      </c>
      <c r="P400" s="100">
        <f>VLOOKUP($H:$H,型材表!$B$5:$I$448,5,0)</f>
        <v>0.125</v>
      </c>
      <c r="Q400" s="100" t="str">
        <f>VLOOKUP($H:$H,型材表!$B$5:$I$448,6,0)</f>
        <v>非断桥隔热铝型材</v>
      </c>
      <c r="R400" s="210"/>
      <c r="S400" s="50"/>
      <c r="T400" s="478"/>
      <c r="U400" s="470" t="s">
        <v>1431</v>
      </c>
      <c r="V400" s="269">
        <f>71.5*2</f>
        <v>143</v>
      </c>
      <c r="X400" s="279">
        <f>71.5*2</f>
        <v>143</v>
      </c>
      <c r="Y400" s="304"/>
      <c r="Z400" s="279">
        <f>71.5*2</f>
        <v>143</v>
      </c>
      <c r="AA400" s="304"/>
      <c r="AB400" s="279">
        <f>71.5*2</f>
        <v>143</v>
      </c>
      <c r="AC400" s="304"/>
      <c r="AD400" s="279">
        <f>71.5*2</f>
        <v>143</v>
      </c>
      <c r="AE400" s="304"/>
      <c r="AF400" s="264"/>
      <c r="AG400" s="288"/>
    </row>
    <row r="401" spans="1:33" x14ac:dyDescent="0.15">
      <c r="A401" s="413">
        <v>15</v>
      </c>
      <c r="B401" s="534"/>
      <c r="C401" s="535"/>
      <c r="D401" s="535"/>
      <c r="E401" s="536"/>
      <c r="F401" s="47" t="str">
        <f>VLOOKUP($H:$H,型材表!$B$5:$I$448,2,0)</f>
        <v>压线</v>
      </c>
      <c r="G401" s="45" t="s">
        <v>40</v>
      </c>
      <c r="H401" s="207" t="str">
        <f>H400</f>
        <v>SN55Y001</v>
      </c>
      <c r="I401" s="207" t="s">
        <v>1423</v>
      </c>
      <c r="J401" s="214">
        <f>IF(G372=55,M380-V401,IF(G372=551,M380-X401,IF(G372=60,M380-Z401,IF(G372=601,M380-AB401,IF(G372=65,M380-AD401,IF(G372=50,M380-AF401))))))-8</f>
        <v>695</v>
      </c>
      <c r="K401" s="45">
        <v>2</v>
      </c>
      <c r="L401" s="47">
        <f>VLOOKUP($H:$H,型材表!$B$5:$I$448,4,0)</f>
        <v>0.214</v>
      </c>
      <c r="M401" s="46">
        <f t="shared" si="70"/>
        <v>0.29746</v>
      </c>
      <c r="N401" s="72">
        <f>VLOOKUP($H:$H,型材表!$B$5:$I$448,7,0)</f>
        <v>0</v>
      </c>
      <c r="O401" s="46">
        <f t="shared" si="71"/>
        <v>0</v>
      </c>
      <c r="P401" s="100">
        <f>VLOOKUP($H:$H,型材表!$B$5:$I$448,5,0)</f>
        <v>0.125</v>
      </c>
      <c r="Q401" s="100" t="str">
        <f>VLOOKUP($H:$H,型材表!$B$5:$I$448,6,0)</f>
        <v>非断桥隔热铝型材</v>
      </c>
      <c r="R401" s="210"/>
      <c r="S401" s="50"/>
      <c r="T401" s="478"/>
      <c r="U401" s="470" t="s">
        <v>1349</v>
      </c>
      <c r="V401" s="303">
        <f>98.5*2</f>
        <v>197</v>
      </c>
      <c r="X401" s="305">
        <f>98.5*2</f>
        <v>197</v>
      </c>
      <c r="Y401" s="304"/>
      <c r="Z401" s="305">
        <f>98.5*2</f>
        <v>197</v>
      </c>
      <c r="AA401" s="304"/>
      <c r="AB401" s="305">
        <f>98.5*2</f>
        <v>197</v>
      </c>
      <c r="AC401" s="304"/>
      <c r="AD401" s="305">
        <f>98.5*2</f>
        <v>197</v>
      </c>
      <c r="AE401" s="304"/>
      <c r="AF401" s="264"/>
      <c r="AG401" s="288"/>
    </row>
    <row r="402" spans="1:33" x14ac:dyDescent="0.15">
      <c r="A402" s="413">
        <v>16</v>
      </c>
      <c r="B402" s="534"/>
      <c r="C402" s="535"/>
      <c r="D402" s="535"/>
      <c r="E402" s="536"/>
      <c r="F402" s="47" t="str">
        <f>VLOOKUP($H:$H,型材表!$B$5:$I$448,2,0)</f>
        <v>压线</v>
      </c>
      <c r="G402" s="45" t="s">
        <v>40</v>
      </c>
      <c r="H402" s="207" t="str">
        <f>H399</f>
        <v>SN55Y001</v>
      </c>
      <c r="I402" s="207" t="s">
        <v>1424</v>
      </c>
      <c r="J402" s="214">
        <f>IF(G372=55,M379-V402,IF(G372=551,M379-X402,IF(G372=60,M379-Z402,IF(G372=601,M379-AB402,IF(G372=65,M379-AD402,IF(G372=50,M379-AF402))))))-8</f>
        <v>449</v>
      </c>
      <c r="K402" s="45">
        <v>2</v>
      </c>
      <c r="L402" s="47">
        <f>VLOOKUP($H:$H,型材表!$B$5:$I$448,4,0)</f>
        <v>0.214</v>
      </c>
      <c r="M402" s="46">
        <f t="shared" si="68"/>
        <v>0.19217200000000001</v>
      </c>
      <c r="N402" s="72">
        <f>VLOOKUP($H:$H,型材表!$B$5:$I$448,7,0)</f>
        <v>0</v>
      </c>
      <c r="O402" s="46">
        <f t="shared" si="69"/>
        <v>0</v>
      </c>
      <c r="P402" s="100">
        <f>VLOOKUP($H:$H,型材表!$B$5:$I$448,5,0)</f>
        <v>0.125</v>
      </c>
      <c r="Q402" s="100" t="str">
        <f>VLOOKUP($H:$H,型材表!$B$5:$I$448,6,0)</f>
        <v>非断桥隔热铝型材</v>
      </c>
      <c r="R402" s="210"/>
      <c r="S402" s="50"/>
      <c r="T402" s="478"/>
      <c r="U402" s="470" t="s">
        <v>1432</v>
      </c>
      <c r="V402" s="303">
        <f>71.5*2</f>
        <v>143</v>
      </c>
      <c r="X402" s="305">
        <f>71.5*2</f>
        <v>143</v>
      </c>
      <c r="Y402" s="304"/>
      <c r="Z402" s="305">
        <f>71.5*2</f>
        <v>143</v>
      </c>
      <c r="AA402" s="304"/>
      <c r="AB402" s="305">
        <f>71.5*2</f>
        <v>143</v>
      </c>
      <c r="AC402" s="304"/>
      <c r="AD402" s="305">
        <f>71.5*2</f>
        <v>143</v>
      </c>
      <c r="AE402" s="304"/>
      <c r="AF402" s="264"/>
      <c r="AG402" s="288"/>
    </row>
    <row r="403" spans="1:33" x14ac:dyDescent="0.15">
      <c r="A403" s="413">
        <v>17</v>
      </c>
      <c r="B403" s="534"/>
      <c r="C403" s="535"/>
      <c r="D403" s="535"/>
      <c r="E403" s="536"/>
      <c r="F403" s="47" t="str">
        <f>VLOOKUP($H:$H,型材表!$B$5:$I$448,2,0)</f>
        <v>角码</v>
      </c>
      <c r="G403" s="213" t="s">
        <v>446</v>
      </c>
      <c r="H403" s="207" t="str">
        <f>IF(G372=50,"SW50F002","SN55MF004")</f>
        <v>SN55MF004</v>
      </c>
      <c r="I403" s="207" t="s">
        <v>1343</v>
      </c>
      <c r="J403" s="214">
        <f>IF(G372=55,V403,IF(G372=551,X403,IF(G372=60,Z403,IF(G372=601,AB403,IF(G372=65,AD403,IF(G372=50,AF403))))))</f>
        <v>26.4</v>
      </c>
      <c r="K403" s="207">
        <v>4</v>
      </c>
      <c r="L403" s="47">
        <f>VLOOKUP($H:$H,型材表!$B$5:$I$448,4,0)</f>
        <v>2.996</v>
      </c>
      <c r="M403" s="46">
        <f t="shared" si="68"/>
        <v>0.31637759999999998</v>
      </c>
      <c r="N403" s="72">
        <f>VLOOKUP($H:$H,型材表!$B$5:$I$448,7,0)</f>
        <v>0</v>
      </c>
      <c r="O403" s="46">
        <f t="shared" si="69"/>
        <v>0</v>
      </c>
      <c r="P403" s="100">
        <f>VLOOKUP($H:$H,型材表!$B$5:$I$448,5,0)</f>
        <v>0.125</v>
      </c>
      <c r="Q403" s="100" t="str">
        <f>VLOOKUP($H:$H,型材表!$B$5:$I$448,6,0)</f>
        <v>阳极氧化铝型材</v>
      </c>
      <c r="R403" s="210"/>
      <c r="S403" s="50"/>
      <c r="T403" s="478"/>
      <c r="U403" s="470" t="s">
        <v>1343</v>
      </c>
      <c r="V403" s="259">
        <f>9.9-1+18.5-1</f>
        <v>26.4</v>
      </c>
      <c r="X403" s="286">
        <f>9.9-1+18.5-1</f>
        <v>26.4</v>
      </c>
      <c r="Y403" s="304"/>
      <c r="Z403" s="317">
        <f>18.5-1+13.7-1</f>
        <v>30.2</v>
      </c>
      <c r="AA403" s="304"/>
      <c r="AB403" s="286">
        <f>9.9-1+18.5-1</f>
        <v>26.4</v>
      </c>
      <c r="AC403" s="304"/>
      <c r="AD403" s="317">
        <f>18.5-1+13.7-1</f>
        <v>30.2</v>
      </c>
      <c r="AE403" s="304"/>
      <c r="AF403" s="264"/>
      <c r="AG403" s="288"/>
    </row>
    <row r="404" spans="1:33" s="229" customFormat="1" x14ac:dyDescent="0.15">
      <c r="A404" s="413">
        <v>18</v>
      </c>
      <c r="B404" s="534"/>
      <c r="C404" s="535"/>
      <c r="D404" s="535"/>
      <c r="E404" s="536"/>
      <c r="F404" s="47" t="str">
        <f>VLOOKUP($H:$H,型材表!$B$5:$I$448,2,0)</f>
        <v>角码</v>
      </c>
      <c r="G404" s="230" t="s">
        <v>447</v>
      </c>
      <c r="H404" s="222" t="str">
        <f>IF(G372=50,"SW50MF001","SN55MF005")</f>
        <v>SN55MF005</v>
      </c>
      <c r="I404" s="207" t="s">
        <v>995</v>
      </c>
      <c r="J404" s="214">
        <f>IF(G372=55,V404,IF(G372=551,X404,IF(G372=60,Z404,IF(G372=601,AB404,IF(G372=65,AD404,IF(G372=50,AF404))))))</f>
        <v>24.7</v>
      </c>
      <c r="K404" s="207">
        <v>4</v>
      </c>
      <c r="L404" s="47">
        <f>VLOOKUP($H:$H,型材表!$B$5:$I$448,4,0)</f>
        <v>4.7119999999999997</v>
      </c>
      <c r="M404" s="46">
        <f t="shared" si="68"/>
        <v>0.4655456</v>
      </c>
      <c r="N404" s="72">
        <f>VLOOKUP($H:$H,型材表!$B$5:$I$448,7,0)</f>
        <v>0</v>
      </c>
      <c r="O404" s="46">
        <f t="shared" si="69"/>
        <v>0</v>
      </c>
      <c r="P404" s="100">
        <f>VLOOKUP($H:$H,型材表!$B$5:$I$448,5,0)</f>
        <v>0.125</v>
      </c>
      <c r="Q404" s="100" t="str">
        <f>VLOOKUP($H:$H,型材表!$B$5:$I$448,6,0)</f>
        <v>阳极氧化铝型材</v>
      </c>
      <c r="R404" s="227"/>
      <c r="S404" s="228"/>
      <c r="T404" s="479"/>
      <c r="U404" s="471" t="s">
        <v>1344</v>
      </c>
      <c r="V404" s="266">
        <f>25.7-1</f>
        <v>24.7</v>
      </c>
      <c r="W404" s="266"/>
      <c r="X404" s="267">
        <f>25.4-1</f>
        <v>24.4</v>
      </c>
      <c r="Y404" s="320"/>
      <c r="Z404" s="267">
        <f>25.7-1</f>
        <v>24.7</v>
      </c>
      <c r="AA404" s="320"/>
      <c r="AB404" s="267">
        <f>25.4-1</f>
        <v>24.4</v>
      </c>
      <c r="AC404" s="320"/>
      <c r="AD404" s="267">
        <f>25.7-1</f>
        <v>24.7</v>
      </c>
      <c r="AE404" s="320"/>
      <c r="AF404" s="267"/>
      <c r="AG404" s="289"/>
    </row>
    <row r="405" spans="1:33" x14ac:dyDescent="0.15">
      <c r="A405" s="413">
        <v>19</v>
      </c>
      <c r="B405" s="534"/>
      <c r="C405" s="535"/>
      <c r="D405" s="535"/>
      <c r="E405" s="536"/>
      <c r="F405" s="47" t="str">
        <f>VLOOKUP($H:$H,型材表!$B$5:$I$448,2,0)</f>
        <v>角码</v>
      </c>
      <c r="G405" s="230" t="s">
        <v>447</v>
      </c>
      <c r="H405" s="45" t="str">
        <f>IF(G372=551,"SW55BMF001",IF(G372=601,"SW55BMF001",IF(G372=50,"0","SN55MF005")))</f>
        <v>SN55MF005</v>
      </c>
      <c r="I405" s="207" t="s">
        <v>996</v>
      </c>
      <c r="J405" s="52">
        <f>IF(G372=55,V405,IF(G372=551,X405,IF(G372=60,Z405,IF(G372=601,AB405,IF(G372=65,AD405,IF(G372=50,AF405))))))</f>
        <v>13.7</v>
      </c>
      <c r="K405" s="45">
        <v>4</v>
      </c>
      <c r="L405" s="47">
        <f>VLOOKUP($H:$H,型材表!$B$5:$I$448,4,0)</f>
        <v>4.7119999999999997</v>
      </c>
      <c r="M405" s="46">
        <f t="shared" si="68"/>
        <v>0.25821759999999994</v>
      </c>
      <c r="N405" s="72">
        <f>VLOOKUP($H:$H,型材表!$B$5:$I$448,7,0)</f>
        <v>0</v>
      </c>
      <c r="O405" s="46">
        <f t="shared" si="69"/>
        <v>0</v>
      </c>
      <c r="P405" s="100">
        <f>VLOOKUP($H:$H,型材表!$B$5:$I$448,5,0)</f>
        <v>0.125</v>
      </c>
      <c r="Q405" s="100" t="str">
        <f>VLOOKUP($H:$H,型材表!$B$5:$I$448,6,0)</f>
        <v>阳极氧化铝型材</v>
      </c>
      <c r="R405" s="49"/>
      <c r="S405" s="50"/>
      <c r="T405" s="478"/>
      <c r="U405" s="470" t="s">
        <v>1345</v>
      </c>
      <c r="V405" s="259">
        <f>14.7-1</f>
        <v>13.7</v>
      </c>
      <c r="X405" s="317">
        <f>11.2-1</f>
        <v>10.199999999999999</v>
      </c>
      <c r="Y405" s="304"/>
      <c r="Z405" s="286">
        <f>14.7-1</f>
        <v>13.7</v>
      </c>
      <c r="AA405" s="304"/>
      <c r="AB405" s="317">
        <f>11.2-1</f>
        <v>10.199999999999999</v>
      </c>
      <c r="AC405" s="304"/>
      <c r="AD405" s="286">
        <f>14.7-1</f>
        <v>13.7</v>
      </c>
      <c r="AE405" s="304"/>
      <c r="AF405" s="264"/>
      <c r="AG405" s="288"/>
    </row>
    <row r="406" spans="1:33" x14ac:dyDescent="0.15">
      <c r="A406" s="413">
        <v>20</v>
      </c>
      <c r="B406" s="534"/>
      <c r="C406" s="535"/>
      <c r="D406" s="535"/>
      <c r="E406" s="536"/>
      <c r="F406" s="47" t="str">
        <f>VLOOKUP($H:$H,型材表!$B$5:$I$448,2,0)</f>
        <v>角码</v>
      </c>
      <c r="G406" s="51" t="s">
        <v>446</v>
      </c>
      <c r="H406" s="45" t="str">
        <f>IF(G381=65,"SW55F001","SN55F003")</f>
        <v>SN55F003</v>
      </c>
      <c r="I406" s="207" t="s">
        <v>1404</v>
      </c>
      <c r="J406" s="214">
        <f>V406</f>
        <v>32.200000000000003</v>
      </c>
      <c r="K406" s="207">
        <v>4</v>
      </c>
      <c r="L406" s="47">
        <f>VLOOKUP($H:$H,型材表!$B$5:$I$448,4,0)</f>
        <v>1.7490000000000001</v>
      </c>
      <c r="M406" s="46">
        <f t="shared" ref="M406:M408" si="72">J406*K406*L406/1000</f>
        <v>0.22527120000000003</v>
      </c>
      <c r="N406" s="72">
        <f>VLOOKUP($H:$H,型材表!$B$5:$I$448,7,0)</f>
        <v>0</v>
      </c>
      <c r="O406" s="46">
        <f t="shared" ref="O406:O408" si="73">N406*M406</f>
        <v>0</v>
      </c>
      <c r="P406" s="100">
        <f>VLOOKUP($H:$H,型材表!$B$5:$I$448,5,0)</f>
        <v>0.125</v>
      </c>
      <c r="Q406" s="100" t="str">
        <f>VLOOKUP($H:$H,型材表!$B$5:$I$448,6,0)</f>
        <v>阳极氧化铝型材</v>
      </c>
      <c r="R406" s="210"/>
      <c r="S406" s="50"/>
      <c r="T406" s="478"/>
      <c r="U406" s="470" t="s">
        <v>1404</v>
      </c>
      <c r="V406" s="259">
        <f>19.5-1+14.7-1</f>
        <v>32.200000000000003</v>
      </c>
      <c r="X406" s="286">
        <f>19.5-1+14.7-1</f>
        <v>32.200000000000003</v>
      </c>
      <c r="Y406" s="304"/>
      <c r="Z406" s="286">
        <f>19.5-1+14.7-1</f>
        <v>32.200000000000003</v>
      </c>
      <c r="AA406" s="304"/>
      <c r="AB406" s="286">
        <f>19.5-1+14.7-1</f>
        <v>32.200000000000003</v>
      </c>
      <c r="AC406" s="304"/>
      <c r="AD406" s="286">
        <f>19.5-1+14.7-1</f>
        <v>32.200000000000003</v>
      </c>
      <c r="AE406" s="304"/>
      <c r="AF406" s="264"/>
      <c r="AG406" s="288"/>
    </row>
    <row r="407" spans="1:33" x14ac:dyDescent="0.15">
      <c r="A407" s="413">
        <v>21</v>
      </c>
      <c r="B407" s="534"/>
      <c r="C407" s="535"/>
      <c r="D407" s="535"/>
      <c r="E407" s="536"/>
      <c r="F407" s="47" t="str">
        <f>VLOOKUP($H:$H,型材表!$B$5:$I$448,2,0)</f>
        <v>角码</v>
      </c>
      <c r="G407" s="51" t="s">
        <v>447</v>
      </c>
      <c r="H407" s="45" t="str">
        <f>IF(G381=65,"SN55F003","SN55F003")</f>
        <v>SN55F003</v>
      </c>
      <c r="I407" s="207" t="s">
        <v>1405</v>
      </c>
      <c r="J407" s="214">
        <f t="shared" ref="J407:J408" si="74">V407</f>
        <v>27.1</v>
      </c>
      <c r="K407" s="207">
        <v>4</v>
      </c>
      <c r="L407" s="47">
        <f>VLOOKUP($H:$H,型材表!$B$5:$I$448,4,0)</f>
        <v>1.7490000000000001</v>
      </c>
      <c r="M407" s="46">
        <f t="shared" si="72"/>
        <v>0.18959160000000003</v>
      </c>
      <c r="N407" s="72">
        <f>VLOOKUP($H:$H,型材表!$B$5:$I$448,7,0)</f>
        <v>0</v>
      </c>
      <c r="O407" s="46">
        <f t="shared" si="73"/>
        <v>0</v>
      </c>
      <c r="P407" s="100">
        <f>VLOOKUP($H:$H,型材表!$B$5:$I$448,5,0)</f>
        <v>0.125</v>
      </c>
      <c r="Q407" s="100" t="str">
        <f>VLOOKUP($H:$H,型材表!$B$5:$I$448,6,0)</f>
        <v>阳极氧化铝型材</v>
      </c>
      <c r="R407" s="210"/>
      <c r="S407" s="50"/>
      <c r="T407" s="478"/>
      <c r="U407" s="470" t="s">
        <v>1433</v>
      </c>
      <c r="V407" s="259">
        <f>28.1-1</f>
        <v>27.1</v>
      </c>
      <c r="X407" s="286">
        <f>28.1-1</f>
        <v>27.1</v>
      </c>
      <c r="Y407" s="304"/>
      <c r="Z407" s="286">
        <f>28.1-1</f>
        <v>27.1</v>
      </c>
      <c r="AA407" s="304"/>
      <c r="AB407" s="286">
        <f>28.1-1</f>
        <v>27.1</v>
      </c>
      <c r="AC407" s="304"/>
      <c r="AD407" s="286">
        <f>28.1-1</f>
        <v>27.1</v>
      </c>
      <c r="AE407" s="304"/>
      <c r="AF407" s="264"/>
      <c r="AG407" s="288"/>
    </row>
    <row r="408" spans="1:33" x14ac:dyDescent="0.15">
      <c r="A408" s="413">
        <v>22</v>
      </c>
      <c r="B408" s="534"/>
      <c r="C408" s="535"/>
      <c r="D408" s="535"/>
      <c r="E408" s="536"/>
      <c r="F408" s="47" t="str">
        <f>VLOOKUP($H:$H,型材表!$B$5:$I$448,2,0)</f>
        <v>角码</v>
      </c>
      <c r="G408" s="51" t="s">
        <v>447</v>
      </c>
      <c r="H408" s="45" t="str">
        <f>IF(G381=70,"SW50F002",IF(G381=75,"SW50F002","SN55F003"))</f>
        <v>SN55F003</v>
      </c>
      <c r="I408" s="207" t="s">
        <v>1406</v>
      </c>
      <c r="J408" s="214">
        <f t="shared" si="74"/>
        <v>8</v>
      </c>
      <c r="K408" s="207">
        <v>4</v>
      </c>
      <c r="L408" s="47">
        <f>VLOOKUP($H:$H,型材表!$B$5:$I$448,4,0)</f>
        <v>1.7490000000000001</v>
      </c>
      <c r="M408" s="46">
        <f t="shared" si="72"/>
        <v>5.5968000000000004E-2</v>
      </c>
      <c r="N408" s="72">
        <f>VLOOKUP($H:$H,型材表!$B$5:$I$448,7,0)</f>
        <v>0</v>
      </c>
      <c r="O408" s="46">
        <f t="shared" si="73"/>
        <v>0</v>
      </c>
      <c r="P408" s="100">
        <f>VLOOKUP($H:$H,型材表!$B$5:$I$448,5,0)</f>
        <v>0.125</v>
      </c>
      <c r="Q408" s="100" t="str">
        <f>VLOOKUP($H:$H,型材表!$B$5:$I$448,6,0)</f>
        <v>阳极氧化铝型材</v>
      </c>
      <c r="R408" s="210"/>
      <c r="S408" s="50"/>
      <c r="T408" s="478"/>
      <c r="U408" s="470" t="s">
        <v>1434</v>
      </c>
      <c r="V408" s="259">
        <f>9-1</f>
        <v>8</v>
      </c>
      <c r="X408" s="286">
        <f>9-1</f>
        <v>8</v>
      </c>
      <c r="Y408" s="304"/>
      <c r="Z408" s="286">
        <f>9-1</f>
        <v>8</v>
      </c>
      <c r="AA408" s="304"/>
      <c r="AB408" s="286">
        <f>9-1</f>
        <v>8</v>
      </c>
      <c r="AC408" s="304"/>
      <c r="AD408" s="286">
        <f>9-1</f>
        <v>8</v>
      </c>
      <c r="AE408" s="304"/>
      <c r="AF408" s="264"/>
      <c r="AG408" s="288"/>
    </row>
    <row r="409" spans="1:33" x14ac:dyDescent="0.15">
      <c r="A409" s="413">
        <v>23</v>
      </c>
      <c r="B409" s="534"/>
      <c r="C409" s="535"/>
      <c r="D409" s="535"/>
      <c r="E409" s="536"/>
      <c r="F409" s="306"/>
      <c r="G409" s="213"/>
      <c r="H409" s="207"/>
      <c r="I409" s="207"/>
      <c r="J409" s="214"/>
      <c r="K409" s="207"/>
      <c r="L409" s="306"/>
      <c r="M409" s="208"/>
      <c r="N409" s="209"/>
      <c r="O409" s="208"/>
      <c r="P409" s="307"/>
      <c r="Q409" s="100"/>
      <c r="R409" s="210"/>
      <c r="S409" s="50"/>
      <c r="T409" s="478"/>
      <c r="X409" s="286"/>
      <c r="Y409" s="304"/>
      <c r="Z409" s="286"/>
      <c r="AA409" s="304"/>
      <c r="AB409" s="286"/>
      <c r="AC409" s="304"/>
      <c r="AD409" s="286"/>
      <c r="AE409" s="304"/>
      <c r="AF409" s="264"/>
      <c r="AG409" s="288"/>
    </row>
    <row r="410" spans="1:33" x14ac:dyDescent="0.15">
      <c r="A410" s="413">
        <v>24</v>
      </c>
      <c r="B410" s="534"/>
      <c r="C410" s="535"/>
      <c r="D410" s="535"/>
      <c r="E410" s="536"/>
      <c r="F410" s="306"/>
      <c r="G410" s="213"/>
      <c r="H410" s="207"/>
      <c r="I410" s="207"/>
      <c r="J410" s="214"/>
      <c r="K410" s="207"/>
      <c r="L410" s="306"/>
      <c r="M410" s="208"/>
      <c r="N410" s="209"/>
      <c r="O410" s="208"/>
      <c r="P410" s="307"/>
      <c r="Q410" s="100"/>
      <c r="R410" s="210"/>
      <c r="S410" s="50"/>
      <c r="T410" s="478"/>
      <c r="X410" s="286"/>
      <c r="Y410" s="304"/>
      <c r="Z410" s="286"/>
      <c r="AA410" s="304"/>
      <c r="AB410" s="286"/>
      <c r="AC410" s="304"/>
      <c r="AD410" s="286"/>
      <c r="AE410" s="304"/>
      <c r="AF410" s="264"/>
      <c r="AG410" s="288"/>
    </row>
    <row r="411" spans="1:33" x14ac:dyDescent="0.15">
      <c r="A411" s="413">
        <v>25</v>
      </c>
      <c r="B411" s="537"/>
      <c r="C411" s="538"/>
      <c r="D411" s="538"/>
      <c r="E411" s="539"/>
      <c r="F411" s="47"/>
      <c r="G411" s="213"/>
      <c r="H411" s="207"/>
      <c r="I411" s="207"/>
      <c r="J411" s="214"/>
      <c r="K411" s="207"/>
      <c r="L411" s="47"/>
      <c r="M411" s="46"/>
      <c r="N411" s="72"/>
      <c r="O411" s="46"/>
      <c r="P411" s="100"/>
      <c r="Q411" s="100"/>
      <c r="R411" s="210"/>
      <c r="S411" s="50"/>
      <c r="T411" s="478"/>
      <c r="X411" s="286"/>
      <c r="Y411" s="304"/>
      <c r="Z411" s="286"/>
      <c r="AA411" s="304"/>
      <c r="AB411" s="286"/>
      <c r="AC411" s="304"/>
      <c r="AD411" s="286"/>
      <c r="AE411" s="304"/>
      <c r="AF411" s="264"/>
      <c r="AG411" s="288"/>
    </row>
    <row r="412" spans="1:33" x14ac:dyDescent="0.15">
      <c r="A412" s="413">
        <v>26</v>
      </c>
      <c r="B412" s="412"/>
      <c r="C412" s="412"/>
      <c r="D412" s="412"/>
      <c r="E412" s="412"/>
      <c r="F412" s="451"/>
      <c r="G412" s="452"/>
      <c r="H412" s="435"/>
      <c r="I412" s="435"/>
      <c r="J412" s="453"/>
      <c r="K412" s="435"/>
      <c r="L412" s="454"/>
      <c r="M412" s="208"/>
      <c r="N412" s="432"/>
      <c r="O412" s="208"/>
      <c r="P412" s="433"/>
      <c r="Q412" s="360"/>
      <c r="R412" s="60"/>
      <c r="S412" s="50"/>
      <c r="T412" s="478"/>
      <c r="X412" s="286"/>
      <c r="Y412" s="304"/>
      <c r="Z412" s="286"/>
      <c r="AA412" s="304"/>
      <c r="AB412" s="286"/>
      <c r="AC412" s="304"/>
      <c r="AD412" s="286"/>
      <c r="AE412" s="304"/>
      <c r="AF412" s="264"/>
      <c r="AG412" s="288"/>
    </row>
    <row r="413" spans="1:33" x14ac:dyDescent="0.15">
      <c r="A413" s="413">
        <v>27</v>
      </c>
      <c r="B413" s="412"/>
      <c r="C413" s="412"/>
      <c r="D413" s="412"/>
      <c r="E413" s="412"/>
      <c r="F413" s="451"/>
      <c r="G413" s="452"/>
      <c r="H413" s="435"/>
      <c r="I413" s="435"/>
      <c r="J413" s="453"/>
      <c r="K413" s="435"/>
      <c r="L413" s="454"/>
      <c r="M413" s="208"/>
      <c r="N413" s="432"/>
      <c r="O413" s="208"/>
      <c r="P413" s="433"/>
      <c r="Q413" s="360"/>
      <c r="R413" s="60"/>
      <c r="S413" s="50"/>
      <c r="T413" s="478"/>
      <c r="X413" s="286"/>
      <c r="Y413" s="304"/>
      <c r="Z413" s="286"/>
      <c r="AA413" s="304"/>
      <c r="AB413" s="286"/>
      <c r="AC413" s="304"/>
      <c r="AD413" s="286"/>
      <c r="AE413" s="304"/>
      <c r="AF413" s="264"/>
      <c r="AG413" s="288"/>
    </row>
    <row r="414" spans="1:33" x14ac:dyDescent="0.15">
      <c r="A414" s="567" t="s">
        <v>919</v>
      </c>
      <c r="B414" s="568"/>
      <c r="C414" s="568"/>
      <c r="D414" s="568"/>
      <c r="E414" s="568"/>
      <c r="F414" s="568"/>
      <c r="G414" s="568"/>
      <c r="H414" s="568"/>
      <c r="I414" s="568"/>
      <c r="J414" s="568"/>
      <c r="K414" s="568"/>
      <c r="L414" s="569"/>
      <c r="M414" s="224">
        <f>SUMIF($Q$387:$Q$411,A414,$M$387:$M$411)</f>
        <v>33.098763999999996</v>
      </c>
      <c r="N414" s="364"/>
      <c r="O414" s="46"/>
      <c r="P414" s="365"/>
      <c r="Q414" s="360"/>
      <c r="R414" s="60"/>
      <c r="S414" s="50"/>
      <c r="T414" s="478"/>
      <c r="X414" s="286"/>
      <c r="Y414" s="304"/>
      <c r="Z414" s="286"/>
      <c r="AA414" s="304"/>
      <c r="AB414" s="286"/>
      <c r="AC414" s="304"/>
      <c r="AD414" s="286"/>
      <c r="AE414" s="304"/>
      <c r="AF414" s="264"/>
      <c r="AG414" s="288"/>
    </row>
    <row r="415" spans="1:33" x14ac:dyDescent="0.15">
      <c r="A415" s="567" t="s">
        <v>920</v>
      </c>
      <c r="B415" s="568"/>
      <c r="C415" s="568"/>
      <c r="D415" s="568"/>
      <c r="E415" s="568"/>
      <c r="F415" s="568"/>
      <c r="G415" s="568"/>
      <c r="H415" s="568"/>
      <c r="I415" s="568"/>
      <c r="J415" s="568"/>
      <c r="K415" s="568"/>
      <c r="L415" s="569"/>
      <c r="M415" s="224">
        <f>SUMIF($Q$387:$Q$411,A415,$M$387:$M$411)</f>
        <v>1.9277120000000001</v>
      </c>
      <c r="N415" s="364"/>
      <c r="O415" s="46"/>
      <c r="P415" s="365"/>
      <c r="Q415" s="360"/>
      <c r="R415" s="60"/>
      <c r="S415" s="50"/>
      <c r="T415" s="478"/>
      <c r="X415" s="286"/>
      <c r="Y415" s="304"/>
      <c r="Z415" s="286"/>
      <c r="AA415" s="304"/>
      <c r="AB415" s="286"/>
      <c r="AC415" s="304"/>
      <c r="AD415" s="286"/>
      <c r="AE415" s="304"/>
      <c r="AF415" s="264"/>
      <c r="AG415" s="288"/>
    </row>
    <row r="416" spans="1:33" x14ac:dyDescent="0.15">
      <c r="A416" s="567" t="s">
        <v>921</v>
      </c>
      <c r="B416" s="568"/>
      <c r="C416" s="568"/>
      <c r="D416" s="568"/>
      <c r="E416" s="568"/>
      <c r="F416" s="568"/>
      <c r="G416" s="568"/>
      <c r="H416" s="568"/>
      <c r="I416" s="568"/>
      <c r="J416" s="568"/>
      <c r="K416" s="568"/>
      <c r="L416" s="569"/>
      <c r="M416" s="224">
        <f>SUMIF($Q$387:$Q$411,A416,$M$387:$M$411)</f>
        <v>1.5109716000000002</v>
      </c>
      <c r="N416" s="364"/>
      <c r="O416" s="46"/>
      <c r="P416" s="365"/>
      <c r="Q416" s="360"/>
      <c r="R416" s="60"/>
      <c r="S416" s="50"/>
      <c r="T416" s="478"/>
      <c r="X416" s="286"/>
      <c r="Y416" s="304"/>
      <c r="Z416" s="286"/>
      <c r="AA416" s="304"/>
      <c r="AB416" s="286"/>
      <c r="AC416" s="304"/>
      <c r="AD416" s="286"/>
      <c r="AE416" s="304"/>
      <c r="AF416" s="264"/>
      <c r="AG416" s="288"/>
    </row>
    <row r="417" spans="1:33" x14ac:dyDescent="0.15">
      <c r="A417" s="61"/>
      <c r="B417" s="571"/>
      <c r="C417" s="572"/>
      <c r="D417" s="572"/>
      <c r="E417" s="573"/>
      <c r="F417" s="552" t="s">
        <v>48</v>
      </c>
      <c r="G417" s="557"/>
      <c r="H417" s="557"/>
      <c r="I417" s="557"/>
      <c r="J417" s="557"/>
      <c r="K417" s="557"/>
      <c r="L417" s="553"/>
      <c r="M417" s="62">
        <f>SUM(M414:M416)</f>
        <v>36.537447599999993</v>
      </c>
      <c r="N417" s="63"/>
      <c r="O417" s="62">
        <f>SUM(O387:O411)</f>
        <v>0</v>
      </c>
      <c r="P417" s="63"/>
      <c r="Q417" s="337"/>
      <c r="R417" s="64"/>
      <c r="S417" s="64"/>
      <c r="T417" s="480"/>
      <c r="X417" s="286"/>
      <c r="Y417" s="304"/>
      <c r="Z417" s="286"/>
      <c r="AA417" s="304"/>
      <c r="AB417" s="286"/>
      <c r="AC417" s="304"/>
      <c r="AD417" s="286"/>
      <c r="AE417" s="304"/>
      <c r="AF417" s="264"/>
      <c r="AG417" s="288"/>
    </row>
    <row r="418" spans="1:33" ht="24" x14ac:dyDescent="0.15">
      <c r="A418" s="65"/>
      <c r="B418" s="560" t="s">
        <v>49</v>
      </c>
      <c r="C418" s="561"/>
      <c r="D418" s="561"/>
      <c r="E418" s="562"/>
      <c r="F418" s="565" t="s">
        <v>26</v>
      </c>
      <c r="G418" s="566"/>
      <c r="H418" s="66" t="s">
        <v>1335</v>
      </c>
      <c r="I418" s="351" t="s">
        <v>1336</v>
      </c>
      <c r="J418" s="66" t="s">
        <v>50</v>
      </c>
      <c r="K418" s="66" t="s">
        <v>51</v>
      </c>
      <c r="L418" s="67" t="s">
        <v>30</v>
      </c>
      <c r="M418" s="66" t="s">
        <v>52</v>
      </c>
      <c r="N418" s="68" t="s">
        <v>53</v>
      </c>
      <c r="O418" s="68" t="s">
        <v>34</v>
      </c>
      <c r="P418" s="69" t="s">
        <v>35</v>
      </c>
      <c r="Q418" s="42"/>
      <c r="R418" s="67"/>
      <c r="S418" s="67"/>
      <c r="T418" s="481"/>
      <c r="V418" s="270" t="s">
        <v>352</v>
      </c>
      <c r="W418" s="270" t="s">
        <v>353</v>
      </c>
      <c r="X418" s="271" t="s">
        <v>352</v>
      </c>
      <c r="Y418" s="321" t="s">
        <v>353</v>
      </c>
      <c r="Z418" s="271" t="s">
        <v>352</v>
      </c>
      <c r="AA418" s="321" t="s">
        <v>353</v>
      </c>
      <c r="AB418" s="271" t="s">
        <v>352</v>
      </c>
      <c r="AC418" s="321" t="s">
        <v>353</v>
      </c>
      <c r="AD418" s="271" t="s">
        <v>352</v>
      </c>
      <c r="AE418" s="321" t="s">
        <v>353</v>
      </c>
      <c r="AF418" s="271"/>
      <c r="AG418" s="290"/>
    </row>
    <row r="419" spans="1:33" x14ac:dyDescent="0.15">
      <c r="A419" s="258">
        <v>1</v>
      </c>
      <c r="B419" s="545" t="s">
        <v>133</v>
      </c>
      <c r="C419" s="546"/>
      <c r="D419" s="546"/>
      <c r="E419" s="547"/>
      <c r="F419" s="545" t="s">
        <v>55</v>
      </c>
      <c r="G419" s="547"/>
      <c r="H419" s="45" t="s">
        <v>1425</v>
      </c>
      <c r="I419" s="207" t="s">
        <v>1407</v>
      </c>
      <c r="J419" s="46">
        <f>IF(G372=55,M379-V419,IF(G372=551,M379-X419,IF(G372=60,M379-Z419,IF(G372=601,M379-AB419,IF(G372=65,M379-AD419,IF(G372=50,M379-AF419))))))-8</f>
        <v>371</v>
      </c>
      <c r="K419" s="70">
        <f>IF(G372=55,M376-W419,IF(G372=551,M376-Y419,IF(G372=60,M376-AA419,IF(G372=601,M376-AC419,IF(G372=65,M376-AE419,IF(G372=50,M376-AG419))))))</f>
        <v>1179</v>
      </c>
      <c r="L419" s="70">
        <v>1</v>
      </c>
      <c r="M419" s="46">
        <f>J419*K419*L419/1000000</f>
        <v>0.43740899999999999</v>
      </c>
      <c r="N419" s="46"/>
      <c r="O419" s="46">
        <f>N419*M419</f>
        <v>0</v>
      </c>
      <c r="P419" s="71"/>
      <c r="Q419" s="71"/>
      <c r="R419" s="72"/>
      <c r="S419" s="72"/>
      <c r="T419" s="482" t="s">
        <v>1610</v>
      </c>
      <c r="U419" s="470" t="s">
        <v>1611</v>
      </c>
      <c r="V419" s="259">
        <f t="shared" ref="V419:AD419" si="75">110.5*2</f>
        <v>221</v>
      </c>
      <c r="W419" s="259">
        <f t="shared" si="75"/>
        <v>221</v>
      </c>
      <c r="X419" s="286">
        <f t="shared" si="75"/>
        <v>221</v>
      </c>
      <c r="Y419" s="304">
        <f t="shared" si="75"/>
        <v>221</v>
      </c>
      <c r="Z419" s="286">
        <f t="shared" si="75"/>
        <v>221</v>
      </c>
      <c r="AA419" s="304">
        <f t="shared" si="75"/>
        <v>221</v>
      </c>
      <c r="AB419" s="286">
        <f t="shared" si="75"/>
        <v>221</v>
      </c>
      <c r="AC419" s="304">
        <f t="shared" si="75"/>
        <v>221</v>
      </c>
      <c r="AD419" s="286">
        <f t="shared" si="75"/>
        <v>221</v>
      </c>
      <c r="AE419" s="496">
        <f>108.5*2</f>
        <v>217</v>
      </c>
      <c r="AF419" s="264"/>
      <c r="AG419" s="288"/>
    </row>
    <row r="420" spans="1:33" x14ac:dyDescent="0.15">
      <c r="A420" s="238">
        <v>2</v>
      </c>
      <c r="B420" s="545" t="s">
        <v>133</v>
      </c>
      <c r="C420" s="546"/>
      <c r="D420" s="546"/>
      <c r="E420" s="547"/>
      <c r="F420" s="545" t="s">
        <v>135</v>
      </c>
      <c r="G420" s="547"/>
      <c r="H420" s="207" t="s">
        <v>1427</v>
      </c>
      <c r="I420" s="207" t="s">
        <v>1426</v>
      </c>
      <c r="J420" s="208">
        <f>IF(G372=55,M380-V420,IF(G372=551,M380-X420,IF(G372=60,M380-Z420,IF(G372=601,M380-AB420,IF(G372=65,M380-AD420,IF(G372=50,M380-AF420))))))</f>
        <v>725</v>
      </c>
      <c r="K420" s="239">
        <f>IF(G372=55,M376-W420,IF(G372=551,M376-Y420,IF(G372=60,M376-AA420,IF(G372=601,M376-AC420,IF(G372=65,M376-AE420,IF(G372=50,M376-AG420))))))</f>
        <v>1233</v>
      </c>
      <c r="L420" s="239">
        <v>1</v>
      </c>
      <c r="M420" s="46">
        <f>J420*K420*L420/1000000</f>
        <v>0.89392499999999997</v>
      </c>
      <c r="N420" s="208"/>
      <c r="O420" s="46">
        <f>N420*M420</f>
        <v>0</v>
      </c>
      <c r="P420" s="240"/>
      <c r="Q420" s="71"/>
      <c r="R420" s="209"/>
      <c r="S420" s="209"/>
      <c r="T420" s="482" t="s">
        <v>1638</v>
      </c>
      <c r="U420" s="470" t="s">
        <v>1639</v>
      </c>
      <c r="V420" s="259">
        <f>83.5*2+8</f>
        <v>175</v>
      </c>
      <c r="W420" s="259">
        <f>83.5*2</f>
        <v>167</v>
      </c>
      <c r="X420" s="286">
        <f>83.5*2+8</f>
        <v>175</v>
      </c>
      <c r="Y420" s="304">
        <f>83.5*2</f>
        <v>167</v>
      </c>
      <c r="Z420" s="286">
        <f>83.5*2+8</f>
        <v>175</v>
      </c>
      <c r="AA420" s="304">
        <f>83.5*2</f>
        <v>167</v>
      </c>
      <c r="AB420" s="286">
        <f>83.5*2+8</f>
        <v>175</v>
      </c>
      <c r="AC420" s="304">
        <f>83.5*2</f>
        <v>167</v>
      </c>
      <c r="AD420" s="286">
        <f>83.5*2+8</f>
        <v>175</v>
      </c>
      <c r="AE420" s="304">
        <f>83.5*2</f>
        <v>167</v>
      </c>
      <c r="AF420" s="264"/>
      <c r="AG420" s="288"/>
    </row>
    <row r="421" spans="1:33" x14ac:dyDescent="0.15">
      <c r="A421" s="258"/>
      <c r="B421" s="545"/>
      <c r="C421" s="546"/>
      <c r="D421" s="546"/>
      <c r="E421" s="547"/>
      <c r="F421" s="545"/>
      <c r="G421" s="547"/>
      <c r="H421" s="45"/>
      <c r="I421" s="207"/>
      <c r="J421" s="45"/>
      <c r="K421" s="45"/>
      <c r="L421" s="70"/>
      <c r="M421" s="46"/>
      <c r="N421" s="46"/>
      <c r="O421" s="46"/>
      <c r="P421" s="71"/>
      <c r="Q421" s="71"/>
      <c r="R421" s="72"/>
      <c r="S421" s="72"/>
      <c r="T421" s="482"/>
      <c r="X421" s="264"/>
      <c r="Y421" s="265"/>
      <c r="Z421" s="264"/>
      <c r="AA421" s="265"/>
      <c r="AB421" s="264"/>
      <c r="AC421" s="265"/>
      <c r="AD421" s="264"/>
      <c r="AE421" s="265"/>
      <c r="AF421" s="264"/>
      <c r="AG421" s="288"/>
    </row>
    <row r="422" spans="1:33" x14ac:dyDescent="0.15">
      <c r="A422" s="238"/>
      <c r="B422" s="545"/>
      <c r="C422" s="546"/>
      <c r="D422" s="546"/>
      <c r="E422" s="547"/>
      <c r="F422" s="545"/>
      <c r="G422" s="547"/>
      <c r="H422" s="45"/>
      <c r="I422" s="207"/>
      <c r="J422" s="46"/>
      <c r="K422" s="258"/>
      <c r="L422" s="239"/>
      <c r="M422" s="46"/>
      <c r="N422" s="46"/>
      <c r="O422" s="46"/>
      <c r="P422" s="48"/>
      <c r="Q422" s="48"/>
      <c r="R422" s="73"/>
      <c r="S422" s="73"/>
      <c r="T422" s="478"/>
      <c r="X422" s="264"/>
      <c r="Y422" s="265"/>
      <c r="Z422" s="264"/>
      <c r="AA422" s="265"/>
    </row>
    <row r="423" spans="1:33" x14ac:dyDescent="0.15">
      <c r="A423" s="74"/>
      <c r="B423" s="571"/>
      <c r="C423" s="572"/>
      <c r="D423" s="572"/>
      <c r="E423" s="573"/>
      <c r="F423" s="554" t="s">
        <v>56</v>
      </c>
      <c r="G423" s="554"/>
      <c r="H423" s="554"/>
      <c r="I423" s="579"/>
      <c r="J423" s="570"/>
      <c r="K423" s="570"/>
      <c r="L423" s="554"/>
      <c r="M423" s="62">
        <f>SUM(M419:M422)</f>
        <v>1.331334</v>
      </c>
      <c r="N423" s="255"/>
      <c r="O423" s="62">
        <f>SUM(O419:O422)</f>
        <v>0</v>
      </c>
      <c r="P423" s="63" t="s">
        <v>57</v>
      </c>
      <c r="Q423" s="337"/>
      <c r="R423" s="64"/>
      <c r="S423" s="64"/>
      <c r="T423" s="480"/>
    </row>
    <row r="424" spans="1:33" ht="24" x14ac:dyDescent="0.15">
      <c r="A424" s="65"/>
      <c r="B424" s="560" t="s">
        <v>58</v>
      </c>
      <c r="C424" s="561"/>
      <c r="D424" s="561"/>
      <c r="E424" s="562"/>
      <c r="F424" s="565" t="s">
        <v>26</v>
      </c>
      <c r="G424" s="566"/>
      <c r="H424" s="66" t="s">
        <v>59</v>
      </c>
      <c r="I424" s="351"/>
      <c r="J424" s="66" t="s">
        <v>60</v>
      </c>
      <c r="K424" s="66" t="s">
        <v>6</v>
      </c>
      <c r="L424" s="67" t="s">
        <v>61</v>
      </c>
      <c r="M424" s="66" t="s">
        <v>30</v>
      </c>
      <c r="N424" s="68" t="s">
        <v>62</v>
      </c>
      <c r="O424" s="68" t="s">
        <v>34</v>
      </c>
      <c r="P424" s="69" t="s">
        <v>57</v>
      </c>
      <c r="Q424" s="42"/>
      <c r="R424" s="67"/>
      <c r="S424" s="67"/>
      <c r="T424" s="481"/>
    </row>
    <row r="425" spans="1:33" ht="25.5" customHeight="1" x14ac:dyDescent="0.15">
      <c r="A425" s="258">
        <v>1</v>
      </c>
      <c r="B425" s="545"/>
      <c r="C425" s="546"/>
      <c r="D425" s="546"/>
      <c r="E425" s="547"/>
      <c r="F425" s="545" t="s">
        <v>852</v>
      </c>
      <c r="G425" s="547"/>
      <c r="H425" s="45"/>
      <c r="I425" s="207"/>
      <c r="J425" s="45"/>
      <c r="K425" s="46" t="str">
        <f>VLOOKUP($F:$F,材料单价表!$B$3:$G$42,4,0)</f>
        <v>套</v>
      </c>
      <c r="L425" s="72"/>
      <c r="M425" s="46">
        <v>1</v>
      </c>
      <c r="N425" s="46">
        <f>VLOOKUP($F:$F,材料单价表!$B$3:$G$42,5,0)</f>
        <v>0</v>
      </c>
      <c r="O425" s="46">
        <f t="shared" ref="O425:O426" si="76">N425*M425</f>
        <v>0</v>
      </c>
      <c r="P425" s="48"/>
      <c r="Q425" s="48"/>
      <c r="R425" s="73"/>
      <c r="S425" s="73"/>
      <c r="T425" s="478"/>
    </row>
    <row r="426" spans="1:33" ht="25.5" customHeight="1" x14ac:dyDescent="0.15">
      <c r="A426" s="258">
        <v>2</v>
      </c>
      <c r="B426" s="545"/>
      <c r="C426" s="546"/>
      <c r="D426" s="546"/>
      <c r="E426" s="547"/>
      <c r="F426" s="545" t="s">
        <v>861</v>
      </c>
      <c r="G426" s="547"/>
      <c r="H426" s="45"/>
      <c r="I426" s="207"/>
      <c r="J426" s="45"/>
      <c r="K426" s="46" t="str">
        <f>VLOOKUP($F:$F,材料单价表!$B$3:$G$42,4,0)</f>
        <v>套</v>
      </c>
      <c r="L426" s="72"/>
      <c r="M426" s="46">
        <v>1</v>
      </c>
      <c r="N426" s="46">
        <f>VLOOKUP($F:$F,材料单价表!$B$3:$G$42,5,0)</f>
        <v>0</v>
      </c>
      <c r="O426" s="46">
        <f t="shared" si="76"/>
        <v>0</v>
      </c>
      <c r="P426" s="48"/>
      <c r="Q426" s="48"/>
      <c r="R426" s="73"/>
      <c r="S426" s="73"/>
      <c r="T426" s="478"/>
    </row>
    <row r="427" spans="1:33" x14ac:dyDescent="0.15">
      <c r="A427" s="74"/>
      <c r="B427" s="571"/>
      <c r="C427" s="572"/>
      <c r="D427" s="572"/>
      <c r="E427" s="573"/>
      <c r="F427" s="554" t="s">
        <v>64</v>
      </c>
      <c r="G427" s="554"/>
      <c r="H427" s="554"/>
      <c r="I427" s="579"/>
      <c r="J427" s="570"/>
      <c r="K427" s="570"/>
      <c r="L427" s="554"/>
      <c r="M427" s="62">
        <f>M425+M426</f>
        <v>2</v>
      </c>
      <c r="N427" s="255"/>
      <c r="O427" s="62">
        <f>SUM(O425:O425)</f>
        <v>0</v>
      </c>
      <c r="P427" s="63" t="s">
        <v>57</v>
      </c>
      <c r="Q427" s="337"/>
      <c r="R427" s="64"/>
      <c r="S427" s="64"/>
      <c r="T427" s="480"/>
    </row>
    <row r="428" spans="1:33" ht="24" x14ac:dyDescent="0.15">
      <c r="A428" s="65"/>
      <c r="B428" s="560" t="s">
        <v>65</v>
      </c>
      <c r="C428" s="561"/>
      <c r="D428" s="561"/>
      <c r="E428" s="562"/>
      <c r="F428" s="565" t="s">
        <v>26</v>
      </c>
      <c r="G428" s="566"/>
      <c r="H428" s="66" t="s">
        <v>59</v>
      </c>
      <c r="I428" s="351"/>
      <c r="J428" s="66" t="s">
        <v>60</v>
      </c>
      <c r="K428" s="66" t="s">
        <v>6</v>
      </c>
      <c r="L428" s="67" t="s">
        <v>61</v>
      </c>
      <c r="M428" s="66" t="s">
        <v>30</v>
      </c>
      <c r="N428" s="68" t="s">
        <v>62</v>
      </c>
      <c r="O428" s="68" t="s">
        <v>34</v>
      </c>
      <c r="P428" s="69" t="s">
        <v>57</v>
      </c>
      <c r="Q428" s="42"/>
      <c r="R428" s="67"/>
      <c r="S428" s="67"/>
      <c r="T428" s="481"/>
    </row>
    <row r="429" spans="1:33" ht="13.5" customHeight="1" x14ac:dyDescent="0.15">
      <c r="A429" s="76">
        <v>1</v>
      </c>
      <c r="B429" s="545"/>
      <c r="C429" s="546"/>
      <c r="D429" s="546"/>
      <c r="E429" s="547"/>
      <c r="F429" s="558" t="s">
        <v>66</v>
      </c>
      <c r="G429" s="559"/>
      <c r="H429" s="78"/>
      <c r="I429" s="352"/>
      <c r="J429" s="77"/>
      <c r="K429" s="46" t="str">
        <f>VLOOKUP($F:$F,材料单价表!$B$3:$G$42,4,0)</f>
        <v>m</v>
      </c>
      <c r="L429" s="46"/>
      <c r="M429" s="80">
        <f>M385</f>
        <v>8</v>
      </c>
      <c r="N429" s="46">
        <f>VLOOKUP($F:$F,材料单价表!$B$3:$G$42,5,0)</f>
        <v>0</v>
      </c>
      <c r="O429" s="46">
        <f>N429*M429</f>
        <v>0</v>
      </c>
      <c r="P429" s="48"/>
      <c r="Q429" s="59"/>
      <c r="R429" s="81"/>
      <c r="S429" s="79"/>
      <c r="T429" s="483"/>
    </row>
    <row r="430" spans="1:33" ht="15.75" customHeight="1" x14ac:dyDescent="0.15">
      <c r="A430" s="76">
        <v>2</v>
      </c>
      <c r="B430" s="545"/>
      <c r="C430" s="546"/>
      <c r="D430" s="546"/>
      <c r="E430" s="547"/>
      <c r="F430" s="558" t="s">
        <v>68</v>
      </c>
      <c r="G430" s="559"/>
      <c r="H430" s="78" t="s">
        <v>67</v>
      </c>
      <c r="I430" s="352"/>
      <c r="J430" s="77"/>
      <c r="K430" s="46" t="str">
        <f>VLOOKUP($F:$F,材料单价表!$B$3:$G$42,4,0)</f>
        <v>m</v>
      </c>
      <c r="L430" s="46"/>
      <c r="M430" s="80">
        <f>(J399*K399+J402*K402+J400*K400+J401*K401)/1000*2</f>
        <v>18.015999999999998</v>
      </c>
      <c r="N430" s="46">
        <f>VLOOKUP($F:$F,材料单价表!$B$3:$G$42,5,0)</f>
        <v>0</v>
      </c>
      <c r="O430" s="46">
        <f t="shared" ref="O430:O435" si="77">N430*M430</f>
        <v>0</v>
      </c>
      <c r="P430" s="48"/>
      <c r="Q430" s="59"/>
      <c r="R430" s="81"/>
      <c r="S430" s="79"/>
      <c r="T430" s="483"/>
      <c r="V430" s="104"/>
      <c r="W430" s="104"/>
    </row>
    <row r="431" spans="1:33" ht="13.5" customHeight="1" x14ac:dyDescent="0.15">
      <c r="A431" s="76">
        <v>3</v>
      </c>
      <c r="B431" s="545"/>
      <c r="C431" s="546"/>
      <c r="D431" s="546"/>
      <c r="E431" s="547"/>
      <c r="F431" s="558" t="s">
        <v>68</v>
      </c>
      <c r="G431" s="559"/>
      <c r="H431" s="78" t="s">
        <v>69</v>
      </c>
      <c r="I431" s="352"/>
      <c r="J431" s="77"/>
      <c r="K431" s="46" t="str">
        <f>VLOOKUP($F:$F,材料单价表!$B$3:$G$42,4,0)</f>
        <v>m</v>
      </c>
      <c r="L431" s="46"/>
      <c r="M431" s="80">
        <f>M385</f>
        <v>8</v>
      </c>
      <c r="N431" s="46">
        <f>VLOOKUP($F:$F,材料单价表!$B$3:$G$42,5,0)</f>
        <v>0</v>
      </c>
      <c r="O431" s="46">
        <f t="shared" si="77"/>
        <v>0</v>
      </c>
      <c r="P431" s="48"/>
      <c r="Q431" s="59"/>
      <c r="R431" s="81"/>
      <c r="S431" s="79"/>
      <c r="T431" s="483"/>
      <c r="V431" s="104"/>
      <c r="W431" s="104"/>
    </row>
    <row r="432" spans="1:33" ht="13.5" customHeight="1" x14ac:dyDescent="0.15">
      <c r="A432" s="76">
        <v>4</v>
      </c>
      <c r="B432" s="545"/>
      <c r="C432" s="546"/>
      <c r="D432" s="546"/>
      <c r="E432" s="547"/>
      <c r="F432" s="558" t="s">
        <v>68</v>
      </c>
      <c r="G432" s="559"/>
      <c r="H432" s="78" t="s">
        <v>70</v>
      </c>
      <c r="I432" s="352"/>
      <c r="J432" s="77"/>
      <c r="K432" s="46" t="str">
        <f>VLOOKUP($F:$F,材料单价表!$B$3:$G$42,4,0)</f>
        <v>m</v>
      </c>
      <c r="L432" s="46"/>
      <c r="M432" s="80">
        <f>M385</f>
        <v>8</v>
      </c>
      <c r="N432" s="46">
        <f>VLOOKUP($F:$F,材料单价表!$B$3:$G$42,5,0)</f>
        <v>0</v>
      </c>
      <c r="O432" s="46">
        <f t="shared" si="77"/>
        <v>0</v>
      </c>
      <c r="P432" s="48"/>
      <c r="Q432" s="59"/>
      <c r="R432" s="81"/>
      <c r="S432" s="79"/>
      <c r="T432" s="483"/>
      <c r="V432" s="104"/>
      <c r="W432" s="104"/>
    </row>
    <row r="433" spans="1:20" ht="13.5" customHeight="1" x14ac:dyDescent="0.15">
      <c r="A433" s="76">
        <v>5</v>
      </c>
      <c r="B433" s="545"/>
      <c r="C433" s="546"/>
      <c r="D433" s="546"/>
      <c r="E433" s="547"/>
      <c r="F433" s="558" t="s">
        <v>71</v>
      </c>
      <c r="G433" s="559"/>
      <c r="H433" s="78"/>
      <c r="I433" s="352"/>
      <c r="J433" s="77"/>
      <c r="K433" s="46" t="str">
        <f>VLOOKUP($F:$F,材料单价表!$B$3:$G$42,4,0)</f>
        <v>个</v>
      </c>
      <c r="L433" s="79"/>
      <c r="M433" s="80">
        <f>K403+K404+K406+K407</f>
        <v>16</v>
      </c>
      <c r="N433" s="46">
        <f>VLOOKUP($F:$F,材料单价表!$B$3:$G$42,5,0)</f>
        <v>0</v>
      </c>
      <c r="O433" s="46">
        <f t="shared" si="77"/>
        <v>0</v>
      </c>
      <c r="P433" s="48"/>
      <c r="Q433" s="59"/>
      <c r="R433" s="81"/>
      <c r="S433" s="79"/>
      <c r="T433" s="483"/>
    </row>
    <row r="434" spans="1:20" ht="13.5" customHeight="1" x14ac:dyDescent="0.15">
      <c r="A434" s="76">
        <v>6</v>
      </c>
      <c r="B434" s="545"/>
      <c r="C434" s="546"/>
      <c r="D434" s="546"/>
      <c r="E434" s="547"/>
      <c r="F434" s="558" t="s">
        <v>121</v>
      </c>
      <c r="G434" s="559"/>
      <c r="H434" s="78"/>
      <c r="I434" s="352"/>
      <c r="J434" s="77"/>
      <c r="K434" s="46" t="str">
        <f>VLOOKUP($F:$F,材料单价表!$B$3:$G$42,4,0)</f>
        <v>m</v>
      </c>
      <c r="L434" s="79"/>
      <c r="M434" s="80">
        <f>(J391*K391+J392*K392)/1000*2</f>
        <v>12.272</v>
      </c>
      <c r="N434" s="46">
        <f>VLOOKUP($F:$F,材料单价表!$B$3:$G$42,5,0)</f>
        <v>0</v>
      </c>
      <c r="O434" s="46">
        <f t="shared" si="77"/>
        <v>0</v>
      </c>
      <c r="P434" s="48"/>
      <c r="Q434" s="59"/>
      <c r="R434" s="81"/>
      <c r="S434" s="46"/>
      <c r="T434" s="484"/>
    </row>
    <row r="435" spans="1:20" x14ac:dyDescent="0.15">
      <c r="A435" s="76">
        <v>7</v>
      </c>
      <c r="B435" s="545"/>
      <c r="C435" s="546"/>
      <c r="D435" s="546"/>
      <c r="E435" s="547"/>
      <c r="F435" s="558" t="s">
        <v>72</v>
      </c>
      <c r="G435" s="559"/>
      <c r="H435" s="45"/>
      <c r="I435" s="207"/>
      <c r="J435" s="45"/>
      <c r="K435" s="46" t="str">
        <f>VLOOKUP($F:$F,材料单价表!$B$3:$G$42,4,0)</f>
        <v>m2</v>
      </c>
      <c r="L435" s="72"/>
      <c r="M435" s="46">
        <f>M441</f>
        <v>3.3</v>
      </c>
      <c r="N435" s="46">
        <f>VLOOKUP($F:$F,材料单价表!$B$3:$G$42,5,0)</f>
        <v>0</v>
      </c>
      <c r="O435" s="46">
        <f t="shared" si="77"/>
        <v>0</v>
      </c>
      <c r="P435" s="48"/>
      <c r="Q435" s="48"/>
      <c r="R435" s="73"/>
      <c r="S435" s="73"/>
      <c r="T435" s="478"/>
    </row>
    <row r="436" spans="1:20" x14ac:dyDescent="0.15">
      <c r="A436" s="76">
        <v>8</v>
      </c>
      <c r="B436" s="545"/>
      <c r="C436" s="546"/>
      <c r="D436" s="546"/>
      <c r="E436" s="547"/>
      <c r="F436" s="256"/>
      <c r="G436" s="257"/>
      <c r="H436" s="207"/>
      <c r="I436" s="207"/>
      <c r="J436" s="207"/>
      <c r="K436" s="208"/>
      <c r="L436" s="209"/>
      <c r="M436" s="208"/>
      <c r="N436" s="208"/>
      <c r="O436" s="208"/>
      <c r="P436" s="211"/>
      <c r="Q436" s="48"/>
      <c r="R436" s="212"/>
      <c r="S436" s="212"/>
      <c r="T436" s="478"/>
    </row>
    <row r="437" spans="1:20" x14ac:dyDescent="0.15">
      <c r="A437" s="76">
        <v>9</v>
      </c>
      <c r="B437" s="545"/>
      <c r="C437" s="546"/>
      <c r="D437" s="546"/>
      <c r="E437" s="547"/>
      <c r="F437" s="558"/>
      <c r="G437" s="559"/>
      <c r="H437" s="45"/>
      <c r="I437" s="207"/>
      <c r="J437" s="45"/>
      <c r="K437" s="45"/>
      <c r="L437" s="72"/>
      <c r="M437" s="46"/>
      <c r="N437" s="46"/>
      <c r="O437" s="82"/>
      <c r="P437" s="48"/>
      <c r="Q437" s="48"/>
      <c r="R437" s="73"/>
      <c r="S437" s="73"/>
      <c r="T437" s="478"/>
    </row>
    <row r="438" spans="1:20" x14ac:dyDescent="0.15">
      <c r="A438" s="74"/>
      <c r="B438" s="571"/>
      <c r="C438" s="572"/>
      <c r="D438" s="572"/>
      <c r="E438" s="573"/>
      <c r="F438" s="552" t="s">
        <v>73</v>
      </c>
      <c r="G438" s="557"/>
      <c r="H438" s="557"/>
      <c r="I438" s="557"/>
      <c r="J438" s="557"/>
      <c r="K438" s="557"/>
      <c r="L438" s="557"/>
      <c r="M438" s="61"/>
      <c r="N438" s="61"/>
      <c r="O438" s="62">
        <f>SUM(O429:O437)</f>
        <v>0</v>
      </c>
      <c r="P438" s="63" t="s">
        <v>57</v>
      </c>
      <c r="Q438" s="337"/>
      <c r="R438" s="64"/>
      <c r="S438" s="64"/>
      <c r="T438" s="480"/>
    </row>
    <row r="439" spans="1:20" x14ac:dyDescent="0.15">
      <c r="A439" s="74"/>
      <c r="B439" s="571"/>
      <c r="C439" s="572"/>
      <c r="D439" s="572"/>
      <c r="E439" s="573"/>
      <c r="F439" s="552" t="s">
        <v>74</v>
      </c>
      <c r="G439" s="557"/>
      <c r="H439" s="557"/>
      <c r="I439" s="557"/>
      <c r="J439" s="557"/>
      <c r="K439" s="557"/>
      <c r="L439" s="557"/>
      <c r="M439" s="557"/>
      <c r="N439" s="553"/>
      <c r="O439" s="62">
        <f>O438+O427+O423+O417</f>
        <v>0</v>
      </c>
      <c r="P439" s="63" t="s">
        <v>57</v>
      </c>
      <c r="Q439" s="337"/>
      <c r="R439" s="64"/>
      <c r="S439" s="64"/>
      <c r="T439" s="480"/>
    </row>
    <row r="440" spans="1:20" ht="24" x14ac:dyDescent="0.15">
      <c r="A440" s="65"/>
      <c r="B440" s="560" t="s">
        <v>75</v>
      </c>
      <c r="C440" s="561"/>
      <c r="D440" s="561"/>
      <c r="E440" s="562"/>
      <c r="F440" s="565" t="s">
        <v>26</v>
      </c>
      <c r="G440" s="566"/>
      <c r="H440" s="66"/>
      <c r="I440" s="351"/>
      <c r="J440" s="66"/>
      <c r="K440" s="66" t="s">
        <v>6</v>
      </c>
      <c r="L440" s="83" t="s">
        <v>61</v>
      </c>
      <c r="M440" s="66" t="s">
        <v>76</v>
      </c>
      <c r="N440" s="68" t="s">
        <v>62</v>
      </c>
      <c r="O440" s="68" t="s">
        <v>34</v>
      </c>
      <c r="P440" s="84" t="s">
        <v>57</v>
      </c>
      <c r="Q440" s="84"/>
      <c r="R440" s="67"/>
      <c r="S440" s="67"/>
      <c r="T440" s="481"/>
    </row>
    <row r="441" spans="1:20" x14ac:dyDescent="0.15">
      <c r="A441" s="258">
        <v>1</v>
      </c>
      <c r="B441" s="545"/>
      <c r="C441" s="546"/>
      <c r="D441" s="546"/>
      <c r="E441" s="547"/>
      <c r="F441" s="545" t="s">
        <v>77</v>
      </c>
      <c r="G441" s="547"/>
      <c r="H441" s="45"/>
      <c r="I441" s="207"/>
      <c r="J441" s="46"/>
      <c r="K441" s="45" t="s">
        <v>78</v>
      </c>
      <c r="L441" s="72"/>
      <c r="M441" s="85">
        <f>O372</f>
        <v>3.3</v>
      </c>
      <c r="N441" s="46">
        <f>VLOOKUP($F:$F,材料单价表!$B$3:$G$42,5,0)</f>
        <v>0</v>
      </c>
      <c r="O441" s="46">
        <f>N441*M441</f>
        <v>0</v>
      </c>
      <c r="P441" s="48"/>
      <c r="Q441" s="48"/>
      <c r="R441" s="72"/>
      <c r="S441" s="72"/>
      <c r="T441" s="482"/>
    </row>
    <row r="442" spans="1:20" x14ac:dyDescent="0.15">
      <c r="A442" s="258">
        <v>2</v>
      </c>
      <c r="B442" s="545"/>
      <c r="C442" s="546"/>
      <c r="D442" s="546"/>
      <c r="E442" s="547"/>
      <c r="F442" s="545" t="s">
        <v>79</v>
      </c>
      <c r="G442" s="547"/>
      <c r="H442" s="45"/>
      <c r="I442" s="207"/>
      <c r="J442" s="46"/>
      <c r="K442" s="45" t="s">
        <v>78</v>
      </c>
      <c r="L442" s="72"/>
      <c r="M442" s="85">
        <f>M441</f>
        <v>3.3</v>
      </c>
      <c r="N442" s="46">
        <f>VLOOKUP($F:$F,材料单价表!$B$3:$G$42,5,0)</f>
        <v>0</v>
      </c>
      <c r="O442" s="46">
        <f>N442*M442</f>
        <v>0</v>
      </c>
      <c r="P442" s="48"/>
      <c r="Q442" s="48"/>
      <c r="R442" s="72"/>
      <c r="S442" s="72"/>
      <c r="T442" s="482"/>
    </row>
    <row r="443" spans="1:20" ht="24.75" customHeight="1" x14ac:dyDescent="0.15">
      <c r="A443" s="74"/>
      <c r="B443" s="571"/>
      <c r="C443" s="572"/>
      <c r="D443" s="572"/>
      <c r="E443" s="573"/>
      <c r="F443" s="552" t="s">
        <v>80</v>
      </c>
      <c r="G443" s="553"/>
      <c r="H443" s="254"/>
      <c r="I443" s="379"/>
      <c r="J443" s="554" t="s">
        <v>81</v>
      </c>
      <c r="K443" s="554"/>
      <c r="L443" s="554"/>
      <c r="M443" s="554"/>
      <c r="N443" s="87"/>
      <c r="O443" s="62">
        <f>O439+O441+O442</f>
        <v>0</v>
      </c>
      <c r="P443" s="63" t="s">
        <v>57</v>
      </c>
      <c r="Q443" s="337"/>
      <c r="R443" s="64"/>
      <c r="S443" s="64"/>
      <c r="T443" s="480"/>
    </row>
    <row r="444" spans="1:20" ht="24" customHeight="1" x14ac:dyDescent="0.15">
      <c r="A444" s="74"/>
      <c r="B444" s="571"/>
      <c r="C444" s="572"/>
      <c r="D444" s="572"/>
      <c r="E444" s="573"/>
      <c r="F444" s="555" t="s">
        <v>82</v>
      </c>
      <c r="G444" s="556"/>
      <c r="H444" s="253"/>
      <c r="I444" s="381"/>
      <c r="J444" s="552" t="s">
        <v>81</v>
      </c>
      <c r="K444" s="557"/>
      <c r="L444" s="557"/>
      <c r="M444" s="557"/>
      <c r="N444" s="62"/>
      <c r="O444" s="62">
        <f>O443/O372</f>
        <v>0</v>
      </c>
      <c r="P444" s="89" t="s">
        <v>57</v>
      </c>
      <c r="Q444" s="89"/>
      <c r="R444" s="90"/>
      <c r="S444" s="90"/>
      <c r="T444" s="485"/>
    </row>
    <row r="445" spans="1:20" ht="18.75" customHeight="1" x14ac:dyDescent="0.15">
      <c r="A445" s="549" t="s">
        <v>0</v>
      </c>
      <c r="B445" s="549"/>
      <c r="C445" s="549"/>
      <c r="D445" s="549"/>
      <c r="E445" s="549"/>
      <c r="F445" s="549"/>
      <c r="G445" s="549"/>
      <c r="H445" s="549"/>
      <c r="I445" s="549"/>
      <c r="J445" s="549"/>
      <c r="K445" s="549"/>
      <c r="L445" s="550"/>
      <c r="M445" s="549"/>
      <c r="N445" s="549"/>
      <c r="O445" s="549"/>
      <c r="P445" s="549"/>
      <c r="Q445" s="549"/>
      <c r="R445" s="551"/>
      <c r="S445" s="551"/>
      <c r="T445" s="474"/>
    </row>
    <row r="446" spans="1:20" ht="15" customHeight="1" x14ac:dyDescent="0.15">
      <c r="A446" s="2" t="s">
        <v>1</v>
      </c>
      <c r="B446" s="3" t="s">
        <v>966</v>
      </c>
      <c r="C446" s="3">
        <v>3</v>
      </c>
      <c r="D446" s="3"/>
      <c r="E446" s="3"/>
      <c r="F446" s="4" t="s">
        <v>2</v>
      </c>
      <c r="G446" s="5">
        <v>55</v>
      </c>
      <c r="H446" s="106" t="s">
        <v>86</v>
      </c>
      <c r="I446" s="106"/>
      <c r="J446" s="4" t="s">
        <v>3</v>
      </c>
      <c r="K446" s="6">
        <f>L449</f>
        <v>1600</v>
      </c>
      <c r="L446" s="7" t="s">
        <v>83</v>
      </c>
      <c r="M446" s="6">
        <f>L448</f>
        <v>2400</v>
      </c>
      <c r="N446" s="8" t="s">
        <v>4</v>
      </c>
      <c r="O446" s="9">
        <f>M458</f>
        <v>3.48</v>
      </c>
      <c r="P446" s="10"/>
      <c r="Q446" s="10"/>
      <c r="R446" s="10" t="s">
        <v>5</v>
      </c>
      <c r="S446" s="11"/>
      <c r="T446" s="475"/>
    </row>
    <row r="447" spans="1:20" ht="15" customHeight="1" x14ac:dyDescent="0.2">
      <c r="A447" s="12"/>
      <c r="B447" s="252"/>
      <c r="C447" s="252"/>
      <c r="D447" s="252"/>
      <c r="E447" s="252"/>
      <c r="F447" s="14"/>
      <c r="G447" s="14" t="s">
        <v>851</v>
      </c>
      <c r="H447" s="15"/>
      <c r="I447" s="15"/>
      <c r="J447" s="16"/>
      <c r="K447" s="16" t="s">
        <v>6</v>
      </c>
      <c r="L447" s="17" t="s">
        <v>7</v>
      </c>
      <c r="M447" s="16" t="s">
        <v>8</v>
      </c>
      <c r="N447" s="18"/>
      <c r="O447" s="548" t="s">
        <v>940</v>
      </c>
      <c r="P447" s="548"/>
      <c r="Q447" s="16" t="s">
        <v>1018</v>
      </c>
      <c r="R447" s="529" t="s">
        <v>1187</v>
      </c>
      <c r="S447" s="530" t="s">
        <v>1592</v>
      </c>
      <c r="T447" s="476"/>
    </row>
    <row r="448" spans="1:20" ht="15" customHeight="1" x14ac:dyDescent="0.2">
      <c r="A448" s="398" t="s">
        <v>918</v>
      </c>
      <c r="B448" s="406" t="s">
        <v>965</v>
      </c>
      <c r="C448"/>
      <c r="D448"/>
      <c r="E448"/>
      <c r="F448" s="23"/>
      <c r="G448" s="23"/>
      <c r="H448" s="107"/>
      <c r="I448" s="107"/>
      <c r="J448" s="24" t="s">
        <v>9</v>
      </c>
      <c r="K448" s="16" t="s">
        <v>10</v>
      </c>
      <c r="L448" s="25">
        <v>2400</v>
      </c>
      <c r="M448" s="113">
        <f>L448-M457*2</f>
        <v>2300</v>
      </c>
      <c r="N448" s="18"/>
      <c r="O448" s="356" t="s">
        <v>941</v>
      </c>
      <c r="P448" s="357"/>
      <c r="Q448" s="16" t="s">
        <v>1019</v>
      </c>
      <c r="R448" s="529"/>
      <c r="S448" s="530"/>
      <c r="T448" s="476"/>
    </row>
    <row r="449" spans="1:33" ht="15" customHeight="1" x14ac:dyDescent="0.2">
      <c r="A449" s="21"/>
      <c r="B449" s="22"/>
      <c r="C449" s="22"/>
      <c r="D449" s="22"/>
      <c r="E449" s="22"/>
      <c r="F449" s="23"/>
      <c r="G449" s="23"/>
      <c r="H449" s="18"/>
      <c r="I449" s="18"/>
      <c r="J449" s="24" t="s">
        <v>11</v>
      </c>
      <c r="K449" s="16" t="s">
        <v>10</v>
      </c>
      <c r="L449" s="25">
        <v>1600</v>
      </c>
      <c r="M449" s="113">
        <f>L449-M457*2</f>
        <v>1500</v>
      </c>
      <c r="N449" s="18"/>
      <c r="O449" s="356" t="s">
        <v>924</v>
      </c>
      <c r="P449" s="357"/>
      <c r="Q449" s="16" t="s">
        <v>1020</v>
      </c>
      <c r="R449" s="529" t="s">
        <v>1188</v>
      </c>
      <c r="S449" s="530" t="s">
        <v>1086</v>
      </c>
      <c r="T449" s="476"/>
    </row>
    <row r="450" spans="1:33" ht="15" customHeight="1" x14ac:dyDescent="0.2">
      <c r="A450" s="21"/>
      <c r="B450" s="22"/>
      <c r="C450" s="22"/>
      <c r="D450" s="22"/>
      <c r="E450" s="22"/>
      <c r="F450" s="23"/>
      <c r="G450" s="23"/>
      <c r="H450" s="18"/>
      <c r="I450" s="18"/>
      <c r="J450" s="24" t="s">
        <v>12</v>
      </c>
      <c r="K450" s="16" t="s">
        <v>10</v>
      </c>
      <c r="L450" s="26"/>
      <c r="M450" s="113">
        <f>M448-M451-M452</f>
        <v>1300</v>
      </c>
      <c r="N450" s="18"/>
      <c r="O450" s="356" t="s">
        <v>925</v>
      </c>
      <c r="P450" s="357"/>
      <c r="Q450" s="16" t="s">
        <v>1021</v>
      </c>
      <c r="R450" s="529"/>
      <c r="S450" s="530"/>
      <c r="T450" s="476"/>
    </row>
    <row r="451" spans="1:33" ht="15" customHeight="1" x14ac:dyDescent="0.2">
      <c r="A451" s="21"/>
      <c r="B451" s="22"/>
      <c r="C451" s="22"/>
      <c r="D451" s="22"/>
      <c r="E451" s="22"/>
      <c r="F451" s="23"/>
      <c r="G451" s="23"/>
      <c r="H451" s="18"/>
      <c r="I451" s="18"/>
      <c r="J451" s="24" t="s">
        <v>13</v>
      </c>
      <c r="K451" s="16" t="s">
        <v>10</v>
      </c>
      <c r="L451" s="26"/>
      <c r="M451" s="113">
        <v>400</v>
      </c>
      <c r="N451" s="18"/>
      <c r="O451" s="356" t="s">
        <v>926</v>
      </c>
      <c r="P451" s="357"/>
      <c r="Q451" s="16" t="s">
        <v>1022</v>
      </c>
      <c r="R451" s="27"/>
      <c r="S451" s="28"/>
      <c r="T451" s="476"/>
    </row>
    <row r="452" spans="1:33" ht="15" customHeight="1" x14ac:dyDescent="0.2">
      <c r="A452" s="21"/>
      <c r="B452" s="22"/>
      <c r="C452" s="22"/>
      <c r="D452" s="22"/>
      <c r="E452" s="22"/>
      <c r="F452" s="23"/>
      <c r="G452" s="23"/>
      <c r="H452" s="18"/>
      <c r="I452" s="18"/>
      <c r="J452" s="24" t="s">
        <v>14</v>
      </c>
      <c r="K452" s="16" t="s">
        <v>10</v>
      </c>
      <c r="L452" s="26"/>
      <c r="M452" s="308">
        <v>600</v>
      </c>
      <c r="N452" s="309" t="s">
        <v>863</v>
      </c>
      <c r="O452" s="356" t="s">
        <v>927</v>
      </c>
      <c r="P452" s="357"/>
      <c r="Q452" s="16" t="s">
        <v>1023</v>
      </c>
      <c r="R452" s="27"/>
      <c r="S452" s="28"/>
      <c r="T452" s="476"/>
    </row>
    <row r="453" spans="1:33" ht="15" customHeight="1" x14ac:dyDescent="0.2">
      <c r="A453" s="21"/>
      <c r="B453" s="22"/>
      <c r="C453" s="22"/>
      <c r="D453" s="22"/>
      <c r="E453" s="22"/>
      <c r="F453" s="23"/>
      <c r="G453" s="23"/>
      <c r="H453" s="18"/>
      <c r="I453" s="18"/>
      <c r="J453" s="24" t="s">
        <v>15</v>
      </c>
      <c r="K453" s="16" t="s">
        <v>10</v>
      </c>
      <c r="L453" s="26"/>
      <c r="M453" s="113">
        <f>M449-M454</f>
        <v>600</v>
      </c>
      <c r="N453" s="18"/>
      <c r="O453" s="356" t="s">
        <v>928</v>
      </c>
      <c r="P453" s="357"/>
      <c r="Q453" s="16" t="s">
        <v>1005</v>
      </c>
      <c r="R453" s="27"/>
      <c r="S453" s="28"/>
      <c r="T453" s="476"/>
    </row>
    <row r="454" spans="1:33" ht="15" customHeight="1" x14ac:dyDescent="0.2">
      <c r="A454" s="21"/>
      <c r="B454" s="22"/>
      <c r="C454" s="22"/>
      <c r="D454" s="22"/>
      <c r="E454" s="22"/>
      <c r="F454" s="23"/>
      <c r="G454" s="23"/>
      <c r="H454" s="18"/>
      <c r="I454" s="18"/>
      <c r="J454" s="24" t="s">
        <v>16</v>
      </c>
      <c r="K454" s="16" t="s">
        <v>10</v>
      </c>
      <c r="L454" s="26"/>
      <c r="M454" s="113">
        <v>900</v>
      </c>
      <c r="N454" s="18"/>
      <c r="O454" s="356" t="s">
        <v>929</v>
      </c>
      <c r="P454" s="357"/>
      <c r="Q454" s="16" t="s">
        <v>1024</v>
      </c>
      <c r="R454" s="27"/>
      <c r="S454" s="28"/>
      <c r="T454" s="476"/>
    </row>
    <row r="455" spans="1:33" ht="15" customHeight="1" x14ac:dyDescent="0.2">
      <c r="A455" s="21"/>
      <c r="B455" s="22"/>
      <c r="C455" s="22"/>
      <c r="D455" s="22"/>
      <c r="E455" s="22"/>
      <c r="F455" s="23"/>
      <c r="G455" s="23"/>
      <c r="H455" s="18"/>
      <c r="I455" s="18"/>
      <c r="J455" s="24" t="s">
        <v>17</v>
      </c>
      <c r="K455" s="16" t="s">
        <v>10</v>
      </c>
      <c r="L455" s="26"/>
      <c r="M455" s="113"/>
      <c r="N455" s="18"/>
      <c r="O455" s="356" t="s">
        <v>930</v>
      </c>
      <c r="P455" s="357"/>
      <c r="Q455" s="16" t="s">
        <v>931</v>
      </c>
      <c r="R455" s="27"/>
      <c r="S455" s="28"/>
      <c r="T455" s="476"/>
    </row>
    <row r="456" spans="1:33" ht="15" customHeight="1" x14ac:dyDescent="0.2">
      <c r="A456" s="21"/>
      <c r="B456" s="22"/>
      <c r="C456" s="22"/>
      <c r="D456" s="22"/>
      <c r="E456" s="22"/>
      <c r="F456" s="23"/>
      <c r="G456" s="23"/>
      <c r="H456" s="18"/>
      <c r="I456" s="18"/>
      <c r="J456" s="24" t="s">
        <v>18</v>
      </c>
      <c r="K456" s="16" t="s">
        <v>10</v>
      </c>
      <c r="L456" s="26"/>
      <c r="M456" s="113"/>
      <c r="N456" s="18"/>
      <c r="O456" s="356" t="s">
        <v>932</v>
      </c>
      <c r="P456" s="357"/>
      <c r="Q456" s="16" t="s">
        <v>933</v>
      </c>
      <c r="R456" s="27"/>
      <c r="S456" s="28"/>
      <c r="T456" s="476"/>
    </row>
    <row r="457" spans="1:33" ht="15" customHeight="1" x14ac:dyDescent="0.2">
      <c r="A457" s="21"/>
      <c r="B457" s="22"/>
      <c r="C457" s="22"/>
      <c r="D457" s="22"/>
      <c r="E457" s="22"/>
      <c r="F457" s="23"/>
      <c r="G457" s="23"/>
      <c r="H457" s="18"/>
      <c r="I457" s="18"/>
      <c r="J457" s="24" t="s">
        <v>19</v>
      </c>
      <c r="K457" s="16" t="s">
        <v>10</v>
      </c>
      <c r="L457" s="26"/>
      <c r="M457" s="25">
        <v>50</v>
      </c>
      <c r="N457" s="18"/>
      <c r="O457" s="356" t="s">
        <v>934</v>
      </c>
      <c r="P457" s="357"/>
      <c r="Q457" s="16" t="s">
        <v>935</v>
      </c>
      <c r="R457" s="27"/>
      <c r="S457" s="28"/>
      <c r="T457" s="476"/>
    </row>
    <row r="458" spans="1:33" ht="15" customHeight="1" x14ac:dyDescent="0.2">
      <c r="A458" s="21"/>
      <c r="B458" s="22"/>
      <c r="C458" s="22"/>
      <c r="D458" s="22"/>
      <c r="E458" s="22"/>
      <c r="F458" s="23"/>
      <c r="G458" s="23"/>
      <c r="H458" s="18"/>
      <c r="I458" s="18"/>
      <c r="J458" s="29" t="s">
        <v>864</v>
      </c>
      <c r="K458" s="16" t="s">
        <v>21</v>
      </c>
      <c r="L458" s="30"/>
      <c r="M458" s="31">
        <f>(L448*L449-M453*M452)/1000000</f>
        <v>3.48</v>
      </c>
      <c r="N458" s="18"/>
      <c r="O458" s="356" t="s">
        <v>936</v>
      </c>
      <c r="P458" s="357"/>
      <c r="Q458" s="16" t="s">
        <v>937</v>
      </c>
      <c r="R458" s="27"/>
      <c r="S458" s="28"/>
      <c r="T458" s="476"/>
    </row>
    <row r="459" spans="1:33" ht="15" customHeight="1" x14ac:dyDescent="0.2">
      <c r="A459" s="32"/>
      <c r="B459" s="33"/>
      <c r="C459" s="33"/>
      <c r="D459" s="33"/>
      <c r="E459" s="33"/>
      <c r="F459" s="34"/>
      <c r="G459" s="34"/>
      <c r="H459" s="35"/>
      <c r="I459" s="35"/>
      <c r="J459" s="29" t="s">
        <v>22</v>
      </c>
      <c r="K459" s="16" t="s">
        <v>23</v>
      </c>
      <c r="L459" s="30"/>
      <c r="M459" s="36">
        <f>(L449+L448)*2/1000</f>
        <v>8</v>
      </c>
      <c r="N459" s="35"/>
      <c r="O459" s="356" t="s">
        <v>938</v>
      </c>
      <c r="P459" s="357"/>
      <c r="Q459" s="16" t="s">
        <v>939</v>
      </c>
      <c r="R459" s="37"/>
      <c r="S459" s="38"/>
      <c r="T459" s="476"/>
    </row>
    <row r="460" spans="1:33" ht="48.75" customHeight="1" x14ac:dyDescent="0.15">
      <c r="A460" s="39" t="s">
        <v>24</v>
      </c>
      <c r="B460" s="560" t="s">
        <v>25</v>
      </c>
      <c r="C460" s="561"/>
      <c r="D460" s="561"/>
      <c r="E460" s="562"/>
      <c r="F460" s="40" t="s">
        <v>26</v>
      </c>
      <c r="G460" s="40" t="s">
        <v>27</v>
      </c>
      <c r="H460" s="40" t="s">
        <v>28</v>
      </c>
      <c r="I460" s="40" t="s">
        <v>1334</v>
      </c>
      <c r="J460" s="40" t="s">
        <v>29</v>
      </c>
      <c r="K460" s="40" t="s">
        <v>30</v>
      </c>
      <c r="L460" s="41" t="s">
        <v>31</v>
      </c>
      <c r="M460" s="40" t="s">
        <v>32</v>
      </c>
      <c r="N460" s="40" t="s">
        <v>33</v>
      </c>
      <c r="O460" s="40" t="s">
        <v>34</v>
      </c>
      <c r="P460" s="42" t="s">
        <v>35</v>
      </c>
      <c r="Q460" s="359" t="s">
        <v>962</v>
      </c>
      <c r="R460" s="43" t="s">
        <v>36</v>
      </c>
      <c r="S460" s="43" t="s">
        <v>37</v>
      </c>
      <c r="T460" s="477"/>
      <c r="V460" s="332" t="s">
        <v>128</v>
      </c>
      <c r="W460" s="280"/>
      <c r="X460" s="273" t="s">
        <v>359</v>
      </c>
      <c r="Y460" s="281"/>
      <c r="Z460" s="273" t="s">
        <v>355</v>
      </c>
      <c r="AA460" s="281"/>
      <c r="AB460" s="273" t="s">
        <v>360</v>
      </c>
      <c r="AC460" s="281"/>
      <c r="AD460" s="273" t="s">
        <v>127</v>
      </c>
      <c r="AE460" s="281"/>
      <c r="AF460" s="262"/>
      <c r="AG460" s="287"/>
    </row>
    <row r="461" spans="1:33" x14ac:dyDescent="0.15">
      <c r="A461" s="258">
        <v>1</v>
      </c>
      <c r="B461" s="531" t="s">
        <v>38</v>
      </c>
      <c r="C461" s="532"/>
      <c r="D461" s="532"/>
      <c r="E461" s="533"/>
      <c r="F461" s="47" t="str">
        <f>VLOOKUP($H:$H,型材表!$B$5:$I$448,2,0)</f>
        <v>边框</v>
      </c>
      <c r="G461" s="45" t="s">
        <v>39</v>
      </c>
      <c r="H461" s="45" t="str">
        <f>IF(G446=55,"SW55MK001",IF(G446=551,"SW55BMK001",IF(G446=60,"SW60MK001",IF(G446=601,"SW60AMK001",IF(G446=65,"SW65AMK001",IF(G446=50,"SW50MK001"))))))</f>
        <v>SW55MK001</v>
      </c>
      <c r="I461" s="207" t="s">
        <v>1337</v>
      </c>
      <c r="J461" s="46">
        <f>M448</f>
        <v>2300</v>
      </c>
      <c r="K461" s="45">
        <v>2</v>
      </c>
      <c r="L461" s="47">
        <f>VLOOKUP($H:$H,型材表!$B$5:$I$448,4,0)</f>
        <v>1.4510000000000001</v>
      </c>
      <c r="M461" s="46">
        <f>J461*K461*L461/1000</f>
        <v>6.6746000000000008</v>
      </c>
      <c r="N461" s="72">
        <f>VLOOKUP($H:$H,型材表!$B$5:$I$448,7,0)</f>
        <v>0</v>
      </c>
      <c r="O461" s="46">
        <f>N461*M461</f>
        <v>0</v>
      </c>
      <c r="P461" s="100">
        <f>VLOOKUP($H:$H,型材表!$B$5:$I$448,5,0)</f>
        <v>0.125</v>
      </c>
      <c r="Q461" s="100" t="str">
        <f>VLOOKUP($H:$H,型材表!$B$5:$I$448,6,0)</f>
        <v>断桥隔热铝型材</v>
      </c>
      <c r="R461" s="49"/>
      <c r="S461" s="50"/>
      <c r="T461" s="478"/>
      <c r="X461" s="264"/>
      <c r="Y461" s="265"/>
      <c r="Z461" s="264"/>
      <c r="AA461" s="265"/>
      <c r="AB461" s="264"/>
      <c r="AC461" s="265"/>
      <c r="AD461" s="264"/>
      <c r="AE461" s="265"/>
      <c r="AF461" s="264"/>
      <c r="AG461" s="288"/>
    </row>
    <row r="462" spans="1:33" x14ac:dyDescent="0.15">
      <c r="A462" s="258">
        <v>2</v>
      </c>
      <c r="B462" s="534"/>
      <c r="C462" s="535"/>
      <c r="D462" s="535"/>
      <c r="E462" s="536"/>
      <c r="F462" s="47" t="str">
        <f>VLOOKUP($H:$H,型材表!$B$5:$I$448,2,0)</f>
        <v>边框</v>
      </c>
      <c r="G462" s="45" t="s">
        <v>40</v>
      </c>
      <c r="H462" s="45" t="str">
        <f>H461</f>
        <v>SW55MK001</v>
      </c>
      <c r="I462" s="207" t="s">
        <v>1415</v>
      </c>
      <c r="J462" s="46">
        <f>M454-8</f>
        <v>892</v>
      </c>
      <c r="K462" s="45">
        <v>2</v>
      </c>
      <c r="L462" s="47">
        <f>VLOOKUP($H:$H,型材表!$B$5:$I$448,4,0)</f>
        <v>1.4510000000000001</v>
      </c>
      <c r="M462" s="46">
        <f t="shared" ref="M462" si="78">J462*K462*L462/1000</f>
        <v>2.5885840000000004</v>
      </c>
      <c r="N462" s="72">
        <f>VLOOKUP($H:$H,型材表!$B$5:$I$448,7,0)</f>
        <v>0</v>
      </c>
      <c r="O462" s="46">
        <f t="shared" ref="O462" si="79">N462*M462</f>
        <v>0</v>
      </c>
      <c r="P462" s="100">
        <f>VLOOKUP($H:$H,型材表!$B$5:$I$448,5,0)</f>
        <v>0.125</v>
      </c>
      <c r="Q462" s="100" t="str">
        <f>VLOOKUP($H:$H,型材表!$B$5:$I$448,6,0)</f>
        <v>断桥隔热铝型材</v>
      </c>
      <c r="R462" s="49"/>
      <c r="S462" s="50"/>
      <c r="T462" s="478"/>
      <c r="X462" s="264"/>
      <c r="Y462" s="265"/>
      <c r="Z462" s="264"/>
      <c r="AA462" s="265"/>
      <c r="AB462" s="264"/>
      <c r="AC462" s="265"/>
      <c r="AD462" s="264"/>
      <c r="AE462" s="265"/>
      <c r="AF462" s="264"/>
      <c r="AG462" s="288"/>
    </row>
    <row r="463" spans="1:33" x14ac:dyDescent="0.15">
      <c r="A463" s="413">
        <v>3</v>
      </c>
      <c r="B463" s="534"/>
      <c r="C463" s="535"/>
      <c r="D463" s="535"/>
      <c r="E463" s="536"/>
      <c r="F463" s="47" t="str">
        <f>VLOOKUP($H:$H,型材表!$B$5:$I$448,2,0)</f>
        <v>边框</v>
      </c>
      <c r="G463" s="45" t="s">
        <v>39</v>
      </c>
      <c r="H463" s="207" t="str">
        <f>IF(G446=55,"SW55K001",IF(G446=551,"SW55BK001",IF(G446=60,"SW60K001",IF(G446=601,"SW60AK001",IF(G446=65,"SW65AK001")))))</f>
        <v>SW55K001</v>
      </c>
      <c r="I463" s="207" t="s">
        <v>1428</v>
      </c>
      <c r="J463" s="208">
        <f>M450+M451</f>
        <v>1700</v>
      </c>
      <c r="K463" s="45">
        <v>2</v>
      </c>
      <c r="L463" s="47">
        <f>VLOOKUP($H:$H,型材表!$B$5:$I$448,4,0)</f>
        <v>0.96699999999999997</v>
      </c>
      <c r="M463" s="46">
        <f t="shared" ref="M463:M464" si="80">J463*K463*L463/1000</f>
        <v>3.2877999999999998</v>
      </c>
      <c r="N463" s="72">
        <f>VLOOKUP($H:$H,型材表!$B$5:$I$448,7,0)</f>
        <v>0</v>
      </c>
      <c r="O463" s="46">
        <f t="shared" ref="O463:O464" si="81">N463*M463</f>
        <v>0</v>
      </c>
      <c r="P463" s="100">
        <f>VLOOKUP($H:$H,型材表!$B$5:$I$448,5,0)</f>
        <v>0.125</v>
      </c>
      <c r="Q463" s="100" t="str">
        <f>VLOOKUP($H:$H,型材表!$B$5:$I$448,6,0)</f>
        <v>断桥隔热铝型材</v>
      </c>
      <c r="R463" s="210"/>
      <c r="S463" s="50"/>
      <c r="T463" s="478"/>
      <c r="X463" s="264"/>
      <c r="Y463" s="265"/>
      <c r="Z463" s="264"/>
      <c r="AA463" s="265"/>
      <c r="AB463" s="264"/>
      <c r="AC463" s="265"/>
      <c r="AD463" s="264"/>
      <c r="AE463" s="265"/>
      <c r="AF463" s="264"/>
      <c r="AG463" s="288"/>
    </row>
    <row r="464" spans="1:33" s="229" customFormat="1" x14ac:dyDescent="0.15">
      <c r="A464" s="413">
        <v>4</v>
      </c>
      <c r="B464" s="537"/>
      <c r="C464" s="538"/>
      <c r="D464" s="538"/>
      <c r="E464" s="539"/>
      <c r="F464" s="47" t="str">
        <f>VLOOKUP($H:$H,型材表!$B$5:$I$448,2,0)</f>
        <v>边框</v>
      </c>
      <c r="G464" s="45" t="s">
        <v>40</v>
      </c>
      <c r="H464" s="222" t="str">
        <f>H463</f>
        <v>SW55K001</v>
      </c>
      <c r="I464" s="222" t="s">
        <v>1377</v>
      </c>
      <c r="J464" s="223">
        <f>M453-8</f>
        <v>592</v>
      </c>
      <c r="K464" s="45">
        <v>2</v>
      </c>
      <c r="L464" s="47">
        <f>VLOOKUP($H:$H,型材表!$B$5:$I$448,4,0)</f>
        <v>0.96699999999999997</v>
      </c>
      <c r="M464" s="46">
        <f t="shared" si="80"/>
        <v>1.1449279999999999</v>
      </c>
      <c r="N464" s="72">
        <f>VLOOKUP($H:$H,型材表!$B$5:$I$448,7,0)</f>
        <v>0</v>
      </c>
      <c r="O464" s="46">
        <f t="shared" si="81"/>
        <v>0</v>
      </c>
      <c r="P464" s="100">
        <f>VLOOKUP($H:$H,型材表!$B$5:$I$448,5,0)</f>
        <v>0.125</v>
      </c>
      <c r="Q464" s="100" t="str">
        <f>VLOOKUP($H:$H,型材表!$B$5:$I$448,6,0)</f>
        <v>断桥隔热铝型材</v>
      </c>
      <c r="R464" s="227"/>
      <c r="S464" s="228"/>
      <c r="T464" s="479"/>
      <c r="U464" s="471"/>
      <c r="V464" s="266"/>
      <c r="W464" s="266"/>
      <c r="X464" s="267"/>
      <c r="Y464" s="268"/>
      <c r="Z464" s="267"/>
      <c r="AA464" s="268"/>
      <c r="AB464" s="267"/>
      <c r="AC464" s="268"/>
      <c r="AD464" s="267"/>
      <c r="AE464" s="268"/>
      <c r="AF464" s="267"/>
      <c r="AG464" s="289"/>
    </row>
    <row r="465" spans="1:33" x14ac:dyDescent="0.15">
      <c r="A465" s="413">
        <v>5</v>
      </c>
      <c r="B465" s="531" t="s">
        <v>41</v>
      </c>
      <c r="C465" s="532"/>
      <c r="D465" s="532"/>
      <c r="E465" s="533"/>
      <c r="F465" s="47" t="str">
        <f>VLOOKUP($H:$H,型材表!$B$5:$I$448,2,0)</f>
        <v>外开扇</v>
      </c>
      <c r="G465" s="45" t="s">
        <v>39</v>
      </c>
      <c r="H465" s="45" t="str">
        <f>IF(G446=55,"SW55MS001",IF(G446=551,"SW55BMS001",IF(G446=60,"SW60MS001",IF(G446=601,"SW60AMS001",IF(G446=65,"SW65AMS001",IF(G446=50,"SW50MS001"))))))</f>
        <v>SW55MS001</v>
      </c>
      <c r="I465" s="207" t="s">
        <v>1379</v>
      </c>
      <c r="J465" s="46">
        <f>IF(G446=55,M448-V465,IF(G446=551,M448-X465,IF(G446=60,M448-Z465,IF(G446=601,M448-AB465,IF(G446=65,M448-AD465,IF(G446=50,M448-AF465))))))</f>
        <v>2238</v>
      </c>
      <c r="K465" s="45">
        <v>2</v>
      </c>
      <c r="L465" s="47">
        <f>VLOOKUP($H:$H,型材表!$B$5:$I$448,4,0)</f>
        <v>2.157</v>
      </c>
      <c r="M465" s="46">
        <f t="shared" ref="M465:M484" si="82">J465*K465*L465/1000</f>
        <v>9.6547319999999992</v>
      </c>
      <c r="N465" s="72">
        <f>VLOOKUP($H:$H,型材表!$B$5:$I$448,7,0)</f>
        <v>0</v>
      </c>
      <c r="O465" s="46">
        <f t="shared" ref="O465:O484" si="83">N465*M465</f>
        <v>0</v>
      </c>
      <c r="P465" s="100">
        <f>VLOOKUP($H:$H,型材表!$B$5:$I$448,5,0)</f>
        <v>0.125</v>
      </c>
      <c r="Q465" s="100" t="str">
        <f>VLOOKUP($H:$H,型材表!$B$5:$I$448,6,0)</f>
        <v>断桥隔热铝型材</v>
      </c>
      <c r="R465" s="49"/>
      <c r="S465" s="50"/>
      <c r="T465" s="478"/>
      <c r="U465" s="470" t="s">
        <v>1341</v>
      </c>
      <c r="V465" s="259">
        <f>31*2</f>
        <v>62</v>
      </c>
      <c r="X465" s="286">
        <f>31*2</f>
        <v>62</v>
      </c>
      <c r="Z465" s="286">
        <f>31*2</f>
        <v>62</v>
      </c>
      <c r="AA465" s="259"/>
      <c r="AB465" s="286">
        <f>31*2</f>
        <v>62</v>
      </c>
      <c r="AC465" s="259"/>
      <c r="AD465" s="286">
        <f>31*2</f>
        <v>62</v>
      </c>
      <c r="AE465" s="259"/>
      <c r="AF465" s="264"/>
      <c r="AG465" s="288"/>
    </row>
    <row r="466" spans="1:33" x14ac:dyDescent="0.15">
      <c r="A466" s="413">
        <v>6</v>
      </c>
      <c r="B466" s="534"/>
      <c r="C466" s="535"/>
      <c r="D466" s="535"/>
      <c r="E466" s="536"/>
      <c r="F466" s="47" t="str">
        <f>VLOOKUP($H:$H,型材表!$B$5:$I$448,2,0)</f>
        <v>外开扇</v>
      </c>
      <c r="G466" s="45" t="s">
        <v>40</v>
      </c>
      <c r="H466" s="207" t="str">
        <f>H465</f>
        <v>SW55MS001</v>
      </c>
      <c r="I466" s="207" t="s">
        <v>1417</v>
      </c>
      <c r="J466" s="208">
        <f>IF(G446=55,M454-V466,IF(G446=551,M454-X466,IF(G446=60,M454-Z466,IF(G446=601,M454-AB466,IF(G446=65,M454-AD466,IF(G446=50,M454-AF466))))))</f>
        <v>830</v>
      </c>
      <c r="K466" s="207">
        <v>2</v>
      </c>
      <c r="L466" s="47">
        <f>VLOOKUP($H:$H,型材表!$B$5:$I$448,4,0)</f>
        <v>2.157</v>
      </c>
      <c r="M466" s="46">
        <f t="shared" si="82"/>
        <v>3.5806199999999997</v>
      </c>
      <c r="N466" s="72">
        <f>VLOOKUP($H:$H,型材表!$B$5:$I$448,7,0)</f>
        <v>0</v>
      </c>
      <c r="O466" s="46">
        <f t="shared" si="83"/>
        <v>0</v>
      </c>
      <c r="P466" s="100">
        <f>VLOOKUP($H:$H,型材表!$B$5:$I$448,5,0)</f>
        <v>0.125</v>
      </c>
      <c r="Q466" s="100" t="str">
        <f>VLOOKUP($H:$H,型材表!$B$5:$I$448,6,0)</f>
        <v>断桥隔热铝型材</v>
      </c>
      <c r="R466" s="210"/>
      <c r="S466" s="50"/>
      <c r="T466" s="478"/>
      <c r="U466" s="470" t="s">
        <v>1381</v>
      </c>
      <c r="V466" s="259">
        <f>31+39</f>
        <v>70</v>
      </c>
      <c r="X466" s="286">
        <f>31+39</f>
        <v>70</v>
      </c>
      <c r="Z466" s="286">
        <f>31+39</f>
        <v>70</v>
      </c>
      <c r="AA466" s="259"/>
      <c r="AB466" s="286">
        <f>31+39</f>
        <v>70</v>
      </c>
      <c r="AC466" s="259"/>
      <c r="AD466" s="286">
        <f>31+39</f>
        <v>70</v>
      </c>
      <c r="AE466" s="259"/>
      <c r="AF466" s="264"/>
      <c r="AG466" s="288"/>
    </row>
    <row r="467" spans="1:33" x14ac:dyDescent="0.15">
      <c r="A467" s="413">
        <v>7</v>
      </c>
      <c r="B467" s="534"/>
      <c r="C467" s="535"/>
      <c r="D467" s="535"/>
      <c r="E467" s="536"/>
      <c r="F467" s="47" t="str">
        <f>VLOOKUP($H:$H,型材表!$B$5:$I$448,2,0)</f>
        <v>拼管</v>
      </c>
      <c r="G467" s="45"/>
      <c r="H467" s="116" t="str">
        <f>IF(G446=55,"SN55P001",IF(G446=551,"SN55BP001",IF(G446=60,"SN60P001",IF(G446=601,"SN60AP001",IF(G446=65,"SN65AP001")))))</f>
        <v>SN55P001</v>
      </c>
      <c r="I467" s="207" t="s">
        <v>1428</v>
      </c>
      <c r="J467" s="46">
        <f>M450+M451</f>
        <v>1700</v>
      </c>
      <c r="K467" s="45">
        <v>1</v>
      </c>
      <c r="L467" s="47">
        <f>VLOOKUP($H:$H,型材表!$B$5:$I$448,4,0)</f>
        <v>0.877</v>
      </c>
      <c r="M467" s="46">
        <f t="shared" si="82"/>
        <v>1.4909000000000001</v>
      </c>
      <c r="N467" s="72">
        <f>VLOOKUP($H:$H,型材表!$B$5:$I$448,7,0)</f>
        <v>0</v>
      </c>
      <c r="O467" s="46">
        <f t="shared" si="83"/>
        <v>0</v>
      </c>
      <c r="P467" s="100">
        <f>VLOOKUP($H:$H,型材表!$B$5:$I$448,5,0)</f>
        <v>0.125</v>
      </c>
      <c r="Q467" s="100" t="str">
        <f>VLOOKUP($H:$H,型材表!$B$5:$I$448,6,0)</f>
        <v>断桥隔热铝型材</v>
      </c>
      <c r="R467" s="49"/>
      <c r="S467" s="50"/>
      <c r="T467" s="478"/>
      <c r="X467" s="286"/>
      <c r="Z467" s="286"/>
      <c r="AA467" s="259"/>
      <c r="AB467" s="286"/>
      <c r="AC467" s="259"/>
      <c r="AD467" s="286"/>
      <c r="AE467" s="259"/>
      <c r="AF467" s="264"/>
      <c r="AG467" s="288"/>
    </row>
    <row r="468" spans="1:33" x14ac:dyDescent="0.15">
      <c r="A468" s="413">
        <v>8</v>
      </c>
      <c r="B468" s="534"/>
      <c r="C468" s="535"/>
      <c r="D468" s="535"/>
      <c r="E468" s="536"/>
      <c r="F468" s="47" t="str">
        <f>VLOOKUP($H:$H,型材表!$B$5:$I$448,2,0)</f>
        <v>中梃</v>
      </c>
      <c r="G468" s="45" t="s">
        <v>40</v>
      </c>
      <c r="H468" s="207" t="str">
        <f>IF(G446=55,"SW55T001",IF(G446=551,"SW55BT001",IF(G446=60,"SW60T001",IF(G446=601,"SW60AT001",IF(G446=65,"SW65AT001",IF(G446=50,"SW50T001"))))))</f>
        <v>SW55T001</v>
      </c>
      <c r="I468" s="207" t="s">
        <v>1429</v>
      </c>
      <c r="J468" s="208">
        <f>IF(G446=55,M453-V468,IF(G446=551,M453-X468,IF(G446=60,M453-Z468,IF(G446=601,M453-AB468,IF(G446=65,M453-AD468,IF(G446=50,M453-AF468))))))</f>
        <v>546</v>
      </c>
      <c r="K468" s="207">
        <v>1</v>
      </c>
      <c r="L468" s="47">
        <f>VLOOKUP($H:$H,型材表!$B$5:$I$448,4,0)</f>
        <v>1.113</v>
      </c>
      <c r="M468" s="46">
        <f t="shared" si="82"/>
        <v>0.60769799999999996</v>
      </c>
      <c r="N468" s="72">
        <f>VLOOKUP($H:$H,型材表!$B$5:$I$448,7,0)</f>
        <v>0</v>
      </c>
      <c r="O468" s="46">
        <f t="shared" si="83"/>
        <v>0</v>
      </c>
      <c r="P468" s="100">
        <f>VLOOKUP($H:$H,型材表!$B$5:$I$448,5,0)</f>
        <v>0.125</v>
      </c>
      <c r="Q468" s="100" t="str">
        <f>VLOOKUP($H:$H,型材表!$B$5:$I$448,6,0)</f>
        <v>断桥隔热铝型材</v>
      </c>
      <c r="R468" s="49"/>
      <c r="S468" s="50"/>
      <c r="T468" s="478"/>
      <c r="U468" s="470" t="s">
        <v>1430</v>
      </c>
      <c r="V468" s="259">
        <f>23*2+8</f>
        <v>54</v>
      </c>
      <c r="X468" s="286">
        <f>23*2+8</f>
        <v>54</v>
      </c>
      <c r="Z468" s="286">
        <f>23*2+8</f>
        <v>54</v>
      </c>
      <c r="AA468" s="259"/>
      <c r="AB468" s="286">
        <f>23*2+8</f>
        <v>54</v>
      </c>
      <c r="AC468" s="259"/>
      <c r="AD468" s="286">
        <f>23*2+8</f>
        <v>54</v>
      </c>
      <c r="AE468" s="259"/>
      <c r="AF468" s="264"/>
      <c r="AG468" s="288"/>
    </row>
    <row r="469" spans="1:33" x14ac:dyDescent="0.15">
      <c r="A469" s="413">
        <v>9</v>
      </c>
      <c r="B469" s="534"/>
      <c r="C469" s="535"/>
      <c r="D469" s="535"/>
      <c r="E469" s="536"/>
      <c r="F469" s="47" t="str">
        <f>VLOOKUP($H:$H,型材表!$B$5:$I$448,2,0)</f>
        <v>外开扇</v>
      </c>
      <c r="G469" s="45" t="s">
        <v>39</v>
      </c>
      <c r="H469" s="207" t="str">
        <f>IF(G446=55,"SW55S001",IF(G446=551,"SW55BS001",IF(G446=60,"SW60S001",IF(G446=601,"SW60AS001",IF(G446=65,"SW65AS001")))))</f>
        <v>SW55S001</v>
      </c>
      <c r="I469" s="207" t="s">
        <v>1435</v>
      </c>
      <c r="J469" s="208">
        <f>IF(G446=55,M450-V469,IF(G446=551,M450-X469,IF(G446=60,M450-Z469,IF(G446=601,M450-AB469,IF(G446=65,M450-AD469)))))</f>
        <v>1274</v>
      </c>
      <c r="K469" s="207">
        <v>2</v>
      </c>
      <c r="L469" s="47">
        <f>VLOOKUP($H:$H,型材表!$B$5:$I$448,4,0)</f>
        <v>1.4450000000000001</v>
      </c>
      <c r="M469" s="46">
        <f t="shared" si="82"/>
        <v>3.6818599999999999</v>
      </c>
      <c r="N469" s="72">
        <f>VLOOKUP($H:$H,型材表!$B$5:$I$448,7,0)</f>
        <v>0</v>
      </c>
      <c r="O469" s="46">
        <f t="shared" si="83"/>
        <v>0</v>
      </c>
      <c r="P469" s="100">
        <f>VLOOKUP($H:$H,型材表!$B$5:$I$448,5,0)</f>
        <v>0.125</v>
      </c>
      <c r="Q469" s="100" t="str">
        <f>VLOOKUP($H:$H,型材表!$B$5:$I$448,6,0)</f>
        <v>断桥隔热铝型材</v>
      </c>
      <c r="R469" s="210"/>
      <c r="S469" s="50"/>
      <c r="T469" s="478"/>
      <c r="U469" s="470" t="s">
        <v>1436</v>
      </c>
      <c r="V469" s="259">
        <f>20.5+5.5</f>
        <v>26</v>
      </c>
      <c r="X469" s="286">
        <f>20.5+5.5</f>
        <v>26</v>
      </c>
      <c r="Z469" s="286">
        <f>20.5+5.5</f>
        <v>26</v>
      </c>
      <c r="AA469" s="259"/>
      <c r="AB469" s="286">
        <f>20.5+5.5</f>
        <v>26</v>
      </c>
      <c r="AC469" s="259"/>
      <c r="AD469" s="286">
        <f>20.5+5.5</f>
        <v>26</v>
      </c>
      <c r="AE469" s="259"/>
      <c r="AF469" s="264"/>
      <c r="AG469" s="288"/>
    </row>
    <row r="470" spans="1:33" x14ac:dyDescent="0.15">
      <c r="A470" s="413">
        <v>10</v>
      </c>
      <c r="B470" s="534"/>
      <c r="C470" s="535"/>
      <c r="D470" s="535"/>
      <c r="E470" s="536"/>
      <c r="F470" s="47" t="str">
        <f>VLOOKUP($H:$H,型材表!$B$5:$I$448,2,0)</f>
        <v>外开扇</v>
      </c>
      <c r="G470" s="45" t="s">
        <v>40</v>
      </c>
      <c r="H470" s="207" t="str">
        <f>H469</f>
        <v>SW55S001</v>
      </c>
      <c r="I470" s="207" t="s">
        <v>1420</v>
      </c>
      <c r="J470" s="208">
        <f>IF(G446=55,M453-V470,IF(G446=551,M453-X470,IF(G446=60,M453-Z470,IF(G446=601,M453-AB470,IF(G446=65,M453-AD470)))))</f>
        <v>551</v>
      </c>
      <c r="K470" s="207">
        <v>2</v>
      </c>
      <c r="L470" s="47">
        <f>VLOOKUP($H:$H,型材表!$B$5:$I$448,4,0)</f>
        <v>1.4450000000000001</v>
      </c>
      <c r="M470" s="46">
        <f t="shared" si="82"/>
        <v>1.5923900000000002</v>
      </c>
      <c r="N470" s="72">
        <f>VLOOKUP($H:$H,型材表!$B$5:$I$448,7,0)</f>
        <v>0</v>
      </c>
      <c r="O470" s="46">
        <f t="shared" si="83"/>
        <v>0</v>
      </c>
      <c r="P470" s="100">
        <f>VLOOKUP($H:$H,型材表!$B$5:$I$448,5,0)</f>
        <v>0.125</v>
      </c>
      <c r="Q470" s="100" t="str">
        <f>VLOOKUP($H:$H,型材表!$B$5:$I$448,6,0)</f>
        <v>断桥隔热铝型材</v>
      </c>
      <c r="R470" s="210"/>
      <c r="S470" s="50"/>
      <c r="T470" s="478"/>
      <c r="U470" s="470" t="s">
        <v>1421</v>
      </c>
      <c r="V470" s="259">
        <f>20.5*2+8</f>
        <v>49</v>
      </c>
      <c r="X470" s="286">
        <f>20.5*2+8</f>
        <v>49</v>
      </c>
      <c r="Z470" s="286">
        <f>20.5*2+8</f>
        <v>49</v>
      </c>
      <c r="AA470" s="259"/>
      <c r="AB470" s="286">
        <f>20.5*2+8</f>
        <v>49</v>
      </c>
      <c r="AC470" s="259"/>
      <c r="AD470" s="286">
        <f>20.5*2+8</f>
        <v>49</v>
      </c>
      <c r="AE470" s="259"/>
      <c r="AF470" s="264"/>
      <c r="AG470" s="288"/>
    </row>
    <row r="471" spans="1:33" s="315" customFormat="1" x14ac:dyDescent="0.15">
      <c r="A471" s="413">
        <v>11</v>
      </c>
      <c r="B471" s="534"/>
      <c r="C471" s="535"/>
      <c r="D471" s="535"/>
      <c r="E471" s="536"/>
      <c r="F471" s="310" t="str">
        <f>VLOOKUP($H:$H,型材表!$B$5:$I$448,2,0)</f>
        <v>转向框</v>
      </c>
      <c r="G471" s="116" t="s">
        <v>39</v>
      </c>
      <c r="H471" s="116" t="str">
        <f>IF(G446=55,"SW55K102",IF(G446=551,"SW55BK102",IF(G446=60,"SW60K102",IF(G446=601,"SW60AK102",IF(G446=65,"SW65AK102",IF(G446=50,"SW50K102"))))))</f>
        <v>SW55K102</v>
      </c>
      <c r="I471" s="328" t="s">
        <v>1437</v>
      </c>
      <c r="J471" s="147">
        <f>IF(G446=55,M451-V471,IF(G446=551,M451-X471,IF(G446=60,M451-Z471,IF(G446=601,M451-AB471,IF(G446=65,M451-AD471,IF(G446=50,M451-AF471))))))</f>
        <v>361.7</v>
      </c>
      <c r="K471" s="116">
        <v>2</v>
      </c>
      <c r="L471" s="310">
        <f>VLOOKUP($H:$H,型材表!$B$5:$I$448,4,0)</f>
        <v>0.92300000000000004</v>
      </c>
      <c r="M471" s="147">
        <f t="shared" si="82"/>
        <v>0.66769820000000002</v>
      </c>
      <c r="N471" s="311">
        <f>VLOOKUP($H:$H,型材表!$B$5:$I$448,7,0)</f>
        <v>0</v>
      </c>
      <c r="O471" s="147">
        <f t="shared" si="83"/>
        <v>0</v>
      </c>
      <c r="P471" s="312">
        <f>VLOOKUP($H:$H,型材表!$B$5:$I$448,5,0)</f>
        <v>0.125</v>
      </c>
      <c r="Q471" s="100" t="str">
        <f>VLOOKUP($H:$H,型材表!$B$5:$I$448,6,0)</f>
        <v>断桥隔热铝型材</v>
      </c>
      <c r="R471" s="313"/>
      <c r="S471" s="314"/>
      <c r="T471" s="487"/>
      <c r="U471" s="472" t="s">
        <v>1439</v>
      </c>
      <c r="V471" s="316">
        <f>10.3+28</f>
        <v>38.299999999999997</v>
      </c>
      <c r="W471" s="316"/>
      <c r="X471" s="317">
        <f>10.3+28</f>
        <v>38.299999999999997</v>
      </c>
      <c r="Y471" s="316"/>
      <c r="Z471" s="317">
        <f>10.3+28</f>
        <v>38.299999999999997</v>
      </c>
      <c r="AA471" s="316"/>
      <c r="AB471" s="317">
        <f>10.3+28</f>
        <v>38.299999999999997</v>
      </c>
      <c r="AC471" s="316"/>
      <c r="AD471" s="317">
        <f>10.3+28</f>
        <v>38.299999999999997</v>
      </c>
      <c r="AE471" s="316"/>
      <c r="AF471" s="317"/>
      <c r="AG471" s="318"/>
    </row>
    <row r="472" spans="1:33" s="315" customFormat="1" x14ac:dyDescent="0.15">
      <c r="A472" s="413">
        <v>12</v>
      </c>
      <c r="B472" s="537"/>
      <c r="C472" s="538"/>
      <c r="D472" s="538"/>
      <c r="E472" s="539"/>
      <c r="F472" s="310" t="str">
        <f>VLOOKUP($H:$H,型材表!$B$5:$I$448,2,0)</f>
        <v>转向框</v>
      </c>
      <c r="G472" s="116" t="s">
        <v>40</v>
      </c>
      <c r="H472" s="328" t="str">
        <f>H471</f>
        <v>SW55K102</v>
      </c>
      <c r="I472" s="328" t="s">
        <v>1438</v>
      </c>
      <c r="J472" s="329">
        <f>IF(G446=55,M453-V472,IF(G446=551,M453-X472,IF(G446=60,M453-Z472,IF(G446=601,M453-AB472,IF(G446=65,M453-AD472,IF(G446=50,M453-AF472))))))</f>
        <v>549.4</v>
      </c>
      <c r="K472" s="328">
        <v>2</v>
      </c>
      <c r="L472" s="310">
        <f>VLOOKUP($H:$H,型材表!$B$5:$I$448,4,0)</f>
        <v>0.92300000000000004</v>
      </c>
      <c r="M472" s="147">
        <f t="shared" si="82"/>
        <v>1.0141924</v>
      </c>
      <c r="N472" s="311">
        <f>VLOOKUP($H:$H,型材表!$B$5:$I$448,7,0)</f>
        <v>0</v>
      </c>
      <c r="O472" s="147">
        <f t="shared" si="83"/>
        <v>0</v>
      </c>
      <c r="P472" s="312">
        <f>VLOOKUP($H:$H,型材表!$B$5:$I$448,5,0)</f>
        <v>0.125</v>
      </c>
      <c r="Q472" s="100" t="str">
        <f>VLOOKUP($H:$H,型材表!$B$5:$I$448,6,0)</f>
        <v>断桥隔热铝型材</v>
      </c>
      <c r="R472" s="330"/>
      <c r="S472" s="314"/>
      <c r="T472" s="487"/>
      <c r="U472" s="472" t="s">
        <v>1440</v>
      </c>
      <c r="V472" s="316">
        <f>25.3*2</f>
        <v>50.6</v>
      </c>
      <c r="W472" s="316"/>
      <c r="X472" s="317">
        <f>25.3*2</f>
        <v>50.6</v>
      </c>
      <c r="Y472" s="316"/>
      <c r="Z472" s="317">
        <f>25.3*2</f>
        <v>50.6</v>
      </c>
      <c r="AA472" s="316"/>
      <c r="AB472" s="317">
        <f>25.3*2</f>
        <v>50.6</v>
      </c>
      <c r="AC472" s="316"/>
      <c r="AD472" s="317">
        <f>25.3*2</f>
        <v>50.6</v>
      </c>
      <c r="AE472" s="316"/>
      <c r="AF472" s="317"/>
      <c r="AG472" s="318"/>
    </row>
    <row r="473" spans="1:33" x14ac:dyDescent="0.15">
      <c r="A473" s="413">
        <v>13</v>
      </c>
      <c r="B473" s="531" t="s">
        <v>44</v>
      </c>
      <c r="C473" s="532"/>
      <c r="D473" s="532"/>
      <c r="E473" s="533"/>
      <c r="F473" s="47" t="str">
        <f>VLOOKUP($H:$H,型材表!$B$5:$I$448,2,0)</f>
        <v>压线</v>
      </c>
      <c r="G473" s="45" t="s">
        <v>39</v>
      </c>
      <c r="H473" s="45" t="str">
        <f>IF(G446=55,"SN55Y001",IF(G446=551,"SW55BY001",IF(G446=60,"SN60Y001",IF(G446=601,"SW60AY001",IF(G446=65,"SN65AY001",IF(G446=50,"SW50Y001"))))))</f>
        <v>SN55Y001</v>
      </c>
      <c r="I473" s="207" t="s">
        <v>1390</v>
      </c>
      <c r="J473" s="52">
        <f>IF(G446=55,M448-V473,IF(G446=551,M448-X473,IF(G446=60,M448-Z473,IF(G446=601,M448-AB473,IF(G446=65,M448-AD473,IF(G446=50,M448-AF473))))))</f>
        <v>2103</v>
      </c>
      <c r="K473" s="45">
        <v>2</v>
      </c>
      <c r="L473" s="47">
        <f>VLOOKUP($H:$H,型材表!$B$5:$I$448,4,0)</f>
        <v>0.214</v>
      </c>
      <c r="M473" s="46">
        <f t="shared" si="82"/>
        <v>0.900084</v>
      </c>
      <c r="N473" s="72">
        <f>VLOOKUP($H:$H,型材表!$B$5:$I$448,7,0)</f>
        <v>0</v>
      </c>
      <c r="O473" s="46">
        <f t="shared" si="83"/>
        <v>0</v>
      </c>
      <c r="P473" s="100">
        <f>VLOOKUP($H:$H,型材表!$B$5:$I$448,5,0)</f>
        <v>0.125</v>
      </c>
      <c r="Q473" s="100" t="str">
        <f>VLOOKUP($H:$H,型材表!$B$5:$I$448,6,0)</f>
        <v>非断桥隔热铝型材</v>
      </c>
      <c r="R473" s="49"/>
      <c r="S473" s="50"/>
      <c r="T473" s="478"/>
      <c r="U473" s="470" t="s">
        <v>1348</v>
      </c>
      <c r="V473" s="269">
        <f>98.5*2</f>
        <v>197</v>
      </c>
      <c r="X473" s="279">
        <f>98.5*2</f>
        <v>197</v>
      </c>
      <c r="Z473" s="279">
        <f>98.5*2</f>
        <v>197</v>
      </c>
      <c r="AA473" s="259"/>
      <c r="AB473" s="279">
        <f>98.5*2</f>
        <v>197</v>
      </c>
      <c r="AC473" s="259"/>
      <c r="AD473" s="279">
        <f>98.5*2</f>
        <v>197</v>
      </c>
      <c r="AE473" s="259"/>
      <c r="AF473" s="264"/>
      <c r="AG473" s="288"/>
    </row>
    <row r="474" spans="1:33" x14ac:dyDescent="0.15">
      <c r="A474" s="413">
        <v>14</v>
      </c>
      <c r="B474" s="534"/>
      <c r="C474" s="535"/>
      <c r="D474" s="535"/>
      <c r="E474" s="536"/>
      <c r="F474" s="47" t="str">
        <f>VLOOKUP($H:$H,型材表!$B$5:$I$448,2,0)</f>
        <v>压线</v>
      </c>
      <c r="G474" s="45" t="s">
        <v>39</v>
      </c>
      <c r="H474" s="207" t="str">
        <f>H473</f>
        <v>SN55Y001</v>
      </c>
      <c r="I474" s="207" t="s">
        <v>1441</v>
      </c>
      <c r="J474" s="214">
        <f>IF(G446=55,M450-V474,IF(G446=551,M450-X474,IF(G446=60,M450-Z474,IF(G446=601,M450-AB474,IF(G446=65,M450-AD474,IF(G446=50,M450-AF474))))))</f>
        <v>1172</v>
      </c>
      <c r="K474" s="45">
        <v>2</v>
      </c>
      <c r="L474" s="47">
        <f>VLOOKUP($H:$H,型材表!$B$5:$I$448,4,0)</f>
        <v>0.214</v>
      </c>
      <c r="M474" s="46">
        <f t="shared" ref="M474:M477" si="84">J474*K474*L474/1000</f>
        <v>0.50161599999999995</v>
      </c>
      <c r="N474" s="72">
        <f>VLOOKUP($H:$H,型材表!$B$5:$I$448,7,0)</f>
        <v>0</v>
      </c>
      <c r="O474" s="46">
        <f t="shared" ref="O474:O477" si="85">N474*M474</f>
        <v>0</v>
      </c>
      <c r="P474" s="100">
        <f>VLOOKUP($H:$H,型材表!$B$5:$I$448,5,0)</f>
        <v>0.125</v>
      </c>
      <c r="Q474" s="100" t="str">
        <f>VLOOKUP($H:$H,型材表!$B$5:$I$448,6,0)</f>
        <v>非断桥隔热铝型材</v>
      </c>
      <c r="R474" s="210"/>
      <c r="S474" s="50"/>
      <c r="T474" s="478"/>
      <c r="U474" s="470" t="s">
        <v>1442</v>
      </c>
      <c r="V474" s="269">
        <f>71.5+56.5</f>
        <v>128</v>
      </c>
      <c r="X474" s="279">
        <f>71.5+56.5</f>
        <v>128</v>
      </c>
      <c r="Z474" s="279">
        <f>71.5+56.5</f>
        <v>128</v>
      </c>
      <c r="AA474" s="259"/>
      <c r="AB474" s="279">
        <f>71.5+56.5</f>
        <v>128</v>
      </c>
      <c r="AC474" s="259"/>
      <c r="AD474" s="279">
        <f>71.5+56.5</f>
        <v>128</v>
      </c>
      <c r="AE474" s="259"/>
      <c r="AF474" s="264"/>
      <c r="AG474" s="288"/>
    </row>
    <row r="475" spans="1:33" x14ac:dyDescent="0.15">
      <c r="A475" s="413">
        <v>15</v>
      </c>
      <c r="B475" s="534"/>
      <c r="C475" s="535"/>
      <c r="D475" s="535"/>
      <c r="E475" s="536"/>
      <c r="F475" s="47" t="str">
        <f>VLOOKUP($H:$H,型材表!$B$5:$I$448,2,0)</f>
        <v>压线</v>
      </c>
      <c r="G475" s="45" t="s">
        <v>39</v>
      </c>
      <c r="H475" s="207" t="str">
        <f t="shared" ref="H475:H477" si="86">H474</f>
        <v>SN55Y001</v>
      </c>
      <c r="I475" s="207" t="s">
        <v>1444</v>
      </c>
      <c r="J475" s="214">
        <f>IF(G446=55,M451-V475,IF(G446=551,M451-X475,IF(G446=60,M451-Z475,IF(G446=601,M451-AB475,IF(G446=65,M451-AD475,IF(G446=50,M451-AF475))))))</f>
        <v>312.2</v>
      </c>
      <c r="K475" s="45">
        <v>2</v>
      </c>
      <c r="L475" s="47">
        <f>VLOOKUP($H:$H,型材表!$B$5:$I$448,4,0)</f>
        <v>0.214</v>
      </c>
      <c r="M475" s="46">
        <f t="shared" si="84"/>
        <v>0.13362160000000001</v>
      </c>
      <c r="N475" s="72">
        <f>VLOOKUP($H:$H,型材表!$B$5:$I$448,7,0)</f>
        <v>0</v>
      </c>
      <c r="O475" s="46">
        <f t="shared" si="85"/>
        <v>0</v>
      </c>
      <c r="P475" s="100">
        <f>VLOOKUP($H:$H,型材表!$B$5:$I$448,5,0)</f>
        <v>0.125</v>
      </c>
      <c r="Q475" s="100" t="str">
        <f>VLOOKUP($H:$H,型材表!$B$5:$I$448,6,0)</f>
        <v>非断桥隔热铝型材</v>
      </c>
      <c r="R475" s="210"/>
      <c r="S475" s="50"/>
      <c r="T475" s="478"/>
      <c r="U475" s="470" t="s">
        <v>1443</v>
      </c>
      <c r="V475" s="269">
        <f>36.4+51.4</f>
        <v>87.8</v>
      </c>
      <c r="X475" s="279">
        <f>36.4+51.4</f>
        <v>87.8</v>
      </c>
      <c r="Z475" s="279">
        <f>36.4+51.4</f>
        <v>87.8</v>
      </c>
      <c r="AA475" s="259"/>
      <c r="AB475" s="279">
        <f>36.4+51.4</f>
        <v>87.8</v>
      </c>
      <c r="AC475" s="259"/>
      <c r="AD475" s="279">
        <f>36.4+51.4</f>
        <v>87.8</v>
      </c>
      <c r="AE475" s="259"/>
      <c r="AF475" s="264"/>
      <c r="AG475" s="288"/>
    </row>
    <row r="476" spans="1:33" x14ac:dyDescent="0.15">
      <c r="A476" s="413">
        <v>16</v>
      </c>
      <c r="B476" s="534"/>
      <c r="C476" s="535"/>
      <c r="D476" s="535"/>
      <c r="E476" s="536"/>
      <c r="F476" s="47" t="str">
        <f>VLOOKUP($H:$H,型材表!$B$5:$I$448,2,0)</f>
        <v>压线</v>
      </c>
      <c r="G476" s="45" t="s">
        <v>40</v>
      </c>
      <c r="H476" s="207" t="str">
        <f t="shared" si="86"/>
        <v>SN55Y001</v>
      </c>
      <c r="I476" s="207" t="s">
        <v>1423</v>
      </c>
      <c r="J476" s="214">
        <f>IF(G446=55,M454-V476,IF(G446=551,M454-X476,IF(G446=60,M454-Z476,IF(G446=601,M454-AB476,IF(G446=65,M454-AD476,IF(G446=50,M454-AF476))))))-8</f>
        <v>695</v>
      </c>
      <c r="K476" s="45">
        <v>2</v>
      </c>
      <c r="L476" s="47">
        <f>VLOOKUP($H:$H,型材表!$B$5:$I$448,4,0)</f>
        <v>0.214</v>
      </c>
      <c r="M476" s="46">
        <f t="shared" si="84"/>
        <v>0.29746</v>
      </c>
      <c r="N476" s="72">
        <f>VLOOKUP($H:$H,型材表!$B$5:$I$448,7,0)</f>
        <v>0</v>
      </c>
      <c r="O476" s="46">
        <f t="shared" si="85"/>
        <v>0</v>
      </c>
      <c r="P476" s="100">
        <f>VLOOKUP($H:$H,型材表!$B$5:$I$448,5,0)</f>
        <v>0.125</v>
      </c>
      <c r="Q476" s="100" t="str">
        <f>VLOOKUP($H:$H,型材表!$B$5:$I$448,6,0)</f>
        <v>非断桥隔热铝型材</v>
      </c>
      <c r="R476" s="210"/>
      <c r="S476" s="50"/>
      <c r="T476" s="478"/>
      <c r="U476" s="470" t="s">
        <v>1349</v>
      </c>
      <c r="V476" s="303">
        <f>98.5*2</f>
        <v>197</v>
      </c>
      <c r="X476" s="305">
        <f>98.5*2</f>
        <v>197</v>
      </c>
      <c r="Z476" s="305">
        <f>98.5*2</f>
        <v>197</v>
      </c>
      <c r="AA476" s="259"/>
      <c r="AB476" s="305">
        <f>98.5*2</f>
        <v>197</v>
      </c>
      <c r="AC476" s="259"/>
      <c r="AD476" s="305">
        <f>98.5*2</f>
        <v>197</v>
      </c>
      <c r="AE476" s="259"/>
      <c r="AF476" s="264"/>
      <c r="AG476" s="288"/>
    </row>
    <row r="477" spans="1:33" x14ac:dyDescent="0.15">
      <c r="A477" s="413">
        <v>17</v>
      </c>
      <c r="B477" s="534"/>
      <c r="C477" s="535"/>
      <c r="D477" s="535"/>
      <c r="E477" s="536"/>
      <c r="F477" s="47" t="str">
        <f>VLOOKUP($H:$H,型材表!$B$5:$I$448,2,0)</f>
        <v>压线</v>
      </c>
      <c r="G477" s="45" t="s">
        <v>40</v>
      </c>
      <c r="H477" s="207" t="str">
        <f t="shared" si="86"/>
        <v>SN55Y001</v>
      </c>
      <c r="I477" s="207" t="s">
        <v>1424</v>
      </c>
      <c r="J477" s="214">
        <f>IF(G446=55,M453-V477,IF(G446=551,M453-X477,IF(G446=60,M453-Z477,IF(G446=601,M453-AB477,IF(G446=65,M453-AD477,IF(G446=50,M453-AF477))))))-8</f>
        <v>449</v>
      </c>
      <c r="K477" s="45">
        <v>2</v>
      </c>
      <c r="L477" s="47">
        <f>VLOOKUP($H:$H,型材表!$B$5:$I$448,4,0)</f>
        <v>0.214</v>
      </c>
      <c r="M477" s="46">
        <f t="shared" si="84"/>
        <v>0.19217200000000001</v>
      </c>
      <c r="N477" s="72">
        <f>VLOOKUP($H:$H,型材表!$B$5:$I$448,7,0)</f>
        <v>0</v>
      </c>
      <c r="O477" s="46">
        <f t="shared" si="85"/>
        <v>0</v>
      </c>
      <c r="P477" s="100">
        <f>VLOOKUP($H:$H,型材表!$B$5:$I$448,5,0)</f>
        <v>0.125</v>
      </c>
      <c r="Q477" s="100" t="str">
        <f>VLOOKUP($H:$H,型材表!$B$5:$I$448,6,0)</f>
        <v>非断桥隔热铝型材</v>
      </c>
      <c r="R477" s="210"/>
      <c r="S477" s="50"/>
      <c r="T477" s="478"/>
      <c r="U477" s="470" t="s">
        <v>1432</v>
      </c>
      <c r="V477" s="303">
        <f>71.5*2</f>
        <v>143</v>
      </c>
      <c r="X477" s="305">
        <f>71.5*2</f>
        <v>143</v>
      </c>
      <c r="Z477" s="305">
        <f>71.5*2</f>
        <v>143</v>
      </c>
      <c r="AA477" s="259"/>
      <c r="AB477" s="305">
        <f>71.5*2</f>
        <v>143</v>
      </c>
      <c r="AC477" s="259"/>
      <c r="AD477" s="305">
        <f>71.5*2</f>
        <v>143</v>
      </c>
      <c r="AE477" s="259"/>
      <c r="AF477" s="264"/>
      <c r="AG477" s="288"/>
    </row>
    <row r="478" spans="1:33" x14ac:dyDescent="0.15">
      <c r="A478" s="413">
        <v>18</v>
      </c>
      <c r="B478" s="534"/>
      <c r="C478" s="535"/>
      <c r="D478" s="535"/>
      <c r="E478" s="536"/>
      <c r="F478" s="47" t="str">
        <f>VLOOKUP($H:$H,型材表!$B$5:$I$448,2,0)</f>
        <v>压线</v>
      </c>
      <c r="G478" s="45" t="s">
        <v>40</v>
      </c>
      <c r="H478" s="207" t="str">
        <f>H473</f>
        <v>SN55Y001</v>
      </c>
      <c r="I478" s="207" t="s">
        <v>1445</v>
      </c>
      <c r="J478" s="214">
        <f>IF(G446=55,M453-V478,IF(G446=551,M453-X478,IF(G446=60,M453-Z478,IF(G446=601,M453-AB478,IF(G446=65,M453-AD478,IF(G446=50,M453-AF478))))))-8</f>
        <v>489.2</v>
      </c>
      <c r="K478" s="207">
        <v>2</v>
      </c>
      <c r="L478" s="47">
        <f>VLOOKUP($H:$H,型材表!$B$5:$I$448,4,0)</f>
        <v>0.214</v>
      </c>
      <c r="M478" s="46">
        <f t="shared" si="82"/>
        <v>0.2093776</v>
      </c>
      <c r="N478" s="72">
        <f>VLOOKUP($H:$H,型材表!$B$5:$I$448,7,0)</f>
        <v>0</v>
      </c>
      <c r="O478" s="46">
        <f t="shared" si="83"/>
        <v>0</v>
      </c>
      <c r="P478" s="100">
        <f>VLOOKUP($H:$H,型材表!$B$5:$I$448,5,0)</f>
        <v>0.125</v>
      </c>
      <c r="Q478" s="100" t="str">
        <f>VLOOKUP($H:$H,型材表!$B$5:$I$448,6,0)</f>
        <v>非断桥隔热铝型材</v>
      </c>
      <c r="R478" s="210"/>
      <c r="S478" s="50"/>
      <c r="T478" s="478"/>
      <c r="U478" s="470" t="s">
        <v>1366</v>
      </c>
      <c r="V478" s="303">
        <f>51.4*2</f>
        <v>102.8</v>
      </c>
      <c r="X478" s="305">
        <f>51.4*2</f>
        <v>102.8</v>
      </c>
      <c r="Z478" s="305">
        <f>51.4*2</f>
        <v>102.8</v>
      </c>
      <c r="AA478" s="259"/>
      <c r="AB478" s="305">
        <f>51.4*2</f>
        <v>102.8</v>
      </c>
      <c r="AC478" s="259"/>
      <c r="AD478" s="305">
        <f>51.4*2</f>
        <v>102.8</v>
      </c>
      <c r="AE478" s="259"/>
      <c r="AF478" s="264"/>
      <c r="AG478" s="288"/>
    </row>
    <row r="479" spans="1:33" x14ac:dyDescent="0.15">
      <c r="A479" s="413">
        <v>19</v>
      </c>
      <c r="B479" s="534"/>
      <c r="C479" s="535"/>
      <c r="D479" s="535"/>
      <c r="E479" s="536"/>
      <c r="F479" s="47" t="str">
        <f>VLOOKUP($H:$H,型材表!$B$5:$I$448,2,0)</f>
        <v>角码</v>
      </c>
      <c r="G479" s="213" t="s">
        <v>446</v>
      </c>
      <c r="H479" s="207" t="str">
        <f>IF(G446=50,"SW50F002","SN55MF004")</f>
        <v>SN55MF004</v>
      </c>
      <c r="I479" s="207" t="s">
        <v>1343</v>
      </c>
      <c r="J479" s="214">
        <f>IF(G446=55,V479,IF(G446=551,X479,IF(G446=60,Z479,IF(G446=601,AB479,IF(G446=65,AD479,IF(G446=50,AF479))))))</f>
        <v>26.4</v>
      </c>
      <c r="K479" s="207">
        <v>4</v>
      </c>
      <c r="L479" s="47">
        <f>VLOOKUP($H:$H,型材表!$B$5:$I$448,4,0)</f>
        <v>2.996</v>
      </c>
      <c r="M479" s="46">
        <f t="shared" si="82"/>
        <v>0.31637759999999998</v>
      </c>
      <c r="N479" s="72">
        <f>VLOOKUP($H:$H,型材表!$B$5:$I$448,7,0)</f>
        <v>0</v>
      </c>
      <c r="O479" s="46">
        <f t="shared" si="83"/>
        <v>0</v>
      </c>
      <c r="P479" s="100">
        <f>VLOOKUP($H:$H,型材表!$B$5:$I$448,5,0)</f>
        <v>0.125</v>
      </c>
      <c r="Q479" s="100" t="str">
        <f>VLOOKUP($H:$H,型材表!$B$5:$I$448,6,0)</f>
        <v>阳极氧化铝型材</v>
      </c>
      <c r="R479" s="210"/>
      <c r="S479" s="50"/>
      <c r="T479" s="478"/>
      <c r="U479" s="470" t="s">
        <v>1343</v>
      </c>
      <c r="V479" s="259">
        <f>9.9-1+18.5-1</f>
        <v>26.4</v>
      </c>
      <c r="X479" s="286">
        <f>9.9-1+18.5-1</f>
        <v>26.4</v>
      </c>
      <c r="Z479" s="317">
        <f>18.5-1+13.7-1</f>
        <v>30.2</v>
      </c>
      <c r="AA479" s="259"/>
      <c r="AB479" s="286">
        <f>9.9-1+18.5-1</f>
        <v>26.4</v>
      </c>
      <c r="AC479" s="259"/>
      <c r="AD479" s="317">
        <f>18.5-1+13.7-1</f>
        <v>30.2</v>
      </c>
      <c r="AE479" s="259"/>
      <c r="AF479" s="264"/>
      <c r="AG479" s="288"/>
    </row>
    <row r="480" spans="1:33" s="229" customFormat="1" x14ac:dyDescent="0.15">
      <c r="A480" s="413">
        <v>20</v>
      </c>
      <c r="B480" s="534"/>
      <c r="C480" s="535"/>
      <c r="D480" s="535"/>
      <c r="E480" s="536"/>
      <c r="F480" s="47" t="str">
        <f>VLOOKUP($H:$H,型材表!$B$5:$I$448,2,0)</f>
        <v>角码</v>
      </c>
      <c r="G480" s="230" t="s">
        <v>447</v>
      </c>
      <c r="H480" s="222" t="str">
        <f>IF(G446=50,"SW50MF001","SN55MF005")</f>
        <v>SN55MF005</v>
      </c>
      <c r="I480" s="207" t="s">
        <v>995</v>
      </c>
      <c r="J480" s="214">
        <f>IF(G446=55,V480,IF(G446=551,X480,IF(G446=60,Z480,IF(G446=601,AB480,IF(G446=65,AD480,IF(G446=50,AF480))))))</f>
        <v>24.7</v>
      </c>
      <c r="K480" s="207">
        <v>4</v>
      </c>
      <c r="L480" s="47">
        <f>VLOOKUP($H:$H,型材表!$B$5:$I$448,4,0)</f>
        <v>4.7119999999999997</v>
      </c>
      <c r="M480" s="46">
        <f t="shared" si="82"/>
        <v>0.4655456</v>
      </c>
      <c r="N480" s="72">
        <f>VLOOKUP($H:$H,型材表!$B$5:$I$448,7,0)</f>
        <v>0</v>
      </c>
      <c r="O480" s="46">
        <f t="shared" si="83"/>
        <v>0</v>
      </c>
      <c r="P480" s="100">
        <f>VLOOKUP($H:$H,型材表!$B$5:$I$448,5,0)</f>
        <v>0.125</v>
      </c>
      <c r="Q480" s="100" t="str">
        <f>VLOOKUP($H:$H,型材表!$B$5:$I$448,6,0)</f>
        <v>阳极氧化铝型材</v>
      </c>
      <c r="R480" s="227"/>
      <c r="S480" s="228"/>
      <c r="T480" s="479"/>
      <c r="U480" s="470" t="s">
        <v>995</v>
      </c>
      <c r="V480" s="266">
        <f>25.7-1</f>
        <v>24.7</v>
      </c>
      <c r="W480" s="266"/>
      <c r="X480" s="267">
        <f>25.4-1</f>
        <v>24.4</v>
      </c>
      <c r="Y480" s="266"/>
      <c r="Z480" s="267">
        <f>25.7-1</f>
        <v>24.7</v>
      </c>
      <c r="AA480" s="266"/>
      <c r="AB480" s="267">
        <f>25.4-1</f>
        <v>24.4</v>
      </c>
      <c r="AC480" s="266"/>
      <c r="AD480" s="267">
        <f>25.7-1</f>
        <v>24.7</v>
      </c>
      <c r="AE480" s="266"/>
      <c r="AF480" s="267"/>
      <c r="AG480" s="289"/>
    </row>
    <row r="481" spans="1:33" x14ac:dyDescent="0.15">
      <c r="A481" s="413">
        <v>21</v>
      </c>
      <c r="B481" s="534"/>
      <c r="C481" s="535"/>
      <c r="D481" s="535"/>
      <c r="E481" s="536"/>
      <c r="F481" s="47" t="str">
        <f>VLOOKUP($H:$H,型材表!$B$5:$I$448,2,0)</f>
        <v>角码</v>
      </c>
      <c r="G481" s="230" t="s">
        <v>447</v>
      </c>
      <c r="H481" s="45" t="str">
        <f>IF(G446=551,"SW55BMF001",IF(G446=601,"SW55BMF001",IF(G446=50,"0","SN55MF005")))</f>
        <v>SN55MF005</v>
      </c>
      <c r="I481" s="207" t="s">
        <v>996</v>
      </c>
      <c r="J481" s="52">
        <f>IF(G446=55,V481,IF(G446=551,X481,IF(G446=60,Z481,IF(G446=601,AB481,IF(G446=65,AD481,IF(G446=50,AF481))))))</f>
        <v>13.7</v>
      </c>
      <c r="K481" s="45">
        <v>4</v>
      </c>
      <c r="L481" s="47">
        <f>VLOOKUP($H:$H,型材表!$B$5:$I$448,4,0)</f>
        <v>4.7119999999999997</v>
      </c>
      <c r="M481" s="46">
        <f t="shared" si="82"/>
        <v>0.25821759999999994</v>
      </c>
      <c r="N481" s="72">
        <f>VLOOKUP($H:$H,型材表!$B$5:$I$448,7,0)</f>
        <v>0</v>
      </c>
      <c r="O481" s="46">
        <f t="shared" si="83"/>
        <v>0</v>
      </c>
      <c r="P481" s="100">
        <f>VLOOKUP($H:$H,型材表!$B$5:$I$448,5,0)</f>
        <v>0.125</v>
      </c>
      <c r="Q481" s="100" t="str">
        <f>VLOOKUP($H:$H,型材表!$B$5:$I$448,6,0)</f>
        <v>阳极氧化铝型材</v>
      </c>
      <c r="R481" s="49"/>
      <c r="S481" s="50"/>
      <c r="T481" s="478"/>
      <c r="U481" s="470" t="s">
        <v>996</v>
      </c>
      <c r="V481" s="259">
        <f>14.7-1</f>
        <v>13.7</v>
      </c>
      <c r="X481" s="317">
        <f>11.2-1</f>
        <v>10.199999999999999</v>
      </c>
      <c r="Z481" s="286">
        <f>14.7-1</f>
        <v>13.7</v>
      </c>
      <c r="AA481" s="259"/>
      <c r="AB481" s="317">
        <f>11.2-1</f>
        <v>10.199999999999999</v>
      </c>
      <c r="AC481" s="259"/>
      <c r="AD481" s="286">
        <f>14.7-1</f>
        <v>13.7</v>
      </c>
      <c r="AE481" s="259"/>
      <c r="AF481" s="264"/>
      <c r="AG481" s="288"/>
    </row>
    <row r="482" spans="1:33" x14ac:dyDescent="0.15">
      <c r="A482" s="413">
        <v>22</v>
      </c>
      <c r="B482" s="534"/>
      <c r="C482" s="535"/>
      <c r="D482" s="535"/>
      <c r="E482" s="536"/>
      <c r="F482" s="47" t="str">
        <f>VLOOKUP($H:$H,型材表!$B$5:$I$448,2,0)</f>
        <v>中梃角码</v>
      </c>
      <c r="G482" s="213"/>
      <c r="H482" s="207" t="str">
        <f>IF(G446=50,"SW50MF002","SN55MF001")</f>
        <v>SN55MF001</v>
      </c>
      <c r="I482" s="207" t="s">
        <v>997</v>
      </c>
      <c r="J482" s="214">
        <f>IF(G446=55,V482,IF(G446=551,X482,IF(G446=60,Z482,IF(G446=601,AB482,IF(G446=65,AD482,IF(G446=50,AF482))))))</f>
        <v>12.5</v>
      </c>
      <c r="K482" s="207">
        <v>2</v>
      </c>
      <c r="L482" s="47">
        <f>VLOOKUP($H:$H,型材表!$B$5:$I$448,4,0)</f>
        <v>1.429</v>
      </c>
      <c r="M482" s="46">
        <f t="shared" si="82"/>
        <v>3.5725E-2</v>
      </c>
      <c r="N482" s="72">
        <f>VLOOKUP($H:$H,型材表!$B$5:$I$448,7,0)</f>
        <v>0</v>
      </c>
      <c r="O482" s="46">
        <f t="shared" si="83"/>
        <v>0</v>
      </c>
      <c r="P482" s="100">
        <f>VLOOKUP($H:$H,型材表!$B$5:$I$448,5,0)</f>
        <v>0.125</v>
      </c>
      <c r="Q482" s="100" t="str">
        <f>VLOOKUP($H:$H,型材表!$B$5:$I$448,6,0)</f>
        <v>阳极氧化铝型材</v>
      </c>
      <c r="R482" s="210"/>
      <c r="S482" s="50"/>
      <c r="T482" s="478"/>
      <c r="U482" s="470" t="s">
        <v>997</v>
      </c>
      <c r="V482" s="497">
        <f>13.5-1</f>
        <v>12.5</v>
      </c>
      <c r="W482" s="497"/>
      <c r="X482" s="494">
        <f>13.5-1</f>
        <v>12.5</v>
      </c>
      <c r="Y482" s="497"/>
      <c r="Z482" s="494">
        <f>13.5-1</f>
        <v>12.5</v>
      </c>
      <c r="AA482" s="497"/>
      <c r="AB482" s="494">
        <f>13.5-1</f>
        <v>12.5</v>
      </c>
      <c r="AC482" s="497"/>
      <c r="AD482" s="494">
        <f>13.5-1</f>
        <v>12.5</v>
      </c>
      <c r="AE482" s="259"/>
      <c r="AF482" s="264"/>
      <c r="AG482" s="288"/>
    </row>
    <row r="483" spans="1:33" s="229" customFormat="1" x14ac:dyDescent="0.15">
      <c r="A483" s="413">
        <v>23</v>
      </c>
      <c r="B483" s="534"/>
      <c r="C483" s="535"/>
      <c r="D483" s="535"/>
      <c r="E483" s="536"/>
      <c r="F483" s="47" t="str">
        <f>VLOOKUP($H:$H,型材表!$B$5:$I$448,2,0)</f>
        <v>中梃角码</v>
      </c>
      <c r="G483" s="232"/>
      <c r="H483" s="207" t="str">
        <f>IF(G447=551,"SN55BMF001",IF(G447=601,"SN55BMF001",IF(G447=50,"SW50MF002","SN55MF002")))</f>
        <v>SN55MF002</v>
      </c>
      <c r="I483" s="207" t="s">
        <v>939</v>
      </c>
      <c r="J483" s="234">
        <f>IF(G446=55,V483,IF(G446=551,X483,IF(G446=60,Z483,IF(G446=601,AB483,IF(G446=65,AD483,IF(G446=50,AF483))))))</f>
        <v>17.5</v>
      </c>
      <c r="K483" s="233">
        <v>2</v>
      </c>
      <c r="L483" s="47">
        <f>VLOOKUP($H:$H,型材表!$B$5:$I$448,4,0)</f>
        <v>0.85799999999999998</v>
      </c>
      <c r="M483" s="46">
        <f t="shared" si="82"/>
        <v>3.0030000000000001E-2</v>
      </c>
      <c r="N483" s="72">
        <f>VLOOKUP($H:$H,型材表!$B$5:$I$448,7,0)</f>
        <v>0</v>
      </c>
      <c r="O483" s="46">
        <f t="shared" si="83"/>
        <v>0</v>
      </c>
      <c r="P483" s="100">
        <f>VLOOKUP($H:$H,型材表!$B$5:$I$448,5,0)</f>
        <v>0.125</v>
      </c>
      <c r="Q483" s="100" t="str">
        <f>VLOOKUP($H:$H,型材表!$B$5:$I$448,6,0)</f>
        <v>阳极氧化铝型材</v>
      </c>
      <c r="R483" s="235"/>
      <c r="S483" s="228"/>
      <c r="T483" s="479"/>
      <c r="U483" s="470" t="s">
        <v>939</v>
      </c>
      <c r="V483" s="499">
        <f>18.5-1</f>
        <v>17.5</v>
      </c>
      <c r="W483" s="499"/>
      <c r="X483" s="500">
        <f>18.5-1</f>
        <v>17.5</v>
      </c>
      <c r="Y483" s="499"/>
      <c r="Z483" s="500">
        <f>18.5-1</f>
        <v>17.5</v>
      </c>
      <c r="AA483" s="499"/>
      <c r="AB483" s="500">
        <f>18.5-1</f>
        <v>17.5</v>
      </c>
      <c r="AC483" s="499"/>
      <c r="AD483" s="500">
        <f>18.5-1</f>
        <v>17.5</v>
      </c>
      <c r="AE483" s="266"/>
      <c r="AF483" s="267"/>
      <c r="AG483" s="289"/>
    </row>
    <row r="484" spans="1:33" s="229" customFormat="1" x14ac:dyDescent="0.15">
      <c r="A484" s="413">
        <v>24</v>
      </c>
      <c r="B484" s="534"/>
      <c r="C484" s="535"/>
      <c r="D484" s="535"/>
      <c r="E484" s="536"/>
      <c r="F484" s="47" t="str">
        <f>VLOOKUP($H:$H,型材表!$B$5:$I$448,2,0)</f>
        <v>角码</v>
      </c>
      <c r="G484" s="295" t="s">
        <v>854</v>
      </c>
      <c r="H484" s="207" t="str">
        <f>IF(G448=50,"0","SW55F001")</f>
        <v>SW55F001</v>
      </c>
      <c r="I484" s="207" t="s">
        <v>1370</v>
      </c>
      <c r="J484" s="234">
        <f>IF(G446=55,V484,IF(G446=551,X484,IF(G446=60,Z484,IF(G446=601,AB484,IF(G446=65,AD484,IF(G446=50,AF484))))))</f>
        <v>28</v>
      </c>
      <c r="K484" s="233">
        <v>4</v>
      </c>
      <c r="L484" s="47">
        <f>VLOOKUP($H:$H,型材表!$B$5:$I$448,4,0)</f>
        <v>2.0950000000000002</v>
      </c>
      <c r="M484" s="46">
        <f t="shared" si="82"/>
        <v>0.23464000000000002</v>
      </c>
      <c r="N484" s="72">
        <f>VLOOKUP($H:$H,型材表!$B$5:$I$448,7,0)</f>
        <v>0</v>
      </c>
      <c r="O484" s="46">
        <f t="shared" si="83"/>
        <v>0</v>
      </c>
      <c r="P484" s="100">
        <f>VLOOKUP($H:$H,型材表!$B$5:$I$448,5,0)</f>
        <v>0.125</v>
      </c>
      <c r="Q484" s="100" t="str">
        <f>VLOOKUP($H:$H,型材表!$B$5:$I$448,6,0)</f>
        <v>阳极氧化铝型材</v>
      </c>
      <c r="R484" s="296"/>
      <c r="S484" s="228"/>
      <c r="T484" s="479"/>
      <c r="U484" s="470" t="s">
        <v>1370</v>
      </c>
      <c r="V484" s="266">
        <f>15-1+15-1</f>
        <v>28</v>
      </c>
      <c r="W484" s="266"/>
      <c r="X484" s="267">
        <f>15-1+15-1</f>
        <v>28</v>
      </c>
      <c r="Y484" s="266"/>
      <c r="Z484" s="267">
        <f>15-1+15-1</f>
        <v>28</v>
      </c>
      <c r="AA484" s="266"/>
      <c r="AB484" s="267">
        <f>15-1+15-1</f>
        <v>28</v>
      </c>
      <c r="AC484" s="266"/>
      <c r="AD484" s="267">
        <f>15-1+15-1</f>
        <v>28</v>
      </c>
      <c r="AE484" s="266"/>
      <c r="AF484" s="267"/>
      <c r="AG484" s="289"/>
    </row>
    <row r="485" spans="1:33" s="229" customFormat="1" x14ac:dyDescent="0.15">
      <c r="A485" s="413">
        <v>25</v>
      </c>
      <c r="B485" s="534"/>
      <c r="C485" s="535"/>
      <c r="D485" s="535"/>
      <c r="E485" s="536"/>
      <c r="F485" s="47" t="str">
        <f>VLOOKUP($H:$H,型材表!$B$5:$I$448,2,0)</f>
        <v>角码</v>
      </c>
      <c r="G485" s="51" t="s">
        <v>446</v>
      </c>
      <c r="H485" s="45" t="str">
        <f>IF(G458=65,"SW55F001","SN55F003")</f>
        <v>SN55F003</v>
      </c>
      <c r="I485" s="207" t="s">
        <v>1403</v>
      </c>
      <c r="J485" s="234">
        <f>IF(G446=55,V485,IF(G446=551,X485,IF(G446=60,Z485,IF(G446=601,AB485,IF(G446=65,AD485,IF(G446=50,AF485))))))</f>
        <v>32.200000000000003</v>
      </c>
      <c r="K485" s="233">
        <v>4</v>
      </c>
      <c r="L485" s="47">
        <f>VLOOKUP($H:$H,型材表!$B$5:$I$448,4,0)</f>
        <v>1.7490000000000001</v>
      </c>
      <c r="M485" s="46">
        <f t="shared" ref="M485:M487" si="87">J485*K485*L485/1000</f>
        <v>0.22527120000000003</v>
      </c>
      <c r="N485" s="72">
        <f>VLOOKUP($H:$H,型材表!$B$5:$I$448,7,0)</f>
        <v>0</v>
      </c>
      <c r="O485" s="46">
        <f t="shared" ref="O485:O487" si="88">N485*M485</f>
        <v>0</v>
      </c>
      <c r="P485" s="100">
        <f>VLOOKUP($H:$H,型材表!$B$5:$I$448,5,0)</f>
        <v>0.125</v>
      </c>
      <c r="Q485" s="100" t="str">
        <f>VLOOKUP($H:$H,型材表!$B$5:$I$448,6,0)</f>
        <v>阳极氧化铝型材</v>
      </c>
      <c r="R485" s="296"/>
      <c r="S485" s="228"/>
      <c r="T485" s="479"/>
      <c r="U485" s="470" t="s">
        <v>1403</v>
      </c>
      <c r="V485" s="259">
        <f>19.5-1+14.7-1</f>
        <v>32.200000000000003</v>
      </c>
      <c r="W485" s="266"/>
      <c r="X485" s="286">
        <f>19.5-1+14.7-1</f>
        <v>32.200000000000003</v>
      </c>
      <c r="Y485" s="266"/>
      <c r="Z485" s="286">
        <f>19.5-1+14.7-1</f>
        <v>32.200000000000003</v>
      </c>
      <c r="AA485" s="266"/>
      <c r="AB485" s="286">
        <f>19.5-1+14.7-1</f>
        <v>32.200000000000003</v>
      </c>
      <c r="AC485" s="266"/>
      <c r="AD485" s="286">
        <f>19.5-1+14.7-1</f>
        <v>32.200000000000003</v>
      </c>
      <c r="AE485" s="266"/>
      <c r="AF485" s="267"/>
      <c r="AG485" s="289"/>
    </row>
    <row r="486" spans="1:33" s="229" customFormat="1" x14ac:dyDescent="0.15">
      <c r="A486" s="413">
        <v>26</v>
      </c>
      <c r="B486" s="534"/>
      <c r="C486" s="535"/>
      <c r="D486" s="535"/>
      <c r="E486" s="536"/>
      <c r="F486" s="47" t="str">
        <f>VLOOKUP($H:$H,型材表!$B$5:$I$448,2,0)</f>
        <v>角码</v>
      </c>
      <c r="G486" s="51" t="s">
        <v>447</v>
      </c>
      <c r="H486" s="45" t="str">
        <f>IF(G458=65,"SN55F003","SN55F003")</f>
        <v>SN55F003</v>
      </c>
      <c r="I486" s="207" t="s">
        <v>1405</v>
      </c>
      <c r="J486" s="234">
        <f>IF(G446=55,V486,IF(G446=551,X486,IF(G446=60,Z486,IF(G446=601,AB486,IF(G446=65,AD486,IF(G446=50,AF486))))))</f>
        <v>27.1</v>
      </c>
      <c r="K486" s="233">
        <v>4</v>
      </c>
      <c r="L486" s="47">
        <f>VLOOKUP($H:$H,型材表!$B$5:$I$448,4,0)</f>
        <v>1.7490000000000001</v>
      </c>
      <c r="M486" s="46">
        <f t="shared" si="87"/>
        <v>0.18959160000000003</v>
      </c>
      <c r="N486" s="72">
        <f>VLOOKUP($H:$H,型材表!$B$5:$I$448,7,0)</f>
        <v>0</v>
      </c>
      <c r="O486" s="46">
        <f t="shared" si="88"/>
        <v>0</v>
      </c>
      <c r="P486" s="100">
        <f>VLOOKUP($H:$H,型材表!$B$5:$I$448,5,0)</f>
        <v>0.125</v>
      </c>
      <c r="Q486" s="100" t="str">
        <f>VLOOKUP($H:$H,型材表!$B$5:$I$448,6,0)</f>
        <v>阳极氧化铝型材</v>
      </c>
      <c r="R486" s="296"/>
      <c r="S486" s="228"/>
      <c r="T486" s="479"/>
      <c r="U486" s="470" t="s">
        <v>1405</v>
      </c>
      <c r="V486" s="259">
        <f>28.1-1</f>
        <v>27.1</v>
      </c>
      <c r="W486" s="266"/>
      <c r="X486" s="286">
        <f>28.1-1</f>
        <v>27.1</v>
      </c>
      <c r="Y486" s="266"/>
      <c r="Z486" s="286">
        <f>28.1-1</f>
        <v>27.1</v>
      </c>
      <c r="AA486" s="266"/>
      <c r="AB486" s="286">
        <f>28.1-1</f>
        <v>27.1</v>
      </c>
      <c r="AC486" s="266"/>
      <c r="AD486" s="286">
        <f>28.1-1</f>
        <v>27.1</v>
      </c>
      <c r="AE486" s="266"/>
      <c r="AF486" s="267"/>
      <c r="AG486" s="289"/>
    </row>
    <row r="487" spans="1:33" s="229" customFormat="1" x14ac:dyDescent="0.15">
      <c r="A487" s="413">
        <v>27</v>
      </c>
      <c r="B487" s="537"/>
      <c r="C487" s="538"/>
      <c r="D487" s="538"/>
      <c r="E487" s="539"/>
      <c r="F487" s="47" t="str">
        <f>VLOOKUP($H:$H,型材表!$B$5:$I$448,2,0)</f>
        <v>角码</v>
      </c>
      <c r="G487" s="51" t="s">
        <v>447</v>
      </c>
      <c r="H487" s="45" t="str">
        <f>IF(G458=70,"SW50F002",IF(G458=75,"SW50F002","SN55F003"))</f>
        <v>SN55F003</v>
      </c>
      <c r="I487" s="207" t="s">
        <v>1406</v>
      </c>
      <c r="J487" s="234">
        <f>IF(G446=55,V487,IF(G446=551,X487,IF(G446=60,Z487,IF(G446=601,AB487,IF(G446=65,AD487,IF(G446=50,AF487))))))</f>
        <v>8</v>
      </c>
      <c r="K487" s="233">
        <v>4</v>
      </c>
      <c r="L487" s="47">
        <f>VLOOKUP($H:$H,型材表!$B$5:$I$448,4,0)</f>
        <v>1.7490000000000001</v>
      </c>
      <c r="M487" s="46">
        <f t="shared" si="87"/>
        <v>5.5968000000000004E-2</v>
      </c>
      <c r="N487" s="72">
        <f>VLOOKUP($H:$H,型材表!$B$5:$I$448,7,0)</f>
        <v>0</v>
      </c>
      <c r="O487" s="46">
        <f t="shared" si="88"/>
        <v>0</v>
      </c>
      <c r="P487" s="100">
        <f>VLOOKUP($H:$H,型材表!$B$5:$I$448,5,0)</f>
        <v>0.125</v>
      </c>
      <c r="Q487" s="100" t="str">
        <f>VLOOKUP($H:$H,型材表!$B$5:$I$448,6,0)</f>
        <v>阳极氧化铝型材</v>
      </c>
      <c r="R487" s="296"/>
      <c r="S487" s="228"/>
      <c r="T487" s="479"/>
      <c r="U487" s="470" t="s">
        <v>1406</v>
      </c>
      <c r="V487" s="259">
        <f>9-1</f>
        <v>8</v>
      </c>
      <c r="W487" s="266"/>
      <c r="X487" s="286">
        <f>9-1</f>
        <v>8</v>
      </c>
      <c r="Y487" s="266"/>
      <c r="Z487" s="286">
        <f>9-1</f>
        <v>8</v>
      </c>
      <c r="AA487" s="266"/>
      <c r="AB487" s="286">
        <f>9-1</f>
        <v>8</v>
      </c>
      <c r="AC487" s="266"/>
      <c r="AD487" s="286">
        <f>9-1</f>
        <v>8</v>
      </c>
      <c r="AE487" s="266"/>
      <c r="AF487" s="267"/>
      <c r="AG487" s="289"/>
    </row>
    <row r="488" spans="1:33" s="229" customFormat="1" x14ac:dyDescent="0.15">
      <c r="A488" s="567" t="s">
        <v>919</v>
      </c>
      <c r="B488" s="568"/>
      <c r="C488" s="568"/>
      <c r="D488" s="568"/>
      <c r="E488" s="568"/>
      <c r="F488" s="568"/>
      <c r="G488" s="568"/>
      <c r="H488" s="568"/>
      <c r="I488" s="568"/>
      <c r="J488" s="568"/>
      <c r="K488" s="568"/>
      <c r="L488" s="569"/>
      <c r="M488" s="224">
        <f>SUMIF($Q$461:$Q$487,A488,$M$461:$M$487)</f>
        <v>35.986002599999992</v>
      </c>
      <c r="N488" s="364"/>
      <c r="O488" s="46"/>
      <c r="P488" s="365"/>
      <c r="Q488" s="360"/>
      <c r="R488" s="296"/>
      <c r="S488" s="228"/>
      <c r="T488" s="479"/>
      <c r="U488" s="471"/>
      <c r="V488" s="259"/>
      <c r="W488" s="266"/>
      <c r="X488" s="286"/>
      <c r="Y488" s="266"/>
      <c r="Z488" s="286"/>
      <c r="AA488" s="266"/>
      <c r="AB488" s="286"/>
      <c r="AC488" s="266"/>
      <c r="AD488" s="286"/>
      <c r="AE488" s="266"/>
      <c r="AF488" s="267"/>
      <c r="AG488" s="289"/>
    </row>
    <row r="489" spans="1:33" s="229" customFormat="1" x14ac:dyDescent="0.15">
      <c r="A489" s="567" t="s">
        <v>920</v>
      </c>
      <c r="B489" s="568"/>
      <c r="C489" s="568"/>
      <c r="D489" s="568"/>
      <c r="E489" s="568"/>
      <c r="F489" s="568"/>
      <c r="G489" s="568"/>
      <c r="H489" s="568"/>
      <c r="I489" s="568"/>
      <c r="J489" s="568"/>
      <c r="K489" s="568"/>
      <c r="L489" s="569"/>
      <c r="M489" s="224">
        <f>SUMIF($Q$461:$Q$487,A489,$M$461:$M$487)</f>
        <v>2.2343311999999997</v>
      </c>
      <c r="N489" s="364"/>
      <c r="O489" s="46"/>
      <c r="P489" s="365"/>
      <c r="Q489" s="360"/>
      <c r="R489" s="296"/>
      <c r="S489" s="228"/>
      <c r="T489" s="479"/>
      <c r="U489" s="471"/>
      <c r="V489" s="259"/>
      <c r="W489" s="266"/>
      <c r="X489" s="286"/>
      <c r="Y489" s="266"/>
      <c r="Z489" s="286"/>
      <c r="AA489" s="266"/>
      <c r="AB489" s="286"/>
      <c r="AC489" s="266"/>
      <c r="AD489" s="286"/>
      <c r="AE489" s="266"/>
      <c r="AF489" s="267"/>
      <c r="AG489" s="289"/>
    </row>
    <row r="490" spans="1:33" s="229" customFormat="1" x14ac:dyDescent="0.15">
      <c r="A490" s="567" t="s">
        <v>921</v>
      </c>
      <c r="B490" s="568"/>
      <c r="C490" s="568"/>
      <c r="D490" s="568"/>
      <c r="E490" s="568"/>
      <c r="F490" s="568"/>
      <c r="G490" s="568"/>
      <c r="H490" s="568"/>
      <c r="I490" s="568"/>
      <c r="J490" s="568"/>
      <c r="K490" s="568"/>
      <c r="L490" s="569"/>
      <c r="M490" s="224">
        <f>SUMIF($Q$461:$Q$487,A490,$M$461:$M$487)</f>
        <v>1.8113666000000002</v>
      </c>
      <c r="N490" s="364"/>
      <c r="O490" s="46"/>
      <c r="P490" s="365"/>
      <c r="Q490" s="360"/>
      <c r="R490" s="296"/>
      <c r="S490" s="228"/>
      <c r="T490" s="479"/>
      <c r="U490" s="471"/>
      <c r="V490" s="259"/>
      <c r="W490" s="266"/>
      <c r="X490" s="286"/>
      <c r="Y490" s="266"/>
      <c r="Z490" s="286"/>
      <c r="AA490" s="266"/>
      <c r="AB490" s="286"/>
      <c r="AC490" s="266"/>
      <c r="AD490" s="286"/>
      <c r="AE490" s="266"/>
      <c r="AF490" s="267"/>
      <c r="AG490" s="289"/>
    </row>
    <row r="491" spans="1:33" x14ac:dyDescent="0.15">
      <c r="A491" s="61"/>
      <c r="B491" s="571"/>
      <c r="C491" s="572"/>
      <c r="D491" s="572"/>
      <c r="E491" s="573"/>
      <c r="F491" s="552" t="s">
        <v>48</v>
      </c>
      <c r="G491" s="557"/>
      <c r="H491" s="557"/>
      <c r="I491" s="557"/>
      <c r="J491" s="557"/>
      <c r="K491" s="557"/>
      <c r="L491" s="553"/>
      <c r="M491" s="62">
        <f>SUM(M488:M490)</f>
        <v>40.031700399999991</v>
      </c>
      <c r="N491" s="63"/>
      <c r="O491" s="62">
        <f>SUM(O461:O483)</f>
        <v>0</v>
      </c>
      <c r="P491" s="63"/>
      <c r="Q491" s="337"/>
      <c r="R491" s="64"/>
      <c r="S491" s="64"/>
      <c r="T491" s="480"/>
      <c r="X491" s="286"/>
      <c r="Z491" s="286"/>
      <c r="AA491" s="259"/>
      <c r="AB491" s="286"/>
      <c r="AC491" s="259"/>
      <c r="AD491" s="286"/>
      <c r="AE491" s="259"/>
      <c r="AF491" s="264"/>
      <c r="AG491" s="288"/>
    </row>
    <row r="492" spans="1:33" ht="24" x14ac:dyDescent="0.15">
      <c r="A492" s="65"/>
      <c r="B492" s="560" t="s">
        <v>49</v>
      </c>
      <c r="C492" s="561"/>
      <c r="D492" s="561"/>
      <c r="E492" s="562"/>
      <c r="F492" s="565" t="s">
        <v>26</v>
      </c>
      <c r="G492" s="566"/>
      <c r="H492" s="66" t="s">
        <v>1335</v>
      </c>
      <c r="I492" s="351" t="s">
        <v>1336</v>
      </c>
      <c r="J492" s="66" t="s">
        <v>50</v>
      </c>
      <c r="K492" s="66" t="s">
        <v>51</v>
      </c>
      <c r="L492" s="67" t="s">
        <v>30</v>
      </c>
      <c r="M492" s="66" t="s">
        <v>52</v>
      </c>
      <c r="N492" s="68" t="s">
        <v>53</v>
      </c>
      <c r="O492" s="68" t="s">
        <v>34</v>
      </c>
      <c r="P492" s="69" t="s">
        <v>35</v>
      </c>
      <c r="Q492" s="42"/>
      <c r="R492" s="67"/>
      <c r="S492" s="67"/>
      <c r="T492" s="481"/>
      <c r="V492" s="270" t="s">
        <v>352</v>
      </c>
      <c r="W492" s="270" t="s">
        <v>353</v>
      </c>
      <c r="X492" s="271" t="s">
        <v>352</v>
      </c>
      <c r="Y492" s="270" t="s">
        <v>353</v>
      </c>
      <c r="Z492" s="271" t="s">
        <v>352</v>
      </c>
      <c r="AA492" s="270" t="s">
        <v>353</v>
      </c>
      <c r="AB492" s="271" t="s">
        <v>352</v>
      </c>
      <c r="AC492" s="270" t="s">
        <v>353</v>
      </c>
      <c r="AD492" s="271" t="s">
        <v>352</v>
      </c>
      <c r="AE492" s="270" t="s">
        <v>353</v>
      </c>
      <c r="AF492" s="271"/>
      <c r="AG492" s="290"/>
    </row>
    <row r="493" spans="1:33" x14ac:dyDescent="0.15">
      <c r="A493" s="258">
        <v>1</v>
      </c>
      <c r="B493" s="545" t="s">
        <v>133</v>
      </c>
      <c r="C493" s="546"/>
      <c r="D493" s="546"/>
      <c r="E493" s="547"/>
      <c r="F493" s="545" t="s">
        <v>55</v>
      </c>
      <c r="G493" s="547"/>
      <c r="H493" s="45" t="s">
        <v>1425</v>
      </c>
      <c r="I493" s="207" t="s">
        <v>1407</v>
      </c>
      <c r="J493" s="46">
        <f>IF(G446=55,M454-V493,IF(G446=551,M454-X493,IF(G446=60,M454-Z493,IF(G446=601,M454-AB493,IF(G446=65,M454-AD493,IF(G446=50,M454-AF493))))))-8</f>
        <v>671</v>
      </c>
      <c r="K493" s="70">
        <f>IF(G446=55,M448-W493,IF(G446=551,M448-Y493,IF(G446=60,M448-AA493,IF(G446=601,M448-AC493,IF(G446=65,M448-AE493,IF(G446=50,M448-AG493))))))</f>
        <v>2079</v>
      </c>
      <c r="L493" s="70">
        <v>1</v>
      </c>
      <c r="M493" s="46">
        <f>J493*K493*L493/1000000</f>
        <v>1.3950089999999999</v>
      </c>
      <c r="N493" s="46"/>
      <c r="O493" s="46">
        <f>N493*M493</f>
        <v>0</v>
      </c>
      <c r="P493" s="71"/>
      <c r="Q493" s="71"/>
      <c r="R493" s="72"/>
      <c r="S493" s="72"/>
      <c r="T493" s="482" t="s">
        <v>1610</v>
      </c>
      <c r="U493" s="470" t="s">
        <v>1611</v>
      </c>
      <c r="V493" s="259">
        <f t="shared" ref="V493:AD493" si="89">110.5*2</f>
        <v>221</v>
      </c>
      <c r="W493" s="259">
        <f t="shared" si="89"/>
        <v>221</v>
      </c>
      <c r="X493" s="286">
        <f t="shared" si="89"/>
        <v>221</v>
      </c>
      <c r="Y493" s="259">
        <f t="shared" si="89"/>
        <v>221</v>
      </c>
      <c r="Z493" s="286">
        <f t="shared" si="89"/>
        <v>221</v>
      </c>
      <c r="AA493" s="259">
        <f t="shared" si="89"/>
        <v>221</v>
      </c>
      <c r="AB493" s="286">
        <f t="shared" si="89"/>
        <v>221</v>
      </c>
      <c r="AC493" s="259">
        <f t="shared" si="89"/>
        <v>221</v>
      </c>
      <c r="AD493" s="286">
        <f t="shared" si="89"/>
        <v>221</v>
      </c>
      <c r="AE493" s="316">
        <f>108.5*2</f>
        <v>217</v>
      </c>
      <c r="AF493" s="264"/>
      <c r="AG493" s="288"/>
    </row>
    <row r="494" spans="1:33" x14ac:dyDescent="0.15">
      <c r="A494" s="238">
        <v>2</v>
      </c>
      <c r="B494" s="545" t="s">
        <v>133</v>
      </c>
      <c r="C494" s="546"/>
      <c r="D494" s="546"/>
      <c r="E494" s="547"/>
      <c r="F494" s="545" t="s">
        <v>135</v>
      </c>
      <c r="G494" s="547"/>
      <c r="H494" s="207" t="s">
        <v>1427</v>
      </c>
      <c r="I494" s="207" t="s">
        <v>1446</v>
      </c>
      <c r="J494" s="208">
        <f>IF(G446=55,M453-V494,IF(G446=551,M453-X494,IF(G446=60,M453-Z494,IF(G446=601,M453-AB494,IF(G446=65,M453-AD494,IF(G446=50,M453-AF494))))))</f>
        <v>425</v>
      </c>
      <c r="K494" s="239">
        <f>IF(G446=55,M450-W494,IF(G446=551,M450-Y494,IF(G446=60,M450-AA494,IF(G446=601,M450-AC494,IF(G446=65,M450-AE494,IF(G446=50,M450-AG494))))))</f>
        <v>1150</v>
      </c>
      <c r="L494" s="239">
        <v>1</v>
      </c>
      <c r="M494" s="46">
        <f>J494*K494*L494/1000000</f>
        <v>0.48875000000000002</v>
      </c>
      <c r="N494" s="208"/>
      <c r="O494" s="46">
        <f>N494*M494</f>
        <v>0</v>
      </c>
      <c r="P494" s="240"/>
      <c r="Q494" s="71"/>
      <c r="R494" s="209"/>
      <c r="S494" s="209"/>
      <c r="T494" s="482" t="s">
        <v>1638</v>
      </c>
      <c r="U494" s="470" t="s">
        <v>1641</v>
      </c>
      <c r="V494" s="259">
        <f>83.5*2+8</f>
        <v>175</v>
      </c>
      <c r="W494" s="259">
        <f>83.5+66.5</f>
        <v>150</v>
      </c>
      <c r="X494" s="286">
        <f>83.5*2+8</f>
        <v>175</v>
      </c>
      <c r="Y494" s="259">
        <f>83.5+66.5</f>
        <v>150</v>
      </c>
      <c r="Z494" s="286">
        <f>83.5*2+8</f>
        <v>175</v>
      </c>
      <c r="AA494" s="259">
        <f>83.5+66.5</f>
        <v>150</v>
      </c>
      <c r="AB494" s="286">
        <f>83.5*2+8</f>
        <v>175</v>
      </c>
      <c r="AC494" s="259">
        <f>83.5+66.5</f>
        <v>150</v>
      </c>
      <c r="AD494" s="286">
        <f>83.5*2+8</f>
        <v>175</v>
      </c>
      <c r="AE494" s="259">
        <f>83.5+66.5</f>
        <v>150</v>
      </c>
      <c r="AF494" s="264"/>
      <c r="AG494" s="288"/>
    </row>
    <row r="495" spans="1:33" x14ac:dyDescent="0.15">
      <c r="A495" s="258">
        <v>3</v>
      </c>
      <c r="B495" s="545" t="s">
        <v>855</v>
      </c>
      <c r="C495" s="546"/>
      <c r="D495" s="546"/>
      <c r="E495" s="547"/>
      <c r="F495" s="545" t="s">
        <v>145</v>
      </c>
      <c r="G495" s="547"/>
      <c r="H495" s="207" t="s">
        <v>1447</v>
      </c>
      <c r="I495" s="207" t="s">
        <v>1648</v>
      </c>
      <c r="J495" s="45">
        <f>IF(G446=55,M453-V495,IF(G446=551,M453-X495,IF(G446=60,M453-Z495,IF(G446=601,M453-AB495,IF(G446=65,M453-AD495,IF(G446=50,M453-AF495))))))-8</f>
        <v>469.2</v>
      </c>
      <c r="K495" s="45">
        <f>IF(G446=55,M451-W495,IF(G446=551,M451-Y495,IF(G446=60,M451-AA495,IF(G446=601,M451-AC495,IF(G446=65,M451-AE495,IF(G446=50,M451-AG495))))))</f>
        <v>292.2</v>
      </c>
      <c r="L495" s="70">
        <v>1</v>
      </c>
      <c r="M495" s="46">
        <f>J495*K495*L495/1000000</f>
        <v>0.13710023999999998</v>
      </c>
      <c r="N495" s="46"/>
      <c r="O495" s="46">
        <f>N495*M495</f>
        <v>0</v>
      </c>
      <c r="P495" s="71"/>
      <c r="Q495" s="71"/>
      <c r="R495" s="72"/>
      <c r="S495" s="72"/>
      <c r="T495" s="482" t="s">
        <v>1640</v>
      </c>
      <c r="U495" s="470" t="s">
        <v>1613</v>
      </c>
      <c r="V495" s="259">
        <f>61.4*2</f>
        <v>122.8</v>
      </c>
      <c r="W495" s="259">
        <f>61.4+46.4</f>
        <v>107.8</v>
      </c>
      <c r="X495" s="286">
        <f>61.4*2</f>
        <v>122.8</v>
      </c>
      <c r="Y495" s="259">
        <f>61.4+46.4</f>
        <v>107.8</v>
      </c>
      <c r="Z495" s="286">
        <f>61.4*2</f>
        <v>122.8</v>
      </c>
      <c r="AA495" s="259">
        <f>61.4+46.4</f>
        <v>107.8</v>
      </c>
      <c r="AB495" s="286">
        <f>61.4*2</f>
        <v>122.8</v>
      </c>
      <c r="AC495" s="259">
        <f>61.4+46.4</f>
        <v>107.8</v>
      </c>
      <c r="AD495" s="286">
        <f>61.4*2</f>
        <v>122.8</v>
      </c>
      <c r="AE495" s="259">
        <f>61.4+46.4</f>
        <v>107.8</v>
      </c>
      <c r="AF495" s="264"/>
      <c r="AG495" s="288"/>
    </row>
    <row r="496" spans="1:33" x14ac:dyDescent="0.15">
      <c r="A496" s="238"/>
      <c r="B496" s="545"/>
      <c r="C496" s="546"/>
      <c r="D496" s="546"/>
      <c r="E496" s="547"/>
      <c r="F496" s="545"/>
      <c r="G496" s="547"/>
      <c r="H496" s="45"/>
      <c r="I496" s="207"/>
      <c r="J496" s="46"/>
      <c r="K496" s="258"/>
      <c r="L496" s="239"/>
      <c r="M496" s="46"/>
      <c r="N496" s="46"/>
      <c r="O496" s="46"/>
      <c r="P496" s="48"/>
      <c r="Q496" s="48"/>
      <c r="R496" s="73"/>
      <c r="S496" s="73"/>
      <c r="T496" s="478"/>
      <c r="X496" s="264"/>
      <c r="Y496" s="265"/>
      <c r="Z496" s="264"/>
      <c r="AA496" s="265"/>
      <c r="AB496" s="331"/>
      <c r="AD496" s="331"/>
    </row>
    <row r="497" spans="1:26" x14ac:dyDescent="0.15">
      <c r="A497" s="74"/>
      <c r="B497" s="571"/>
      <c r="C497" s="572"/>
      <c r="D497" s="572"/>
      <c r="E497" s="573"/>
      <c r="F497" s="554" t="s">
        <v>56</v>
      </c>
      <c r="G497" s="554"/>
      <c r="H497" s="554"/>
      <c r="I497" s="579"/>
      <c r="J497" s="570"/>
      <c r="K497" s="570"/>
      <c r="L497" s="554"/>
      <c r="M497" s="62">
        <f>SUM(M493:M496)</f>
        <v>2.0208592400000001</v>
      </c>
      <c r="N497" s="255"/>
      <c r="O497" s="62">
        <f>SUM(O493:O496)</f>
        <v>0</v>
      </c>
      <c r="P497" s="63" t="s">
        <v>57</v>
      </c>
      <c r="Q497" s="337"/>
      <c r="R497" s="64"/>
      <c r="S497" s="64"/>
      <c r="T497" s="480"/>
      <c r="X497" s="286"/>
      <c r="Z497" s="331"/>
    </row>
    <row r="498" spans="1:26" ht="24" x14ac:dyDescent="0.15">
      <c r="A498" s="65"/>
      <c r="B498" s="560" t="s">
        <v>58</v>
      </c>
      <c r="C498" s="561"/>
      <c r="D498" s="561"/>
      <c r="E498" s="562"/>
      <c r="F498" s="565" t="s">
        <v>26</v>
      </c>
      <c r="G498" s="566"/>
      <c r="H498" s="66" t="s">
        <v>59</v>
      </c>
      <c r="I498" s="351"/>
      <c r="J498" s="66" t="s">
        <v>60</v>
      </c>
      <c r="K498" s="66" t="s">
        <v>6</v>
      </c>
      <c r="L498" s="67" t="s">
        <v>61</v>
      </c>
      <c r="M498" s="66" t="s">
        <v>30</v>
      </c>
      <c r="N498" s="68" t="s">
        <v>62</v>
      </c>
      <c r="O498" s="68" t="s">
        <v>34</v>
      </c>
      <c r="P498" s="69" t="s">
        <v>57</v>
      </c>
      <c r="Q498" s="42"/>
      <c r="R498" s="67"/>
      <c r="S498" s="67"/>
      <c r="T498" s="481"/>
    </row>
    <row r="499" spans="1:26" ht="25.5" customHeight="1" x14ac:dyDescent="0.15">
      <c r="A499" s="258">
        <v>1</v>
      </c>
      <c r="B499" s="545"/>
      <c r="C499" s="546"/>
      <c r="D499" s="546"/>
      <c r="E499" s="547"/>
      <c r="F499" s="545" t="s">
        <v>852</v>
      </c>
      <c r="G499" s="547"/>
      <c r="H499" s="45"/>
      <c r="I499" s="207"/>
      <c r="J499" s="45"/>
      <c r="K499" s="46" t="str">
        <f>VLOOKUP($F:$F,材料单价表!$B$3:$G$42,4,0)</f>
        <v>套</v>
      </c>
      <c r="L499" s="72"/>
      <c r="M499" s="46">
        <v>1</v>
      </c>
      <c r="N499" s="46">
        <f>VLOOKUP($F:$F,材料单价表!$B$3:$G$42,5,0)</f>
        <v>0</v>
      </c>
      <c r="O499" s="46">
        <f t="shared" ref="O499:O500" si="90">N499*M499</f>
        <v>0</v>
      </c>
      <c r="P499" s="48"/>
      <c r="Q499" s="48"/>
      <c r="R499" s="73"/>
      <c r="S499" s="73"/>
      <c r="T499" s="478"/>
    </row>
    <row r="500" spans="1:26" ht="25.5" customHeight="1" x14ac:dyDescent="0.15">
      <c r="A500" s="258">
        <v>2</v>
      </c>
      <c r="B500" s="545"/>
      <c r="C500" s="546"/>
      <c r="D500" s="546"/>
      <c r="E500" s="547"/>
      <c r="F500" s="545" t="s">
        <v>861</v>
      </c>
      <c r="G500" s="547"/>
      <c r="H500" s="45"/>
      <c r="I500" s="207"/>
      <c r="J500" s="45"/>
      <c r="K500" s="46" t="str">
        <f>VLOOKUP($F:$F,材料单价表!$B$3:$G$42,4,0)</f>
        <v>套</v>
      </c>
      <c r="L500" s="72"/>
      <c r="M500" s="46">
        <v>1</v>
      </c>
      <c r="N500" s="46">
        <f>VLOOKUP($F:$F,材料单价表!$B$3:$G$42,5,0)</f>
        <v>0</v>
      </c>
      <c r="O500" s="46">
        <f t="shared" si="90"/>
        <v>0</v>
      </c>
      <c r="P500" s="48"/>
      <c r="Q500" s="48"/>
      <c r="R500" s="73"/>
      <c r="S500" s="73"/>
      <c r="T500" s="478"/>
    </row>
    <row r="501" spans="1:26" x14ac:dyDescent="0.15">
      <c r="A501" s="74"/>
      <c r="B501" s="571"/>
      <c r="C501" s="572"/>
      <c r="D501" s="572"/>
      <c r="E501" s="573"/>
      <c r="F501" s="554" t="s">
        <v>64</v>
      </c>
      <c r="G501" s="554"/>
      <c r="H501" s="554"/>
      <c r="I501" s="579"/>
      <c r="J501" s="570"/>
      <c r="K501" s="570"/>
      <c r="L501" s="554"/>
      <c r="M501" s="62">
        <f>M499+M500</f>
        <v>2</v>
      </c>
      <c r="N501" s="255"/>
      <c r="O501" s="62">
        <f>SUM(O499:O499)</f>
        <v>0</v>
      </c>
      <c r="P501" s="63" t="s">
        <v>57</v>
      </c>
      <c r="Q501" s="337"/>
      <c r="R501" s="64"/>
      <c r="S501" s="64"/>
      <c r="T501" s="480"/>
    </row>
    <row r="502" spans="1:26" ht="24" x14ac:dyDescent="0.15">
      <c r="A502" s="65"/>
      <c r="B502" s="560" t="s">
        <v>65</v>
      </c>
      <c r="C502" s="561"/>
      <c r="D502" s="561"/>
      <c r="E502" s="562"/>
      <c r="F502" s="565" t="s">
        <v>26</v>
      </c>
      <c r="G502" s="566"/>
      <c r="H502" s="66" t="s">
        <v>59</v>
      </c>
      <c r="I502" s="351"/>
      <c r="J502" s="66" t="s">
        <v>60</v>
      </c>
      <c r="K502" s="66" t="s">
        <v>6</v>
      </c>
      <c r="L502" s="67" t="s">
        <v>61</v>
      </c>
      <c r="M502" s="66" t="s">
        <v>30</v>
      </c>
      <c r="N502" s="68" t="s">
        <v>62</v>
      </c>
      <c r="O502" s="68" t="s">
        <v>34</v>
      </c>
      <c r="P502" s="69" t="s">
        <v>57</v>
      </c>
      <c r="Q502" s="42"/>
      <c r="R502" s="67"/>
      <c r="S502" s="67"/>
      <c r="T502" s="481"/>
    </row>
    <row r="503" spans="1:26" ht="13.5" customHeight="1" x14ac:dyDescent="0.15">
      <c r="A503" s="76">
        <v>1</v>
      </c>
      <c r="B503" s="545"/>
      <c r="C503" s="546"/>
      <c r="D503" s="546"/>
      <c r="E503" s="547"/>
      <c r="F503" s="558" t="s">
        <v>66</v>
      </c>
      <c r="G503" s="559"/>
      <c r="H503" s="78"/>
      <c r="I503" s="352"/>
      <c r="J503" s="77"/>
      <c r="K503" s="46" t="str">
        <f>VLOOKUP($F:$F,材料单价表!$B$3:$G$42,4,0)</f>
        <v>m</v>
      </c>
      <c r="L503" s="46"/>
      <c r="M503" s="80">
        <f>M459</f>
        <v>8</v>
      </c>
      <c r="N503" s="46">
        <f>VLOOKUP($F:$F,材料单价表!$B$3:$G$42,5,0)</f>
        <v>0</v>
      </c>
      <c r="O503" s="46">
        <f>N503*M503</f>
        <v>0</v>
      </c>
      <c r="P503" s="48"/>
      <c r="Q503" s="59"/>
      <c r="R503" s="81"/>
      <c r="S503" s="79"/>
      <c r="T503" s="483"/>
    </row>
    <row r="504" spans="1:26" ht="15.75" customHeight="1" x14ac:dyDescent="0.15">
      <c r="A504" s="76">
        <v>2</v>
      </c>
      <c r="B504" s="545"/>
      <c r="C504" s="546"/>
      <c r="D504" s="546"/>
      <c r="E504" s="547"/>
      <c r="F504" s="558" t="s">
        <v>68</v>
      </c>
      <c r="G504" s="559"/>
      <c r="H504" s="78" t="s">
        <v>67</v>
      </c>
      <c r="I504" s="352"/>
      <c r="J504" s="77"/>
      <c r="K504" s="46" t="str">
        <f>VLOOKUP($F:$F,材料单价表!$B$3:$G$42,4,0)</f>
        <v>m</v>
      </c>
      <c r="L504" s="46"/>
      <c r="M504" s="80">
        <f>(J473*K473+J478*K478+J474*K474+J475*K475+J476*K476+J477*K477)/1000*2</f>
        <v>20.881599999999999</v>
      </c>
      <c r="N504" s="46">
        <f>VLOOKUP($F:$F,材料单价表!$B$3:$G$42,5,0)</f>
        <v>0</v>
      </c>
      <c r="O504" s="46">
        <f t="shared" ref="O504:O509" si="91">N504*M504</f>
        <v>0</v>
      </c>
      <c r="P504" s="48"/>
      <c r="Q504" s="59"/>
      <c r="R504" s="81"/>
      <c r="S504" s="79"/>
      <c r="T504" s="483"/>
      <c r="V504" s="104"/>
      <c r="W504" s="104"/>
    </row>
    <row r="505" spans="1:26" ht="13.5" customHeight="1" x14ac:dyDescent="0.15">
      <c r="A505" s="76">
        <v>3</v>
      </c>
      <c r="B505" s="545"/>
      <c r="C505" s="546"/>
      <c r="D505" s="546"/>
      <c r="E505" s="547"/>
      <c r="F505" s="558" t="s">
        <v>68</v>
      </c>
      <c r="G505" s="559"/>
      <c r="H505" s="78" t="s">
        <v>69</v>
      </c>
      <c r="I505" s="352"/>
      <c r="J505" s="77"/>
      <c r="K505" s="46" t="str">
        <f>VLOOKUP($F:$F,材料单价表!$B$3:$G$42,4,0)</f>
        <v>m</v>
      </c>
      <c r="L505" s="46"/>
      <c r="M505" s="80">
        <f>M459</f>
        <v>8</v>
      </c>
      <c r="N505" s="46">
        <f>VLOOKUP($F:$F,材料单价表!$B$3:$G$42,5,0)</f>
        <v>0</v>
      </c>
      <c r="O505" s="46">
        <f t="shared" si="91"/>
        <v>0</v>
      </c>
      <c r="P505" s="48"/>
      <c r="Q505" s="59"/>
      <c r="R505" s="81"/>
      <c r="S505" s="79"/>
      <c r="T505" s="483"/>
      <c r="V505" s="104"/>
      <c r="W505" s="104"/>
    </row>
    <row r="506" spans="1:26" ht="13.5" customHeight="1" x14ac:dyDescent="0.15">
      <c r="A506" s="76">
        <v>4</v>
      </c>
      <c r="B506" s="545"/>
      <c r="C506" s="546"/>
      <c r="D506" s="546"/>
      <c r="E506" s="547"/>
      <c r="F506" s="558" t="s">
        <v>68</v>
      </c>
      <c r="G506" s="559"/>
      <c r="H506" s="78" t="s">
        <v>70</v>
      </c>
      <c r="I506" s="352"/>
      <c r="J506" s="77"/>
      <c r="K506" s="46" t="str">
        <f>VLOOKUP($F:$F,材料单价表!$B$3:$G$42,4,0)</f>
        <v>m</v>
      </c>
      <c r="L506" s="46"/>
      <c r="M506" s="80">
        <f>M459</f>
        <v>8</v>
      </c>
      <c r="N506" s="46">
        <f>VLOOKUP($F:$F,材料单价表!$B$3:$G$42,5,0)</f>
        <v>0</v>
      </c>
      <c r="O506" s="46">
        <f t="shared" si="91"/>
        <v>0</v>
      </c>
      <c r="P506" s="48"/>
      <c r="Q506" s="59"/>
      <c r="R506" s="81"/>
      <c r="S506" s="79"/>
      <c r="T506" s="483"/>
      <c r="V506" s="104"/>
      <c r="W506" s="104"/>
    </row>
    <row r="507" spans="1:26" ht="13.5" customHeight="1" x14ac:dyDescent="0.15">
      <c r="A507" s="76">
        <v>5</v>
      </c>
      <c r="B507" s="545"/>
      <c r="C507" s="546"/>
      <c r="D507" s="546"/>
      <c r="E507" s="547"/>
      <c r="F507" s="558" t="s">
        <v>71</v>
      </c>
      <c r="G507" s="559"/>
      <c r="H507" s="78"/>
      <c r="I507" s="352"/>
      <c r="J507" s="77"/>
      <c r="K507" s="46" t="str">
        <f>VLOOKUP($F:$F,材料单价表!$B$3:$G$42,4,0)</f>
        <v>个</v>
      </c>
      <c r="L507" s="79"/>
      <c r="M507" s="80">
        <f>K479+K480+K484+K485+K486</f>
        <v>20</v>
      </c>
      <c r="N507" s="46">
        <f>VLOOKUP($F:$F,材料单价表!$B$3:$G$42,5,0)</f>
        <v>0</v>
      </c>
      <c r="O507" s="46">
        <f t="shared" si="91"/>
        <v>0</v>
      </c>
      <c r="P507" s="48"/>
      <c r="Q507" s="59"/>
      <c r="R507" s="81"/>
      <c r="S507" s="79"/>
      <c r="T507" s="483"/>
    </row>
    <row r="508" spans="1:26" ht="13.5" customHeight="1" x14ac:dyDescent="0.15">
      <c r="A508" s="76">
        <v>6</v>
      </c>
      <c r="B508" s="545"/>
      <c r="C508" s="546"/>
      <c r="D508" s="546"/>
      <c r="E508" s="547"/>
      <c r="F508" s="558" t="s">
        <v>121</v>
      </c>
      <c r="G508" s="559"/>
      <c r="H508" s="78"/>
      <c r="I508" s="352"/>
      <c r="J508" s="77"/>
      <c r="K508" s="46" t="str">
        <f>VLOOKUP($F:$F,材料单价表!$B$3:$G$42,4,0)</f>
        <v>m</v>
      </c>
      <c r="L508" s="79"/>
      <c r="M508" s="80">
        <f>(J465*K465+J466*K466)/1000*2</f>
        <v>12.272</v>
      </c>
      <c r="N508" s="46">
        <f>VLOOKUP($F:$F,材料单价表!$B$3:$G$42,5,0)</f>
        <v>0</v>
      </c>
      <c r="O508" s="46">
        <f t="shared" si="91"/>
        <v>0</v>
      </c>
      <c r="P508" s="48"/>
      <c r="Q508" s="59"/>
      <c r="R508" s="81"/>
      <c r="S508" s="46"/>
      <c r="T508" s="484"/>
    </row>
    <row r="509" spans="1:26" x14ac:dyDescent="0.15">
      <c r="A509" s="76">
        <v>7</v>
      </c>
      <c r="B509" s="545"/>
      <c r="C509" s="546"/>
      <c r="D509" s="546"/>
      <c r="E509" s="547"/>
      <c r="F509" s="558" t="s">
        <v>72</v>
      </c>
      <c r="G509" s="559"/>
      <c r="H509" s="45"/>
      <c r="I509" s="207"/>
      <c r="J509" s="45"/>
      <c r="K509" s="46" t="str">
        <f>VLOOKUP($F:$F,材料单价表!$B$3:$G$42,4,0)</f>
        <v>m2</v>
      </c>
      <c r="L509" s="72"/>
      <c r="M509" s="46">
        <f>M515</f>
        <v>3.48</v>
      </c>
      <c r="N509" s="46">
        <f>VLOOKUP($F:$F,材料单价表!$B$3:$G$42,5,0)</f>
        <v>0</v>
      </c>
      <c r="O509" s="46">
        <f t="shared" si="91"/>
        <v>0</v>
      </c>
      <c r="P509" s="48"/>
      <c r="Q509" s="48"/>
      <c r="R509" s="73"/>
      <c r="S509" s="73"/>
      <c r="T509" s="478"/>
    </row>
    <row r="510" spans="1:26" x14ac:dyDescent="0.15">
      <c r="A510" s="76">
        <v>8</v>
      </c>
      <c r="B510" s="545"/>
      <c r="C510" s="546"/>
      <c r="D510" s="546"/>
      <c r="E510" s="547"/>
      <c r="F510" s="256"/>
      <c r="G510" s="257"/>
      <c r="H510" s="207"/>
      <c r="I510" s="207"/>
      <c r="J510" s="207"/>
      <c r="K510" s="208"/>
      <c r="L510" s="209"/>
      <c r="M510" s="208"/>
      <c r="N510" s="208"/>
      <c r="O510" s="208"/>
      <c r="P510" s="211"/>
      <c r="Q510" s="48"/>
      <c r="R510" s="212"/>
      <c r="S510" s="212"/>
      <c r="T510" s="478"/>
    </row>
    <row r="511" spans="1:26" x14ac:dyDescent="0.15">
      <c r="A511" s="76">
        <v>9</v>
      </c>
      <c r="B511" s="545"/>
      <c r="C511" s="546"/>
      <c r="D511" s="546"/>
      <c r="E511" s="547"/>
      <c r="F511" s="558"/>
      <c r="G511" s="559"/>
      <c r="H511" s="45"/>
      <c r="I511" s="207"/>
      <c r="J511" s="45"/>
      <c r="K511" s="45"/>
      <c r="L511" s="72"/>
      <c r="M511" s="46"/>
      <c r="N511" s="46"/>
      <c r="O511" s="82"/>
      <c r="P511" s="48"/>
      <c r="Q511" s="48"/>
      <c r="R511" s="73"/>
      <c r="S511" s="73"/>
      <c r="T511" s="478"/>
    </row>
    <row r="512" spans="1:26" x14ac:dyDescent="0.15">
      <c r="A512" s="74"/>
      <c r="B512" s="571"/>
      <c r="C512" s="572"/>
      <c r="D512" s="572"/>
      <c r="E512" s="573"/>
      <c r="F512" s="552" t="s">
        <v>73</v>
      </c>
      <c r="G512" s="557"/>
      <c r="H512" s="557"/>
      <c r="I512" s="557"/>
      <c r="J512" s="557"/>
      <c r="K512" s="557"/>
      <c r="L512" s="557"/>
      <c r="M512" s="61"/>
      <c r="N512" s="61"/>
      <c r="O512" s="62">
        <f>SUM(O503:O511)</f>
        <v>0</v>
      </c>
      <c r="P512" s="63" t="s">
        <v>57</v>
      </c>
      <c r="Q512" s="337"/>
      <c r="R512" s="64"/>
      <c r="S512" s="64"/>
      <c r="T512" s="480"/>
    </row>
    <row r="513" spans="1:20" x14ac:dyDescent="0.15">
      <c r="A513" s="74"/>
      <c r="B513" s="571"/>
      <c r="C513" s="572"/>
      <c r="D513" s="572"/>
      <c r="E513" s="573"/>
      <c r="F513" s="552" t="s">
        <v>74</v>
      </c>
      <c r="G513" s="557"/>
      <c r="H513" s="557"/>
      <c r="I513" s="557"/>
      <c r="J513" s="557"/>
      <c r="K513" s="557"/>
      <c r="L513" s="557"/>
      <c r="M513" s="557"/>
      <c r="N513" s="553"/>
      <c r="O513" s="62">
        <f>O512+O501+O497+O491</f>
        <v>0</v>
      </c>
      <c r="P513" s="63" t="s">
        <v>57</v>
      </c>
      <c r="Q513" s="337"/>
      <c r="R513" s="64"/>
      <c r="S513" s="64"/>
      <c r="T513" s="480"/>
    </row>
    <row r="514" spans="1:20" ht="24" x14ac:dyDescent="0.15">
      <c r="A514" s="65"/>
      <c r="B514" s="560" t="s">
        <v>75</v>
      </c>
      <c r="C514" s="561"/>
      <c r="D514" s="561"/>
      <c r="E514" s="562"/>
      <c r="F514" s="565" t="s">
        <v>26</v>
      </c>
      <c r="G514" s="566"/>
      <c r="H514" s="66"/>
      <c r="I514" s="351"/>
      <c r="J514" s="66"/>
      <c r="K514" s="66" t="s">
        <v>6</v>
      </c>
      <c r="L514" s="83" t="s">
        <v>61</v>
      </c>
      <c r="M514" s="66" t="s">
        <v>76</v>
      </c>
      <c r="N514" s="68" t="s">
        <v>62</v>
      </c>
      <c r="O514" s="68" t="s">
        <v>34</v>
      </c>
      <c r="P514" s="84" t="s">
        <v>57</v>
      </c>
      <c r="Q514" s="84"/>
      <c r="R514" s="67"/>
      <c r="S514" s="67"/>
      <c r="T514" s="481"/>
    </row>
    <row r="515" spans="1:20" x14ac:dyDescent="0.15">
      <c r="A515" s="258">
        <v>1</v>
      </c>
      <c r="B515" s="545"/>
      <c r="C515" s="546"/>
      <c r="D515" s="546"/>
      <c r="E515" s="547"/>
      <c r="F515" s="545" t="s">
        <v>77</v>
      </c>
      <c r="G515" s="547"/>
      <c r="H515" s="45"/>
      <c r="I515" s="207"/>
      <c r="J515" s="46"/>
      <c r="K515" s="45" t="s">
        <v>78</v>
      </c>
      <c r="L515" s="72"/>
      <c r="M515" s="85">
        <f>O446</f>
        <v>3.48</v>
      </c>
      <c r="N515" s="46">
        <f>VLOOKUP($F:$F,材料单价表!$B$3:$G$42,5,0)</f>
        <v>0</v>
      </c>
      <c r="O515" s="46">
        <f>N515*M515</f>
        <v>0</v>
      </c>
      <c r="P515" s="48"/>
      <c r="Q515" s="48"/>
      <c r="R515" s="72"/>
      <c r="S515" s="72"/>
      <c r="T515" s="482"/>
    </row>
    <row r="516" spans="1:20" x14ac:dyDescent="0.15">
      <c r="A516" s="258">
        <v>2</v>
      </c>
      <c r="B516" s="545"/>
      <c r="C516" s="546"/>
      <c r="D516" s="546"/>
      <c r="E516" s="547"/>
      <c r="F516" s="545" t="s">
        <v>79</v>
      </c>
      <c r="G516" s="547"/>
      <c r="H516" s="45"/>
      <c r="I516" s="207"/>
      <c r="J516" s="46"/>
      <c r="K516" s="45" t="s">
        <v>78</v>
      </c>
      <c r="L516" s="72"/>
      <c r="M516" s="85">
        <f>M515</f>
        <v>3.48</v>
      </c>
      <c r="N516" s="46">
        <f>VLOOKUP($F:$F,材料单价表!$B$3:$G$42,5,0)</f>
        <v>0</v>
      </c>
      <c r="O516" s="46">
        <f>N516*M516</f>
        <v>0</v>
      </c>
      <c r="P516" s="48"/>
      <c r="Q516" s="48"/>
      <c r="R516" s="72"/>
      <c r="S516" s="72"/>
      <c r="T516" s="482"/>
    </row>
    <row r="517" spans="1:20" ht="24.75" customHeight="1" x14ac:dyDescent="0.15">
      <c r="A517" s="74"/>
      <c r="B517" s="571"/>
      <c r="C517" s="572"/>
      <c r="D517" s="572"/>
      <c r="E517" s="573"/>
      <c r="F517" s="552" t="s">
        <v>80</v>
      </c>
      <c r="G517" s="553"/>
      <c r="H517" s="254"/>
      <c r="I517" s="379"/>
      <c r="J517" s="554" t="s">
        <v>81</v>
      </c>
      <c r="K517" s="554"/>
      <c r="L517" s="554"/>
      <c r="M517" s="554"/>
      <c r="N517" s="87"/>
      <c r="O517" s="62">
        <f>O513+O515+O516</f>
        <v>0</v>
      </c>
      <c r="P517" s="63" t="s">
        <v>57</v>
      </c>
      <c r="Q517" s="337"/>
      <c r="R517" s="64"/>
      <c r="S517" s="64"/>
      <c r="T517" s="480"/>
    </row>
    <row r="518" spans="1:20" ht="24" customHeight="1" x14ac:dyDescent="0.15">
      <c r="A518" s="74"/>
      <c r="B518" s="571"/>
      <c r="C518" s="572"/>
      <c r="D518" s="572"/>
      <c r="E518" s="573"/>
      <c r="F518" s="555" t="s">
        <v>82</v>
      </c>
      <c r="G518" s="556"/>
      <c r="H518" s="253"/>
      <c r="I518" s="381"/>
      <c r="J518" s="552" t="s">
        <v>81</v>
      </c>
      <c r="K518" s="557"/>
      <c r="L518" s="557"/>
      <c r="M518" s="557"/>
      <c r="N518" s="62"/>
      <c r="O518" s="62">
        <f>O517/O446</f>
        <v>0</v>
      </c>
      <c r="P518" s="89" t="s">
        <v>57</v>
      </c>
      <c r="Q518" s="89"/>
      <c r="R518" s="90"/>
      <c r="S518" s="90"/>
      <c r="T518" s="485"/>
    </row>
  </sheetData>
  <autoFilter ref="T1:U518"/>
  <mergeCells count="490">
    <mergeCell ref="B424:E424"/>
    <mergeCell ref="B441:E441"/>
    <mergeCell ref="B442:E442"/>
    <mergeCell ref="B493:E493"/>
    <mergeCell ref="B494:E494"/>
    <mergeCell ref="B495:E495"/>
    <mergeCell ref="B496:E496"/>
    <mergeCell ref="B499:E499"/>
    <mergeCell ref="B500:E500"/>
    <mergeCell ref="B473:E487"/>
    <mergeCell ref="B465:E472"/>
    <mergeCell ref="B461:E464"/>
    <mergeCell ref="A488:L488"/>
    <mergeCell ref="A489:L489"/>
    <mergeCell ref="A490:L490"/>
    <mergeCell ref="B429:E429"/>
    <mergeCell ref="B430:E430"/>
    <mergeCell ref="B431:E431"/>
    <mergeCell ref="B432:E432"/>
    <mergeCell ref="B433:E433"/>
    <mergeCell ref="B434:E434"/>
    <mergeCell ref="B435:E435"/>
    <mergeCell ref="B436:E436"/>
    <mergeCell ref="B437:E437"/>
    <mergeCell ref="F295:G295"/>
    <mergeCell ref="J295:M295"/>
    <mergeCell ref="F296:G296"/>
    <mergeCell ref="J296:M296"/>
    <mergeCell ref="F290:L290"/>
    <mergeCell ref="F291:N291"/>
    <mergeCell ref="F292:G292"/>
    <mergeCell ref="F293:G293"/>
    <mergeCell ref="F294:G294"/>
    <mergeCell ref="B213:E213"/>
    <mergeCell ref="B214:E214"/>
    <mergeCell ref="B215:E215"/>
    <mergeCell ref="B219:E219"/>
    <mergeCell ref="B220:E220"/>
    <mergeCell ref="B271:E271"/>
    <mergeCell ref="B243:E247"/>
    <mergeCell ref="B239:E242"/>
    <mergeCell ref="A266:L266"/>
    <mergeCell ref="A267:L267"/>
    <mergeCell ref="A268:L268"/>
    <mergeCell ref="F218:G218"/>
    <mergeCell ref="F219:G219"/>
    <mergeCell ref="F220:G220"/>
    <mergeCell ref="F221:G221"/>
    <mergeCell ref="J221:M221"/>
    <mergeCell ref="F213:G213"/>
    <mergeCell ref="F215:G215"/>
    <mergeCell ref="F216:L216"/>
    <mergeCell ref="B248:E265"/>
    <mergeCell ref="B210:E210"/>
    <mergeCell ref="B211:E211"/>
    <mergeCell ref="B212:E212"/>
    <mergeCell ref="F212:G212"/>
    <mergeCell ref="B145:E145"/>
    <mergeCell ref="B146:E146"/>
    <mergeCell ref="B197:E197"/>
    <mergeCell ref="B198:E198"/>
    <mergeCell ref="B199:E199"/>
    <mergeCell ref="B200:E200"/>
    <mergeCell ref="F205:L205"/>
    <mergeCell ref="F206:G206"/>
    <mergeCell ref="F196:G196"/>
    <mergeCell ref="F197:G197"/>
    <mergeCell ref="F198:G198"/>
    <mergeCell ref="F199:G199"/>
    <mergeCell ref="F200:G200"/>
    <mergeCell ref="A149:S149"/>
    <mergeCell ref="F195:L195"/>
    <mergeCell ref="B196:E196"/>
    <mergeCell ref="B175:E191"/>
    <mergeCell ref="B169:E174"/>
    <mergeCell ref="B165:E168"/>
    <mergeCell ref="A192:L192"/>
    <mergeCell ref="B91:E94"/>
    <mergeCell ref="A118:L118"/>
    <mergeCell ref="A119:L119"/>
    <mergeCell ref="A120:L120"/>
    <mergeCell ref="A75:S75"/>
    <mergeCell ref="F125:G125"/>
    <mergeCell ref="F126:G126"/>
    <mergeCell ref="F127:L127"/>
    <mergeCell ref="F128:G128"/>
    <mergeCell ref="F121:L121"/>
    <mergeCell ref="F122:G122"/>
    <mergeCell ref="F123:G123"/>
    <mergeCell ref="F124:G124"/>
    <mergeCell ref="B27:E43"/>
    <mergeCell ref="B49:E49"/>
    <mergeCell ref="B50:E50"/>
    <mergeCell ref="B51:E51"/>
    <mergeCell ref="B52:E52"/>
    <mergeCell ref="A44:L44"/>
    <mergeCell ref="A45:L45"/>
    <mergeCell ref="A46:L46"/>
    <mergeCell ref="F53:L53"/>
    <mergeCell ref="F52:G52"/>
    <mergeCell ref="F48:G48"/>
    <mergeCell ref="F49:G49"/>
    <mergeCell ref="F50:G50"/>
    <mergeCell ref="F51:G51"/>
    <mergeCell ref="B67:E67"/>
    <mergeCell ref="B71:E71"/>
    <mergeCell ref="B72:E72"/>
    <mergeCell ref="B123:E123"/>
    <mergeCell ref="B143:E143"/>
    <mergeCell ref="B131:E131"/>
    <mergeCell ref="B127:E127"/>
    <mergeCell ref="B121:E121"/>
    <mergeCell ref="B133:E133"/>
    <mergeCell ref="B134:E134"/>
    <mergeCell ref="B135:E135"/>
    <mergeCell ref="B136:E136"/>
    <mergeCell ref="B137:E137"/>
    <mergeCell ref="B138:E138"/>
    <mergeCell ref="B139:E139"/>
    <mergeCell ref="B140:E140"/>
    <mergeCell ref="B141:E141"/>
    <mergeCell ref="B124:E124"/>
    <mergeCell ref="B125:E125"/>
    <mergeCell ref="B126:E126"/>
    <mergeCell ref="B129:E129"/>
    <mergeCell ref="B130:E130"/>
    <mergeCell ref="B101:E117"/>
    <mergeCell ref="B95:E100"/>
    <mergeCell ref="B364:E364"/>
    <mergeCell ref="B365:E365"/>
    <mergeCell ref="B353:E353"/>
    <mergeCell ref="B349:E349"/>
    <mergeCell ref="B343:E343"/>
    <mergeCell ref="B295:E295"/>
    <mergeCell ref="B296:E296"/>
    <mergeCell ref="B355:E355"/>
    <mergeCell ref="B356:E356"/>
    <mergeCell ref="B357:E357"/>
    <mergeCell ref="B358:E358"/>
    <mergeCell ref="B359:E359"/>
    <mergeCell ref="B360:E360"/>
    <mergeCell ref="B361:E361"/>
    <mergeCell ref="B362:E362"/>
    <mergeCell ref="B363:E363"/>
    <mergeCell ref="B345:E345"/>
    <mergeCell ref="B346:E346"/>
    <mergeCell ref="B347:E347"/>
    <mergeCell ref="B348:E348"/>
    <mergeCell ref="B351:E351"/>
    <mergeCell ref="B352:E352"/>
    <mergeCell ref="B313:E316"/>
    <mergeCell ref="B317:E323"/>
    <mergeCell ref="B514:E514"/>
    <mergeCell ref="B517:E517"/>
    <mergeCell ref="B518:E518"/>
    <mergeCell ref="B512:E512"/>
    <mergeCell ref="B513:E513"/>
    <mergeCell ref="B501:E501"/>
    <mergeCell ref="B497:E497"/>
    <mergeCell ref="B491:E491"/>
    <mergeCell ref="B443:E443"/>
    <mergeCell ref="B444:E444"/>
    <mergeCell ref="B503:E503"/>
    <mergeCell ref="B504:E504"/>
    <mergeCell ref="B505:E505"/>
    <mergeCell ref="B506:E506"/>
    <mergeCell ref="B507:E507"/>
    <mergeCell ref="B508:E508"/>
    <mergeCell ref="B509:E509"/>
    <mergeCell ref="B510:E510"/>
    <mergeCell ref="B511:E511"/>
    <mergeCell ref="B515:E515"/>
    <mergeCell ref="B516:E516"/>
    <mergeCell ref="B366:E366"/>
    <mergeCell ref="B386:E386"/>
    <mergeCell ref="B418:E418"/>
    <mergeCell ref="B428:E428"/>
    <mergeCell ref="B440:E440"/>
    <mergeCell ref="B460:E460"/>
    <mergeCell ref="B492:E492"/>
    <mergeCell ref="B498:E498"/>
    <mergeCell ref="B502:E502"/>
    <mergeCell ref="B438:E438"/>
    <mergeCell ref="B439:E439"/>
    <mergeCell ref="B427:E427"/>
    <mergeCell ref="B423:E423"/>
    <mergeCell ref="B417:E417"/>
    <mergeCell ref="B369:E369"/>
    <mergeCell ref="B370:E370"/>
    <mergeCell ref="B367:E367"/>
    <mergeCell ref="B368:E368"/>
    <mergeCell ref="B419:E419"/>
    <mergeCell ref="B420:E420"/>
    <mergeCell ref="B421:E421"/>
    <mergeCell ref="B422:E422"/>
    <mergeCell ref="B425:E425"/>
    <mergeCell ref="B426:E426"/>
    <mergeCell ref="B276:E276"/>
    <mergeCell ref="B280:E280"/>
    <mergeCell ref="B292:E292"/>
    <mergeCell ref="B312:E312"/>
    <mergeCell ref="B290:E290"/>
    <mergeCell ref="B291:E291"/>
    <mergeCell ref="B279:E279"/>
    <mergeCell ref="B275:E275"/>
    <mergeCell ref="B269:E269"/>
    <mergeCell ref="B278:E278"/>
    <mergeCell ref="B281:E281"/>
    <mergeCell ref="B282:E282"/>
    <mergeCell ref="B283:E283"/>
    <mergeCell ref="B284:E284"/>
    <mergeCell ref="B285:E285"/>
    <mergeCell ref="B286:E286"/>
    <mergeCell ref="B287:E287"/>
    <mergeCell ref="B288:E288"/>
    <mergeCell ref="B289:E289"/>
    <mergeCell ref="B293:E293"/>
    <mergeCell ref="B294:E294"/>
    <mergeCell ref="B272:E272"/>
    <mergeCell ref="B273:E273"/>
    <mergeCell ref="B274:E274"/>
    <mergeCell ref="B59:E59"/>
    <mergeCell ref="B60:E60"/>
    <mergeCell ref="B61:E61"/>
    <mergeCell ref="B62:E62"/>
    <mergeCell ref="B202:E202"/>
    <mergeCell ref="B206:E206"/>
    <mergeCell ref="B218:E218"/>
    <mergeCell ref="B238:E238"/>
    <mergeCell ref="B270:E270"/>
    <mergeCell ref="B221:E221"/>
    <mergeCell ref="B222:E222"/>
    <mergeCell ref="B216:E216"/>
    <mergeCell ref="B217:E217"/>
    <mergeCell ref="B205:E205"/>
    <mergeCell ref="B203:E203"/>
    <mergeCell ref="B204:E204"/>
    <mergeCell ref="B207:E207"/>
    <mergeCell ref="B208:E208"/>
    <mergeCell ref="B209:E209"/>
    <mergeCell ref="B201:E201"/>
    <mergeCell ref="B195:E195"/>
    <mergeCell ref="B147:E147"/>
    <mergeCell ref="B148:E148"/>
    <mergeCell ref="B142:E142"/>
    <mergeCell ref="B277:E277"/>
    <mergeCell ref="F280:G280"/>
    <mergeCell ref="F281:G281"/>
    <mergeCell ref="F282:G282"/>
    <mergeCell ref="F283:G283"/>
    <mergeCell ref="B54:E54"/>
    <mergeCell ref="B58:E58"/>
    <mergeCell ref="B70:E70"/>
    <mergeCell ref="B90:E90"/>
    <mergeCell ref="B122:E122"/>
    <mergeCell ref="B128:E128"/>
    <mergeCell ref="B132:E132"/>
    <mergeCell ref="B144:E144"/>
    <mergeCell ref="B164:E164"/>
    <mergeCell ref="B73:E73"/>
    <mergeCell ref="B74:E74"/>
    <mergeCell ref="B68:E68"/>
    <mergeCell ref="B69:E69"/>
    <mergeCell ref="B57:E57"/>
    <mergeCell ref="B55:E55"/>
    <mergeCell ref="B56:E56"/>
    <mergeCell ref="F201:L201"/>
    <mergeCell ref="F202:G202"/>
    <mergeCell ref="F203:G203"/>
    <mergeCell ref="F284:G284"/>
    <mergeCell ref="F285:G285"/>
    <mergeCell ref="F286:G286"/>
    <mergeCell ref="F287:G287"/>
    <mergeCell ref="F289:G289"/>
    <mergeCell ref="F279:L279"/>
    <mergeCell ref="F217:N217"/>
    <mergeCell ref="F207:G207"/>
    <mergeCell ref="F208:G208"/>
    <mergeCell ref="F209:G209"/>
    <mergeCell ref="F210:G210"/>
    <mergeCell ref="F211:G211"/>
    <mergeCell ref="F277:G277"/>
    <mergeCell ref="F269:L269"/>
    <mergeCell ref="F270:G270"/>
    <mergeCell ref="F271:G271"/>
    <mergeCell ref="F272:G272"/>
    <mergeCell ref="F222:G222"/>
    <mergeCell ref="J222:M222"/>
    <mergeCell ref="A223:S223"/>
    <mergeCell ref="F273:G273"/>
    <mergeCell ref="F274:G274"/>
    <mergeCell ref="F275:L275"/>
    <mergeCell ref="F276:G276"/>
    <mergeCell ref="A193:L193"/>
    <mergeCell ref="A194:L194"/>
    <mergeCell ref="F147:G147"/>
    <mergeCell ref="J147:M147"/>
    <mergeCell ref="F148:G148"/>
    <mergeCell ref="J148:M148"/>
    <mergeCell ref="F142:L142"/>
    <mergeCell ref="F143:N143"/>
    <mergeCell ref="F144:G144"/>
    <mergeCell ref="F145:G145"/>
    <mergeCell ref="F146:G146"/>
    <mergeCell ref="F136:G136"/>
    <mergeCell ref="F137:G137"/>
    <mergeCell ref="F138:G138"/>
    <mergeCell ref="F139:G139"/>
    <mergeCell ref="F141:G141"/>
    <mergeCell ref="F131:L131"/>
    <mergeCell ref="F132:G132"/>
    <mergeCell ref="F133:G133"/>
    <mergeCell ref="F134:G134"/>
    <mergeCell ref="F135:G135"/>
    <mergeCell ref="F65:G65"/>
    <mergeCell ref="F54:G54"/>
    <mergeCell ref="F55:G55"/>
    <mergeCell ref="F58:G58"/>
    <mergeCell ref="F59:G59"/>
    <mergeCell ref="F57:L57"/>
    <mergeCell ref="F60:G60"/>
    <mergeCell ref="F61:G61"/>
    <mergeCell ref="F62:G62"/>
    <mergeCell ref="F63:G63"/>
    <mergeCell ref="F129:G129"/>
    <mergeCell ref="A1:S1"/>
    <mergeCell ref="F47:L47"/>
    <mergeCell ref="B16:E16"/>
    <mergeCell ref="B48:E48"/>
    <mergeCell ref="F64:G64"/>
    <mergeCell ref="F56:G56"/>
    <mergeCell ref="F73:G73"/>
    <mergeCell ref="F74:G74"/>
    <mergeCell ref="F67:G67"/>
    <mergeCell ref="F70:G70"/>
    <mergeCell ref="F71:G71"/>
    <mergeCell ref="F72:G72"/>
    <mergeCell ref="F68:L68"/>
    <mergeCell ref="F69:N69"/>
    <mergeCell ref="J73:M73"/>
    <mergeCell ref="J74:M74"/>
    <mergeCell ref="B63:E63"/>
    <mergeCell ref="B64:E64"/>
    <mergeCell ref="B65:E65"/>
    <mergeCell ref="B66:E66"/>
    <mergeCell ref="B53:E53"/>
    <mergeCell ref="B47:E47"/>
    <mergeCell ref="B17:E20"/>
    <mergeCell ref="B21:E26"/>
    <mergeCell ref="F355:G355"/>
    <mergeCell ref="F356:G356"/>
    <mergeCell ref="F357:G357"/>
    <mergeCell ref="A297:S297"/>
    <mergeCell ref="F343:L343"/>
    <mergeCell ref="F344:G344"/>
    <mergeCell ref="F345:G345"/>
    <mergeCell ref="F346:G346"/>
    <mergeCell ref="F347:G347"/>
    <mergeCell ref="B344:E344"/>
    <mergeCell ref="B350:E350"/>
    <mergeCell ref="B354:E354"/>
    <mergeCell ref="B324:E339"/>
    <mergeCell ref="A340:L340"/>
    <mergeCell ref="A341:L341"/>
    <mergeCell ref="A342:L342"/>
    <mergeCell ref="O299:P299"/>
    <mergeCell ref="R299:R300"/>
    <mergeCell ref="S299:S300"/>
    <mergeCell ref="R301:R302"/>
    <mergeCell ref="S301:S302"/>
    <mergeCell ref="O151:P151"/>
    <mergeCell ref="R151:R152"/>
    <mergeCell ref="F368:G368"/>
    <mergeCell ref="F369:G369"/>
    <mergeCell ref="J369:M369"/>
    <mergeCell ref="F370:G370"/>
    <mergeCell ref="J370:M370"/>
    <mergeCell ref="F352:G352"/>
    <mergeCell ref="F278:G278"/>
    <mergeCell ref="F204:G204"/>
    <mergeCell ref="F130:G130"/>
    <mergeCell ref="F358:G358"/>
    <mergeCell ref="F359:G359"/>
    <mergeCell ref="F360:G360"/>
    <mergeCell ref="F361:G361"/>
    <mergeCell ref="F363:G363"/>
    <mergeCell ref="F364:L364"/>
    <mergeCell ref="F365:N365"/>
    <mergeCell ref="F366:G366"/>
    <mergeCell ref="F367:G367"/>
    <mergeCell ref="F348:G348"/>
    <mergeCell ref="F349:L349"/>
    <mergeCell ref="F350:G350"/>
    <mergeCell ref="F351:G351"/>
    <mergeCell ref="F353:L353"/>
    <mergeCell ref="F354:G354"/>
    <mergeCell ref="A371:S371"/>
    <mergeCell ref="F417:L417"/>
    <mergeCell ref="F418:G418"/>
    <mergeCell ref="F419:G419"/>
    <mergeCell ref="F420:G420"/>
    <mergeCell ref="F421:G421"/>
    <mergeCell ref="B399:E411"/>
    <mergeCell ref="B391:E398"/>
    <mergeCell ref="B387:E390"/>
    <mergeCell ref="A414:L414"/>
    <mergeCell ref="A415:L415"/>
    <mergeCell ref="A416:L416"/>
    <mergeCell ref="O373:P373"/>
    <mergeCell ref="R373:R374"/>
    <mergeCell ref="S373:S374"/>
    <mergeCell ref="R375:R376"/>
    <mergeCell ref="S375:S376"/>
    <mergeCell ref="F422:G422"/>
    <mergeCell ref="F423:L423"/>
    <mergeCell ref="F424:G424"/>
    <mergeCell ref="F425:G425"/>
    <mergeCell ref="F426:G426"/>
    <mergeCell ref="F427:L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7:G437"/>
    <mergeCell ref="F438:L438"/>
    <mergeCell ref="F439:N439"/>
    <mergeCell ref="F440:G440"/>
    <mergeCell ref="F493:G493"/>
    <mergeCell ref="F494:G494"/>
    <mergeCell ref="F495:G495"/>
    <mergeCell ref="F496:G496"/>
    <mergeCell ref="F497:L497"/>
    <mergeCell ref="F498:G498"/>
    <mergeCell ref="F441:G441"/>
    <mergeCell ref="F442:G442"/>
    <mergeCell ref="F443:G443"/>
    <mergeCell ref="J443:M443"/>
    <mergeCell ref="F444:G444"/>
    <mergeCell ref="J444:M444"/>
    <mergeCell ref="A445:S445"/>
    <mergeCell ref="F491:L491"/>
    <mergeCell ref="F492:G492"/>
    <mergeCell ref="O447:P447"/>
    <mergeCell ref="R447:R448"/>
    <mergeCell ref="S447:S448"/>
    <mergeCell ref="R449:R450"/>
    <mergeCell ref="S449:S450"/>
    <mergeCell ref="F518:G518"/>
    <mergeCell ref="J518:M518"/>
    <mergeCell ref="F508:G508"/>
    <mergeCell ref="F509:G509"/>
    <mergeCell ref="F511:G511"/>
    <mergeCell ref="F512:L512"/>
    <mergeCell ref="F513:N513"/>
    <mergeCell ref="F514:G514"/>
    <mergeCell ref="F515:G515"/>
    <mergeCell ref="F516:G516"/>
    <mergeCell ref="F517:G517"/>
    <mergeCell ref="J517:M517"/>
    <mergeCell ref="F499:G499"/>
    <mergeCell ref="F500:G500"/>
    <mergeCell ref="F501:L501"/>
    <mergeCell ref="F502:G502"/>
    <mergeCell ref="F503:G503"/>
    <mergeCell ref="F504:G504"/>
    <mergeCell ref="F505:G505"/>
    <mergeCell ref="F506:G506"/>
    <mergeCell ref="F507:G507"/>
    <mergeCell ref="S151:S152"/>
    <mergeCell ref="R153:R154"/>
    <mergeCell ref="S153:S154"/>
    <mergeCell ref="O225:P225"/>
    <mergeCell ref="R225:R226"/>
    <mergeCell ref="S225:S226"/>
    <mergeCell ref="R227:R228"/>
    <mergeCell ref="S227:S228"/>
    <mergeCell ref="O3:P3"/>
    <mergeCell ref="R3:R4"/>
    <mergeCell ref="S3:S4"/>
    <mergeCell ref="R5:R6"/>
    <mergeCell ref="S5:S6"/>
    <mergeCell ref="O77:P77"/>
    <mergeCell ref="R77:R78"/>
    <mergeCell ref="S77:S78"/>
    <mergeCell ref="R79:R80"/>
    <mergeCell ref="S79:S80"/>
  </mergeCells>
  <phoneticPr fontId="9" type="noConversion"/>
  <pageMargins left="0.7" right="0.7" top="0.75" bottom="0.75" header="0.3" footer="0.3"/>
  <pageSetup paperSize="9" scale="63" orientation="portrait" r:id="rId1"/>
  <rowBreaks count="6" manualBreakCount="6">
    <brk id="74" max="13" man="1"/>
    <brk id="148" max="13" man="1"/>
    <brk id="222" max="13" man="1"/>
    <brk id="296" max="13" man="1"/>
    <brk id="370" max="13" man="1"/>
    <brk id="444" max="1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8"/>
  <sheetViews>
    <sheetView view="pageBreakPreview" zoomScaleNormal="100" zoomScaleSheetLayoutView="100" workbookViewId="0">
      <pane ySplit="2" topLeftCell="A48" activePane="bottomLeft" state="frozen"/>
      <selection pane="bottomLeft" activeCell="B67" sqref="B67"/>
    </sheetView>
  </sheetViews>
  <sheetFormatPr defaultRowHeight="13.5" x14ac:dyDescent="0.15"/>
  <cols>
    <col min="1" max="1" width="6.125" style="91" customWidth="1"/>
    <col min="2" max="2" width="13" style="91" customWidth="1"/>
    <col min="3" max="3" width="10.875" style="91" customWidth="1"/>
    <col min="4" max="4" width="12.75" style="91" customWidth="1"/>
    <col min="5" max="5" width="11" style="91" customWidth="1"/>
    <col min="6" max="6" width="10.75" style="91" customWidth="1"/>
    <col min="7" max="7" width="15.25" style="91" customWidth="1"/>
    <col min="8" max="8" width="11.875" style="91" customWidth="1"/>
    <col min="9" max="9" width="11.625" style="91" customWidth="1"/>
    <col min="10" max="16384" width="9" style="1"/>
  </cols>
  <sheetData>
    <row r="1" spans="1:9" ht="30" customHeight="1" x14ac:dyDescent="0.15">
      <c r="A1" s="584" t="s">
        <v>99</v>
      </c>
      <c r="B1" s="584"/>
      <c r="C1" s="584"/>
      <c r="D1" s="584"/>
      <c r="E1" s="584"/>
      <c r="F1" s="584"/>
      <c r="G1" s="584"/>
      <c r="H1" s="584"/>
      <c r="I1" s="584"/>
    </row>
    <row r="2" spans="1:9" ht="30" customHeight="1" x14ac:dyDescent="0.15">
      <c r="A2" s="94" t="s">
        <v>84</v>
      </c>
      <c r="B2" s="94" t="s">
        <v>87</v>
      </c>
      <c r="C2" s="94" t="s">
        <v>85</v>
      </c>
      <c r="D2" s="94" t="s">
        <v>86</v>
      </c>
      <c r="E2" s="95" t="s">
        <v>88</v>
      </c>
      <c r="F2" s="95" t="s">
        <v>98</v>
      </c>
      <c r="G2" s="95" t="s">
        <v>876</v>
      </c>
      <c r="H2" s="95" t="s">
        <v>100</v>
      </c>
      <c r="I2" s="94" t="s">
        <v>89</v>
      </c>
    </row>
    <row r="3" spans="1:9" ht="18" customHeight="1" x14ac:dyDescent="0.15">
      <c r="A3" s="585" t="s">
        <v>377</v>
      </c>
      <c r="B3" s="586"/>
      <c r="C3" s="586"/>
      <c r="D3" s="586"/>
      <c r="E3" s="586"/>
      <c r="F3" s="586"/>
      <c r="G3" s="586"/>
      <c r="H3" s="586"/>
      <c r="I3" s="587"/>
    </row>
    <row r="4" spans="1:9" s="149" customFormat="1" ht="18" customHeight="1" x14ac:dyDescent="0.15">
      <c r="A4" s="94" t="s">
        <v>248</v>
      </c>
      <c r="B4" s="94" t="s">
        <v>249</v>
      </c>
      <c r="C4" s="94"/>
      <c r="D4" s="94"/>
      <c r="E4" s="95"/>
      <c r="F4" s="95"/>
      <c r="G4" s="95"/>
      <c r="H4" s="95"/>
      <c r="I4" s="94"/>
    </row>
    <row r="5" spans="1:9" ht="18" customHeight="1" x14ac:dyDescent="0.15">
      <c r="A5" s="96">
        <v>1</v>
      </c>
      <c r="B5" s="92" t="s">
        <v>92</v>
      </c>
      <c r="C5" s="97" t="s">
        <v>90</v>
      </c>
      <c r="D5" s="97" t="s">
        <v>91</v>
      </c>
      <c r="E5" s="96">
        <v>1.02</v>
      </c>
      <c r="F5" s="98">
        <v>0.125</v>
      </c>
      <c r="G5" s="93" t="s">
        <v>110</v>
      </c>
      <c r="H5" s="99">
        <f>VLOOKUP($G:$G,材料单价表!$B$4:$G$40,5,0)</f>
        <v>0</v>
      </c>
      <c r="I5" s="96"/>
    </row>
    <row r="6" spans="1:9" ht="18" customHeight="1" x14ac:dyDescent="0.15">
      <c r="A6" s="96">
        <v>2</v>
      </c>
      <c r="B6" s="118" t="s">
        <v>348</v>
      </c>
      <c r="C6" s="96" t="s">
        <v>129</v>
      </c>
      <c r="D6" s="97" t="s">
        <v>96</v>
      </c>
      <c r="E6" s="96">
        <v>1.214</v>
      </c>
      <c r="F6" s="98">
        <v>0.125</v>
      </c>
      <c r="G6" s="93" t="s">
        <v>110</v>
      </c>
      <c r="H6" s="99">
        <f>VLOOKUP($G:$G,材料单价表!$B$4:$G$40,5,0)</f>
        <v>0</v>
      </c>
      <c r="I6" s="96"/>
    </row>
    <row r="7" spans="1:9" ht="18" customHeight="1" x14ac:dyDescent="0.15">
      <c r="A7" s="96">
        <v>3</v>
      </c>
      <c r="B7" s="92" t="s">
        <v>361</v>
      </c>
      <c r="C7" s="97" t="s">
        <v>93</v>
      </c>
      <c r="D7" s="97" t="s">
        <v>96</v>
      </c>
      <c r="E7" s="96">
        <v>1.2729999999999999</v>
      </c>
      <c r="F7" s="98">
        <v>0.125</v>
      </c>
      <c r="G7" s="93" t="s">
        <v>110</v>
      </c>
      <c r="H7" s="99">
        <f>VLOOKUP($G:$G,材料单价表!$B$4:$G$40,5,0)</f>
        <v>0</v>
      </c>
      <c r="I7" s="96"/>
    </row>
    <row r="8" spans="1:9" ht="18" customHeight="1" x14ac:dyDescent="0.15">
      <c r="A8" s="96">
        <v>4</v>
      </c>
      <c r="B8" s="92" t="s">
        <v>94</v>
      </c>
      <c r="C8" s="97" t="s">
        <v>93</v>
      </c>
      <c r="D8" s="97" t="s">
        <v>96</v>
      </c>
      <c r="E8" s="96">
        <v>1.292</v>
      </c>
      <c r="F8" s="98">
        <v>0.125</v>
      </c>
      <c r="G8" s="93" t="s">
        <v>110</v>
      </c>
      <c r="H8" s="99">
        <f>VLOOKUP($G:$G,材料单价表!$B$4:$G$40,5,0)</f>
        <v>0</v>
      </c>
      <c r="I8" s="96"/>
    </row>
    <row r="9" spans="1:9" ht="18" customHeight="1" x14ac:dyDescent="0.15">
      <c r="A9" s="96">
        <v>5</v>
      </c>
      <c r="B9" s="96" t="s">
        <v>136</v>
      </c>
      <c r="C9" s="96" t="s">
        <v>141</v>
      </c>
      <c r="D9" s="97" t="s">
        <v>96</v>
      </c>
      <c r="E9" s="96">
        <v>1.246</v>
      </c>
      <c r="F9" s="98">
        <v>0.125</v>
      </c>
      <c r="G9" s="93" t="s">
        <v>110</v>
      </c>
      <c r="H9" s="99">
        <f>VLOOKUP($G:$G,材料单价表!$B$4:$G$40,5,0)</f>
        <v>0</v>
      </c>
      <c r="I9" s="96"/>
    </row>
    <row r="10" spans="1:9" ht="18" customHeight="1" x14ac:dyDescent="0.15">
      <c r="A10" s="96">
        <v>6</v>
      </c>
      <c r="B10" s="97" t="s">
        <v>362</v>
      </c>
      <c r="C10" s="97" t="s">
        <v>268</v>
      </c>
      <c r="D10" s="97" t="s">
        <v>96</v>
      </c>
      <c r="E10" s="96">
        <v>0.93</v>
      </c>
      <c r="F10" s="98">
        <v>0.125</v>
      </c>
      <c r="G10" s="93" t="s">
        <v>110</v>
      </c>
      <c r="H10" s="99">
        <f>VLOOKUP($G:$G,材料单价表!$B$4:$G$40,5,0)</f>
        <v>0</v>
      </c>
      <c r="I10" s="96"/>
    </row>
    <row r="11" spans="1:9" ht="18" customHeight="1" x14ac:dyDescent="0.15">
      <c r="A11" s="96">
        <v>7</v>
      </c>
      <c r="B11" s="96" t="s">
        <v>148</v>
      </c>
      <c r="C11" s="96" t="s">
        <v>149</v>
      </c>
      <c r="D11" s="97" t="s">
        <v>96</v>
      </c>
      <c r="E11" s="96">
        <v>1.4159999999999999</v>
      </c>
      <c r="F11" s="98">
        <v>0.125</v>
      </c>
      <c r="G11" s="93" t="s">
        <v>110</v>
      </c>
      <c r="H11" s="99">
        <f>VLOOKUP($G:$G,材料单价表!$B$4:$G$40,5,0)</f>
        <v>0</v>
      </c>
      <c r="I11" s="96"/>
    </row>
    <row r="12" spans="1:9" ht="18" customHeight="1" x14ac:dyDescent="0.15">
      <c r="A12" s="96">
        <v>8</v>
      </c>
      <c r="B12" s="118" t="s">
        <v>138</v>
      </c>
      <c r="C12" s="96" t="s">
        <v>140</v>
      </c>
      <c r="D12" s="97" t="s">
        <v>96</v>
      </c>
      <c r="E12" s="114">
        <v>1.65</v>
      </c>
      <c r="F12" s="98">
        <v>0.125</v>
      </c>
      <c r="G12" s="93" t="s">
        <v>110</v>
      </c>
      <c r="H12" s="99">
        <f>VLOOKUP($G:$G,材料单价表!$B$4:$G$40,5,0)</f>
        <v>0</v>
      </c>
      <c r="I12" s="96"/>
    </row>
    <row r="13" spans="1:9" ht="18" customHeight="1" x14ac:dyDescent="0.15">
      <c r="A13" s="96">
        <v>9</v>
      </c>
      <c r="B13" s="97" t="s">
        <v>349</v>
      </c>
      <c r="C13" s="97" t="s">
        <v>43</v>
      </c>
      <c r="D13" s="97" t="s">
        <v>96</v>
      </c>
      <c r="E13" s="96">
        <v>0.19700000000000001</v>
      </c>
      <c r="F13" s="98">
        <v>0.125</v>
      </c>
      <c r="G13" s="93" t="s">
        <v>111</v>
      </c>
      <c r="H13" s="99">
        <f>VLOOKUP($G:$G,材料单价表!$B$4:$G$40,5,0)</f>
        <v>0</v>
      </c>
      <c r="I13" s="96"/>
    </row>
    <row r="14" spans="1:9" ht="18" customHeight="1" x14ac:dyDescent="0.15">
      <c r="A14" s="96">
        <v>10</v>
      </c>
      <c r="B14" s="97" t="s">
        <v>101</v>
      </c>
      <c r="C14" s="97" t="s">
        <v>95</v>
      </c>
      <c r="D14" s="97" t="s">
        <v>96</v>
      </c>
      <c r="E14" s="96">
        <v>0.20399999999999999</v>
      </c>
      <c r="F14" s="98">
        <v>0.125</v>
      </c>
      <c r="G14" s="93" t="s">
        <v>111</v>
      </c>
      <c r="H14" s="99">
        <f>VLOOKUP($G:$G,材料单价表!$B$4:$G$40,5,0)</f>
        <v>0</v>
      </c>
      <c r="I14" s="96"/>
    </row>
    <row r="15" spans="1:9" ht="18" customHeight="1" x14ac:dyDescent="0.15">
      <c r="A15" s="96">
        <v>11</v>
      </c>
      <c r="B15" s="97" t="s">
        <v>363</v>
      </c>
      <c r="C15" s="97" t="s">
        <v>43</v>
      </c>
      <c r="D15" s="97" t="s">
        <v>96</v>
      </c>
      <c r="E15" s="96">
        <v>0.253</v>
      </c>
      <c r="F15" s="98">
        <v>0.125</v>
      </c>
      <c r="G15" s="93" t="s">
        <v>111</v>
      </c>
      <c r="H15" s="99">
        <f>VLOOKUP($G:$G,材料单价表!$B$4:$G$40,5,0)</f>
        <v>0</v>
      </c>
      <c r="I15" s="96"/>
    </row>
    <row r="16" spans="1:9" ht="18" customHeight="1" x14ac:dyDescent="0.15">
      <c r="A16" s="96">
        <v>12</v>
      </c>
      <c r="B16" s="97" t="s">
        <v>364</v>
      </c>
      <c r="C16" s="97" t="s">
        <v>95</v>
      </c>
      <c r="D16" s="97" t="s">
        <v>96</v>
      </c>
      <c r="E16" s="96">
        <v>0.27400000000000002</v>
      </c>
      <c r="F16" s="98">
        <v>0.125</v>
      </c>
      <c r="G16" s="93" t="s">
        <v>111</v>
      </c>
      <c r="H16" s="99">
        <f>VLOOKUP($G:$G,材料单价表!$B$4:$G$40,5,0)</f>
        <v>0</v>
      </c>
      <c r="I16" s="96"/>
    </row>
    <row r="17" spans="1:9" ht="18" customHeight="1" x14ac:dyDescent="0.15">
      <c r="A17" s="96">
        <v>13</v>
      </c>
      <c r="B17" s="97" t="s">
        <v>365</v>
      </c>
      <c r="C17" s="97" t="s">
        <v>43</v>
      </c>
      <c r="D17" s="97" t="s">
        <v>96</v>
      </c>
      <c r="E17" s="96">
        <v>0.193</v>
      </c>
      <c r="F17" s="98">
        <v>0.125</v>
      </c>
      <c r="G17" s="93" t="s">
        <v>111</v>
      </c>
      <c r="H17" s="99">
        <f>VLOOKUP($G:$G,材料单价表!$B$4:$G$40,5,0)</f>
        <v>0</v>
      </c>
      <c r="I17" s="96"/>
    </row>
    <row r="18" spans="1:9" ht="18" customHeight="1" x14ac:dyDescent="0.15">
      <c r="A18" s="96">
        <v>14</v>
      </c>
      <c r="B18" s="97" t="s">
        <v>366</v>
      </c>
      <c r="C18" s="97" t="s">
        <v>95</v>
      </c>
      <c r="D18" s="97" t="s">
        <v>96</v>
      </c>
      <c r="E18" s="96">
        <v>0.19600000000000001</v>
      </c>
      <c r="F18" s="98">
        <v>0.125</v>
      </c>
      <c r="G18" s="93" t="s">
        <v>111</v>
      </c>
      <c r="H18" s="99">
        <f>VLOOKUP($G:$G,材料单价表!$B$4:$G$40,5,0)</f>
        <v>0</v>
      </c>
      <c r="I18" s="96"/>
    </row>
    <row r="19" spans="1:9" ht="18" customHeight="1" x14ac:dyDescent="0.15">
      <c r="A19" s="96">
        <v>15</v>
      </c>
      <c r="B19" s="97" t="s">
        <v>367</v>
      </c>
      <c r="C19" s="97" t="s">
        <v>43</v>
      </c>
      <c r="D19" s="97" t="s">
        <v>96</v>
      </c>
      <c r="E19" s="96">
        <v>0.20399999999999999</v>
      </c>
      <c r="F19" s="98">
        <v>0.125</v>
      </c>
      <c r="G19" s="93" t="s">
        <v>111</v>
      </c>
      <c r="H19" s="99">
        <f>VLOOKUP($G:$G,材料单价表!$B$4:$G$40,5,0)</f>
        <v>0</v>
      </c>
      <c r="I19" s="96"/>
    </row>
    <row r="20" spans="1:9" ht="18" customHeight="1" x14ac:dyDescent="0.15">
      <c r="A20" s="96">
        <v>16</v>
      </c>
      <c r="B20" s="97" t="s">
        <v>368</v>
      </c>
      <c r="C20" s="97" t="s">
        <v>95</v>
      </c>
      <c r="D20" s="97" t="s">
        <v>96</v>
      </c>
      <c r="E20" s="96">
        <v>0.215</v>
      </c>
      <c r="F20" s="98">
        <v>0.125</v>
      </c>
      <c r="G20" s="93" t="s">
        <v>111</v>
      </c>
      <c r="H20" s="99">
        <f>VLOOKUP($G:$G,材料单价表!$B$4:$G$40,5,0)</f>
        <v>0</v>
      </c>
      <c r="I20" s="96"/>
    </row>
    <row r="21" spans="1:9" ht="18" customHeight="1" x14ac:dyDescent="0.15">
      <c r="A21" s="96">
        <v>17</v>
      </c>
      <c r="B21" s="97" t="s">
        <v>369</v>
      </c>
      <c r="C21" s="97" t="s">
        <v>43</v>
      </c>
      <c r="D21" s="97" t="s">
        <v>96</v>
      </c>
      <c r="E21" s="96">
        <v>0.20399999999999999</v>
      </c>
      <c r="F21" s="98">
        <v>0.125</v>
      </c>
      <c r="G21" s="93" t="s">
        <v>111</v>
      </c>
      <c r="H21" s="99">
        <f>VLOOKUP($G:$G,材料单价表!$B$4:$G$40,5,0)</f>
        <v>0</v>
      </c>
      <c r="I21" s="96"/>
    </row>
    <row r="22" spans="1:9" ht="18" customHeight="1" x14ac:dyDescent="0.15">
      <c r="A22" s="96">
        <v>18</v>
      </c>
      <c r="B22" s="97" t="s">
        <v>370</v>
      </c>
      <c r="C22" s="97" t="s">
        <v>95</v>
      </c>
      <c r="D22" s="97" t="s">
        <v>96</v>
      </c>
      <c r="E22" s="96">
        <v>0.21299999999999999</v>
      </c>
      <c r="F22" s="98">
        <v>0.125</v>
      </c>
      <c r="G22" s="93" t="s">
        <v>111</v>
      </c>
      <c r="H22" s="99">
        <f>VLOOKUP($G:$G,材料单价表!$B$4:$G$40,5,0)</f>
        <v>0</v>
      </c>
      <c r="I22" s="96"/>
    </row>
    <row r="23" spans="1:9" ht="18" customHeight="1" x14ac:dyDescent="0.15">
      <c r="A23" s="96">
        <v>19</v>
      </c>
      <c r="B23" s="97" t="s">
        <v>350</v>
      </c>
      <c r="C23" s="97" t="s">
        <v>445</v>
      </c>
      <c r="D23" s="97"/>
      <c r="E23" s="96">
        <v>2.0950000000000002</v>
      </c>
      <c r="F23" s="98">
        <v>0.125</v>
      </c>
      <c r="G23" s="93" t="s">
        <v>112</v>
      </c>
      <c r="H23" s="99">
        <f>VLOOKUP($G:$G,材料单价表!$B$4:$G$40,5,0)</f>
        <v>0</v>
      </c>
      <c r="I23" s="96"/>
    </row>
    <row r="24" spans="1:9" ht="18" customHeight="1" x14ac:dyDescent="0.15">
      <c r="A24" s="96">
        <v>20</v>
      </c>
      <c r="B24" s="97" t="s">
        <v>351</v>
      </c>
      <c r="C24" s="97" t="s">
        <v>445</v>
      </c>
      <c r="D24" s="97"/>
      <c r="E24" s="96">
        <v>1.7490000000000001</v>
      </c>
      <c r="F24" s="98">
        <v>0.125</v>
      </c>
      <c r="G24" s="93" t="s">
        <v>112</v>
      </c>
      <c r="H24" s="99">
        <f>VLOOKUP($G:$G,材料单价表!$B$4:$G$40,5,0)</f>
        <v>0</v>
      </c>
      <c r="I24" s="96"/>
    </row>
    <row r="25" spans="1:9" ht="18" customHeight="1" x14ac:dyDescent="0.15">
      <c r="A25" s="96">
        <v>21</v>
      </c>
      <c r="B25" s="96" t="s">
        <v>131</v>
      </c>
      <c r="C25" s="96" t="s">
        <v>130</v>
      </c>
      <c r="D25" s="97"/>
      <c r="E25" s="96">
        <v>1.4730000000000001</v>
      </c>
      <c r="F25" s="98">
        <v>0.125</v>
      </c>
      <c r="G25" s="93" t="s">
        <v>112</v>
      </c>
      <c r="H25" s="99">
        <f>VLOOKUP($G:$G,材料单价表!$B$4:$G$40,5,0)</f>
        <v>0</v>
      </c>
      <c r="I25" s="96"/>
    </row>
    <row r="26" spans="1:9" ht="18" customHeight="1" x14ac:dyDescent="0.15">
      <c r="A26" s="96">
        <v>22</v>
      </c>
      <c r="B26" s="96" t="s">
        <v>132</v>
      </c>
      <c r="C26" s="96" t="s">
        <v>130</v>
      </c>
      <c r="D26" s="97"/>
      <c r="E26" s="96">
        <v>0.90400000000000003</v>
      </c>
      <c r="F26" s="98">
        <v>0.125</v>
      </c>
      <c r="G26" s="93" t="s">
        <v>112</v>
      </c>
      <c r="H26" s="99">
        <f>VLOOKUP($G:$G,材料单价表!$B$4:$G$40,5,0)</f>
        <v>0</v>
      </c>
      <c r="I26" s="96"/>
    </row>
    <row r="27" spans="1:9" ht="18" customHeight="1" x14ac:dyDescent="0.15">
      <c r="A27" s="96">
        <v>23</v>
      </c>
      <c r="B27" s="96" t="s">
        <v>371</v>
      </c>
      <c r="C27" s="96" t="s">
        <v>376</v>
      </c>
      <c r="D27" s="97"/>
      <c r="E27" s="96">
        <v>2.996</v>
      </c>
      <c r="F27" s="98">
        <v>0.125</v>
      </c>
      <c r="G27" s="93" t="s">
        <v>112</v>
      </c>
      <c r="H27" s="99">
        <f>VLOOKUP($G:$G,材料单价表!$B$4:$G$40,5,0)</f>
        <v>0</v>
      </c>
      <c r="I27" s="96"/>
    </row>
    <row r="28" spans="1:9" ht="18" customHeight="1" x14ac:dyDescent="0.15">
      <c r="A28" s="96">
        <v>24</v>
      </c>
      <c r="B28" s="96" t="s">
        <v>372</v>
      </c>
      <c r="C28" s="96" t="s">
        <v>376</v>
      </c>
      <c r="D28" s="97"/>
      <c r="E28" s="96">
        <v>2.2250000000000001</v>
      </c>
      <c r="F28" s="98">
        <v>0.125</v>
      </c>
      <c r="G28" s="93" t="s">
        <v>112</v>
      </c>
      <c r="H28" s="99">
        <f>VLOOKUP($G:$G,材料单价表!$B$4:$G$40,5,0)</f>
        <v>0</v>
      </c>
      <c r="I28" s="96"/>
    </row>
    <row r="29" spans="1:9" ht="18" customHeight="1" x14ac:dyDescent="0.15">
      <c r="A29" s="96">
        <v>25</v>
      </c>
      <c r="B29" s="96" t="s">
        <v>373</v>
      </c>
      <c r="C29" s="96" t="s">
        <v>376</v>
      </c>
      <c r="D29" s="97"/>
      <c r="E29" s="96">
        <v>2.1019999999999999</v>
      </c>
      <c r="F29" s="98">
        <v>0.125</v>
      </c>
      <c r="G29" s="93" t="s">
        <v>112</v>
      </c>
      <c r="H29" s="99">
        <f>VLOOKUP($G:$G,材料单价表!$B$4:$G$40,5,0)</f>
        <v>0</v>
      </c>
      <c r="I29" s="96"/>
    </row>
    <row r="30" spans="1:9" ht="18" customHeight="1" x14ac:dyDescent="0.15">
      <c r="A30" s="96">
        <v>26</v>
      </c>
      <c r="B30" s="96" t="s">
        <v>374</v>
      </c>
      <c r="C30" s="96" t="s">
        <v>376</v>
      </c>
      <c r="D30" s="97"/>
      <c r="E30" s="96">
        <v>3.0219999999999998</v>
      </c>
      <c r="F30" s="98">
        <v>0.125</v>
      </c>
      <c r="G30" s="93" t="s">
        <v>112</v>
      </c>
      <c r="H30" s="99">
        <f>VLOOKUP($G:$G,材料单价表!$B$4:$G$40,5,0)</f>
        <v>0</v>
      </c>
      <c r="I30" s="96"/>
    </row>
    <row r="31" spans="1:9" ht="18" customHeight="1" x14ac:dyDescent="0.15">
      <c r="A31" s="96">
        <v>27</v>
      </c>
      <c r="B31" s="96" t="s">
        <v>375</v>
      </c>
      <c r="C31" s="96" t="s">
        <v>376</v>
      </c>
      <c r="D31" s="97"/>
      <c r="E31" s="96">
        <v>4.7119999999999997</v>
      </c>
      <c r="F31" s="98">
        <v>0.125</v>
      </c>
      <c r="G31" s="93" t="s">
        <v>112</v>
      </c>
      <c r="H31" s="99">
        <f>VLOOKUP($G:$G,材料单价表!$B$4:$G$40,5,0)</f>
        <v>0</v>
      </c>
      <c r="I31" s="96"/>
    </row>
    <row r="32" spans="1:9" ht="18" customHeight="1" x14ac:dyDescent="0.15">
      <c r="A32" s="96"/>
      <c r="B32" s="96"/>
      <c r="C32" s="96"/>
      <c r="D32" s="97"/>
      <c r="E32" s="96"/>
      <c r="F32" s="98"/>
      <c r="G32" s="93"/>
      <c r="H32" s="99"/>
      <c r="I32" s="96"/>
    </row>
    <row r="33" spans="1:9" s="149" customFormat="1" ht="18" customHeight="1" x14ac:dyDescent="0.15">
      <c r="A33" s="150" t="s">
        <v>250</v>
      </c>
      <c r="B33" s="150" t="s">
        <v>251</v>
      </c>
      <c r="C33" s="150"/>
      <c r="D33" s="94"/>
      <c r="E33" s="150"/>
      <c r="F33" s="150"/>
      <c r="G33" s="150"/>
      <c r="H33" s="150"/>
      <c r="I33" s="150"/>
    </row>
    <row r="34" spans="1:9" ht="18" customHeight="1" x14ac:dyDescent="0.15">
      <c r="A34" s="96">
        <v>1</v>
      </c>
      <c r="B34" s="96" t="s">
        <v>252</v>
      </c>
      <c r="C34" s="96" t="s">
        <v>253</v>
      </c>
      <c r="D34" s="97" t="s">
        <v>259</v>
      </c>
      <c r="E34" s="96">
        <v>1.02</v>
      </c>
      <c r="F34" s="98">
        <v>0.125</v>
      </c>
      <c r="G34" s="93" t="s">
        <v>110</v>
      </c>
      <c r="H34" s="99">
        <f>VLOOKUP($G:$G,材料单价表!$B$4:$G$40,5,0)</f>
        <v>0</v>
      </c>
      <c r="I34" s="96"/>
    </row>
    <row r="35" spans="1:9" ht="18" customHeight="1" x14ac:dyDescent="0.15">
      <c r="A35" s="96">
        <v>2</v>
      </c>
      <c r="B35" s="96" t="s">
        <v>254</v>
      </c>
      <c r="C35" s="96" t="s">
        <v>255</v>
      </c>
      <c r="D35" s="97" t="s">
        <v>259</v>
      </c>
      <c r="E35" s="96">
        <v>1.1619999999999999</v>
      </c>
      <c r="F35" s="98">
        <v>0.125</v>
      </c>
      <c r="G35" s="93" t="s">
        <v>110</v>
      </c>
      <c r="H35" s="99">
        <f>VLOOKUP($G:$G,材料单价表!$B$4:$G$40,5,0)</f>
        <v>0</v>
      </c>
      <c r="I35" s="96"/>
    </row>
    <row r="36" spans="1:9" ht="18" customHeight="1" x14ac:dyDescent="0.15">
      <c r="A36" s="96">
        <v>3</v>
      </c>
      <c r="B36" s="96" t="s">
        <v>256</v>
      </c>
      <c r="C36" s="96" t="s">
        <v>257</v>
      </c>
      <c r="D36" s="97" t="s">
        <v>258</v>
      </c>
      <c r="E36" s="96">
        <v>1.2210000000000001</v>
      </c>
      <c r="F36" s="98">
        <v>0.125</v>
      </c>
      <c r="G36" s="93" t="s">
        <v>110</v>
      </c>
      <c r="H36" s="99">
        <f>VLOOKUP($G:$G,材料单价表!$B$4:$G$40,5,0)</f>
        <v>0</v>
      </c>
      <c r="I36" s="96"/>
    </row>
    <row r="37" spans="1:9" ht="18" customHeight="1" x14ac:dyDescent="0.15">
      <c r="A37" s="96">
        <v>4</v>
      </c>
      <c r="B37" s="96" t="s">
        <v>260</v>
      </c>
      <c r="C37" s="96" t="s">
        <v>257</v>
      </c>
      <c r="D37" s="97" t="s">
        <v>258</v>
      </c>
      <c r="E37" s="96">
        <v>1.24</v>
      </c>
      <c r="F37" s="98">
        <v>0.125</v>
      </c>
      <c r="G37" s="93" t="s">
        <v>110</v>
      </c>
      <c r="H37" s="99">
        <f>VLOOKUP($G:$G,材料单价表!$B$4:$G$40,5,0)</f>
        <v>0</v>
      </c>
      <c r="I37" s="96"/>
    </row>
    <row r="38" spans="1:9" ht="18" customHeight="1" x14ac:dyDescent="0.15">
      <c r="A38" s="96">
        <v>5</v>
      </c>
      <c r="B38" s="96" t="s">
        <v>261</v>
      </c>
      <c r="C38" s="96" t="s">
        <v>263</v>
      </c>
      <c r="D38" s="97" t="s">
        <v>258</v>
      </c>
      <c r="E38" s="96">
        <v>1.194</v>
      </c>
      <c r="F38" s="98">
        <v>0.125</v>
      </c>
      <c r="G38" s="93" t="s">
        <v>110</v>
      </c>
      <c r="H38" s="99">
        <f>VLOOKUP($G:$G,材料单价表!$B$4:$G$40,5,0)</f>
        <v>0</v>
      </c>
      <c r="I38" s="96"/>
    </row>
    <row r="39" spans="1:9" ht="18" customHeight="1" x14ac:dyDescent="0.15">
      <c r="A39" s="96">
        <v>6</v>
      </c>
      <c r="B39" s="96" t="s">
        <v>262</v>
      </c>
      <c r="C39" s="96" t="s">
        <v>264</v>
      </c>
      <c r="D39" s="97" t="s">
        <v>258</v>
      </c>
      <c r="E39" s="96">
        <v>1.5980000000000001</v>
      </c>
      <c r="F39" s="98">
        <v>0.125</v>
      </c>
      <c r="G39" s="93" t="s">
        <v>110</v>
      </c>
      <c r="H39" s="99">
        <f>VLOOKUP($G:$G,材料单价表!$B$4:$G$40,5,0)</f>
        <v>0</v>
      </c>
      <c r="I39" s="96"/>
    </row>
    <row r="40" spans="1:9" ht="18" customHeight="1" x14ac:dyDescent="0.15">
      <c r="A40" s="96">
        <v>7</v>
      </c>
      <c r="B40" s="96" t="s">
        <v>265</v>
      </c>
      <c r="C40" s="96" t="s">
        <v>130</v>
      </c>
      <c r="D40" s="97" t="s">
        <v>258</v>
      </c>
      <c r="E40" s="96">
        <v>1.4730000000000001</v>
      </c>
      <c r="F40" s="98">
        <v>0.125</v>
      </c>
      <c r="G40" s="93" t="s">
        <v>112</v>
      </c>
      <c r="H40" s="99">
        <f>VLOOKUP($G:$G,材料单价表!$B$4:$G$40,5,0)</f>
        <v>0</v>
      </c>
      <c r="I40" s="96"/>
    </row>
    <row r="41" spans="1:9" ht="18" customHeight="1" x14ac:dyDescent="0.15">
      <c r="A41" s="96">
        <v>8</v>
      </c>
      <c r="B41" s="96" t="s">
        <v>266</v>
      </c>
      <c r="C41" s="96" t="s">
        <v>130</v>
      </c>
      <c r="D41" s="97" t="s">
        <v>258</v>
      </c>
      <c r="E41" s="96">
        <v>0.90400000000000003</v>
      </c>
      <c r="F41" s="98">
        <v>0.125</v>
      </c>
      <c r="G41" s="93" t="s">
        <v>112</v>
      </c>
      <c r="H41" s="99">
        <f>VLOOKUP($G:$G,材料单价表!$B$4:$G$40,5,0)</f>
        <v>0</v>
      </c>
      <c r="I41" s="96"/>
    </row>
    <row r="42" spans="1:9" ht="18" customHeight="1" x14ac:dyDescent="0.15">
      <c r="A42" s="96">
        <v>9</v>
      </c>
      <c r="B42" s="96" t="s">
        <v>267</v>
      </c>
      <c r="C42" s="96" t="s">
        <v>268</v>
      </c>
      <c r="D42" s="97" t="s">
        <v>258</v>
      </c>
      <c r="E42" s="96">
        <v>0.877</v>
      </c>
      <c r="F42" s="98">
        <v>0.125</v>
      </c>
      <c r="G42" s="93" t="s">
        <v>110</v>
      </c>
      <c r="H42" s="99">
        <f>VLOOKUP($G:$G,材料单价表!$B$4:$G$40,5,0)</f>
        <v>0</v>
      </c>
      <c r="I42" s="96"/>
    </row>
    <row r="43" spans="1:9" ht="18" customHeight="1" x14ac:dyDescent="0.15">
      <c r="A43" s="96">
        <v>10</v>
      </c>
      <c r="B43" s="96" t="s">
        <v>269</v>
      </c>
      <c r="C43" s="96" t="s">
        <v>270</v>
      </c>
      <c r="D43" s="97" t="s">
        <v>258</v>
      </c>
      <c r="E43" s="96">
        <v>1.2430000000000001</v>
      </c>
      <c r="F43" s="98">
        <v>0.125</v>
      </c>
      <c r="G43" s="93" t="s">
        <v>110</v>
      </c>
      <c r="H43" s="99">
        <f>VLOOKUP($G:$G,材料单价表!$B$4:$G$40,5,0)</f>
        <v>0</v>
      </c>
      <c r="I43" s="96"/>
    </row>
    <row r="44" spans="1:9" ht="18" customHeight="1" x14ac:dyDescent="0.15">
      <c r="A44" s="96">
        <v>11</v>
      </c>
      <c r="B44" s="96" t="s">
        <v>271</v>
      </c>
      <c r="C44" s="97" t="s">
        <v>97</v>
      </c>
      <c r="D44" s="97" t="s">
        <v>258</v>
      </c>
      <c r="E44" s="96">
        <v>1.7490000000000001</v>
      </c>
      <c r="F44" s="98">
        <v>0.125</v>
      </c>
      <c r="G44" s="93" t="s">
        <v>112</v>
      </c>
      <c r="H44" s="99">
        <f>VLOOKUP($G:$G,材料单价表!$B$4:$G$40,5,0)</f>
        <v>0</v>
      </c>
      <c r="I44" s="96"/>
    </row>
    <row r="45" spans="1:9" ht="18" customHeight="1" x14ac:dyDescent="0.15">
      <c r="A45" s="96">
        <v>12</v>
      </c>
      <c r="B45" s="96" t="s">
        <v>272</v>
      </c>
      <c r="C45" s="96" t="s">
        <v>273</v>
      </c>
      <c r="D45" s="97" t="s">
        <v>258</v>
      </c>
      <c r="E45" s="96">
        <v>0.221</v>
      </c>
      <c r="F45" s="98">
        <v>0.125</v>
      </c>
      <c r="G45" s="93" t="s">
        <v>111</v>
      </c>
      <c r="H45" s="99">
        <f>VLOOKUP($G:$G,材料单价表!$B$4:$G$40,5,0)</f>
        <v>0</v>
      </c>
      <c r="I45" s="96"/>
    </row>
    <row r="46" spans="1:9" ht="18" customHeight="1" x14ac:dyDescent="0.15">
      <c r="A46" s="96">
        <v>13</v>
      </c>
      <c r="B46" s="96" t="s">
        <v>274</v>
      </c>
      <c r="C46" s="96" t="s">
        <v>273</v>
      </c>
      <c r="D46" s="97" t="s">
        <v>258</v>
      </c>
      <c r="E46" s="96">
        <v>0.214</v>
      </c>
      <c r="F46" s="98">
        <v>0.125</v>
      </c>
      <c r="G46" s="93" t="s">
        <v>111</v>
      </c>
      <c r="H46" s="99">
        <f>VLOOKUP($G:$G,材料单价表!$B$4:$G$40,5,0)</f>
        <v>0</v>
      </c>
      <c r="I46" s="96"/>
    </row>
    <row r="47" spans="1:9" ht="18" customHeight="1" x14ac:dyDescent="0.15">
      <c r="A47" s="96">
        <v>14</v>
      </c>
      <c r="B47" s="96" t="s">
        <v>275</v>
      </c>
      <c r="C47" s="96" t="s">
        <v>276</v>
      </c>
      <c r="D47" s="97" t="s">
        <v>258</v>
      </c>
      <c r="E47" s="96">
        <v>0.108</v>
      </c>
      <c r="F47" s="98">
        <v>0.125</v>
      </c>
      <c r="G47" s="93" t="s">
        <v>111</v>
      </c>
      <c r="H47" s="99">
        <f>VLOOKUP($G:$G,材料单价表!$B$4:$G$40,5,0)</f>
        <v>0</v>
      </c>
      <c r="I47" s="96"/>
    </row>
    <row r="48" spans="1:9" ht="18" customHeight="1" x14ac:dyDescent="0.15">
      <c r="A48" s="96"/>
      <c r="B48" s="96"/>
      <c r="C48" s="96"/>
      <c r="D48" s="96"/>
      <c r="E48" s="96"/>
      <c r="F48" s="96"/>
      <c r="G48" s="96"/>
      <c r="H48" s="99"/>
      <c r="I48" s="96"/>
    </row>
    <row r="49" spans="1:9" s="149" customFormat="1" ht="18" customHeight="1" x14ac:dyDescent="0.15">
      <c r="A49" s="150" t="s">
        <v>277</v>
      </c>
      <c r="B49" s="150" t="s">
        <v>278</v>
      </c>
      <c r="C49" s="150"/>
      <c r="D49" s="150"/>
      <c r="E49" s="150"/>
      <c r="F49" s="150"/>
      <c r="G49" s="150"/>
      <c r="H49" s="151"/>
      <c r="I49" s="150"/>
    </row>
    <row r="50" spans="1:9" ht="18" customHeight="1" x14ac:dyDescent="0.15">
      <c r="A50" s="96">
        <v>1</v>
      </c>
      <c r="B50" s="96" t="s">
        <v>279</v>
      </c>
      <c r="C50" s="96" t="s">
        <v>253</v>
      </c>
      <c r="D50" s="97" t="s">
        <v>281</v>
      </c>
      <c r="E50" s="96">
        <v>1.0089999999999999</v>
      </c>
      <c r="F50" s="98">
        <v>0.125</v>
      </c>
      <c r="G50" s="93" t="s">
        <v>110</v>
      </c>
      <c r="H50" s="99">
        <f>VLOOKUP($G:$G,材料单价表!$B$4:$G$40,5,0)</f>
        <v>0</v>
      </c>
      <c r="I50" s="96"/>
    </row>
    <row r="51" spans="1:9" ht="18" customHeight="1" x14ac:dyDescent="0.15">
      <c r="A51" s="96">
        <v>2</v>
      </c>
      <c r="B51" s="96" t="s">
        <v>282</v>
      </c>
      <c r="C51" s="96" t="s">
        <v>255</v>
      </c>
      <c r="D51" s="97" t="s">
        <v>281</v>
      </c>
      <c r="E51" s="96">
        <v>1.1499999999999999</v>
      </c>
      <c r="F51" s="98">
        <v>0.125</v>
      </c>
      <c r="G51" s="93" t="s">
        <v>110</v>
      </c>
      <c r="H51" s="99">
        <f>VLOOKUP($G:$G,材料单价表!$B$4:$G$40,5,0)</f>
        <v>0</v>
      </c>
      <c r="I51" s="96"/>
    </row>
    <row r="52" spans="1:9" ht="18" customHeight="1" x14ac:dyDescent="0.15">
      <c r="A52" s="96">
        <v>3</v>
      </c>
      <c r="B52" s="96" t="s">
        <v>283</v>
      </c>
      <c r="C52" s="96" t="s">
        <v>257</v>
      </c>
      <c r="D52" s="97" t="s">
        <v>280</v>
      </c>
      <c r="E52" s="96">
        <v>1.21</v>
      </c>
      <c r="F52" s="98">
        <v>0.125</v>
      </c>
      <c r="G52" s="93" t="s">
        <v>110</v>
      </c>
      <c r="H52" s="99">
        <f>VLOOKUP($G:$G,材料单价表!$B$4:$G$40,5,0)</f>
        <v>0</v>
      </c>
      <c r="I52" s="96"/>
    </row>
    <row r="53" spans="1:9" ht="18" customHeight="1" x14ac:dyDescent="0.15">
      <c r="A53" s="96">
        <v>4</v>
      </c>
      <c r="B53" s="96" t="s">
        <v>284</v>
      </c>
      <c r="C53" s="96" t="s">
        <v>257</v>
      </c>
      <c r="D53" s="97" t="s">
        <v>280</v>
      </c>
      <c r="E53" s="96">
        <v>1.224</v>
      </c>
      <c r="F53" s="98">
        <v>0.125</v>
      </c>
      <c r="G53" s="93" t="s">
        <v>110</v>
      </c>
      <c r="H53" s="99">
        <f>VLOOKUP($G:$G,材料单价表!$B$4:$G$40,5,0)</f>
        <v>0</v>
      </c>
      <c r="I53" s="96"/>
    </row>
    <row r="54" spans="1:9" ht="18" customHeight="1" x14ac:dyDescent="0.15">
      <c r="A54" s="96">
        <v>5</v>
      </c>
      <c r="B54" s="96" t="s">
        <v>285</v>
      </c>
      <c r="C54" s="96" t="s">
        <v>263</v>
      </c>
      <c r="D54" s="97" t="s">
        <v>280</v>
      </c>
      <c r="E54" s="96">
        <v>1.1830000000000001</v>
      </c>
      <c r="F54" s="98">
        <v>0.125</v>
      </c>
      <c r="G54" s="93" t="s">
        <v>110</v>
      </c>
      <c r="H54" s="99">
        <f>VLOOKUP($G:$G,材料单价表!$B$4:$G$40,5,0)</f>
        <v>0</v>
      </c>
      <c r="I54" s="96"/>
    </row>
    <row r="55" spans="1:9" ht="18" customHeight="1" x14ac:dyDescent="0.15">
      <c r="A55" s="96">
        <v>6</v>
      </c>
      <c r="B55" s="96" t="s">
        <v>286</v>
      </c>
      <c r="C55" s="96" t="s">
        <v>268</v>
      </c>
      <c r="D55" s="97" t="s">
        <v>280</v>
      </c>
      <c r="E55" s="96">
        <v>0.86599999999999999</v>
      </c>
      <c r="F55" s="98">
        <v>0.125</v>
      </c>
      <c r="G55" s="93" t="s">
        <v>110</v>
      </c>
      <c r="H55" s="99">
        <f>VLOOKUP($G:$G,材料单价表!$B$4:$G$40,5,0)</f>
        <v>0</v>
      </c>
      <c r="I55" s="96"/>
    </row>
    <row r="56" spans="1:9" ht="18" customHeight="1" x14ac:dyDescent="0.15">
      <c r="A56" s="96">
        <v>7</v>
      </c>
      <c r="B56" s="96" t="s">
        <v>287</v>
      </c>
      <c r="C56" s="96" t="s">
        <v>130</v>
      </c>
      <c r="D56" s="97" t="s">
        <v>280</v>
      </c>
      <c r="E56" s="96">
        <v>0.69</v>
      </c>
      <c r="F56" s="98">
        <v>0.125</v>
      </c>
      <c r="G56" s="93" t="s">
        <v>112</v>
      </c>
      <c r="H56" s="99">
        <f>VLOOKUP($G:$G,材料单价表!$B$4:$G$40,5,0)</f>
        <v>0</v>
      </c>
      <c r="I56" s="96"/>
    </row>
    <row r="57" spans="1:9" ht="18" customHeight="1" x14ac:dyDescent="0.15">
      <c r="A57" s="96">
        <v>8</v>
      </c>
      <c r="B57" s="96" t="s">
        <v>288</v>
      </c>
      <c r="C57" s="96" t="s">
        <v>270</v>
      </c>
      <c r="D57" s="97" t="s">
        <v>280</v>
      </c>
      <c r="E57" s="96">
        <v>1.254</v>
      </c>
      <c r="F57" s="98">
        <v>0.125</v>
      </c>
      <c r="G57" s="93" t="s">
        <v>110</v>
      </c>
      <c r="H57" s="99">
        <f>VLOOKUP($G:$G,材料单价表!$B$4:$G$40,5,0)</f>
        <v>0</v>
      </c>
      <c r="I57" s="96"/>
    </row>
    <row r="58" spans="1:9" ht="18" customHeight="1" x14ac:dyDescent="0.15">
      <c r="A58" s="96">
        <v>9</v>
      </c>
      <c r="B58" s="148" t="s">
        <v>289</v>
      </c>
      <c r="C58" s="96" t="s">
        <v>264</v>
      </c>
      <c r="D58" s="97" t="s">
        <v>280</v>
      </c>
      <c r="E58" s="96">
        <v>1.587</v>
      </c>
      <c r="F58" s="98">
        <v>0.125</v>
      </c>
      <c r="G58" s="93" t="s">
        <v>110</v>
      </c>
      <c r="H58" s="99">
        <f>VLOOKUP($G:$G,材料单价表!$B$4:$G$40,5,0)</f>
        <v>0</v>
      </c>
      <c r="I58" s="96"/>
    </row>
    <row r="59" spans="1:9" ht="18" customHeight="1" x14ac:dyDescent="0.15">
      <c r="A59" s="96"/>
      <c r="B59" s="96"/>
      <c r="C59" s="96"/>
      <c r="D59" s="96"/>
      <c r="E59" s="96"/>
      <c r="F59" s="96"/>
      <c r="G59" s="96"/>
      <c r="H59" s="99"/>
      <c r="I59" s="96"/>
    </row>
    <row r="60" spans="1:9" s="149" customFormat="1" ht="18" customHeight="1" x14ac:dyDescent="0.15">
      <c r="A60" s="150" t="s">
        <v>290</v>
      </c>
      <c r="B60" s="150" t="s">
        <v>291</v>
      </c>
      <c r="C60" s="150"/>
      <c r="D60" s="94"/>
      <c r="E60" s="150"/>
      <c r="F60" s="150"/>
      <c r="G60" s="150"/>
      <c r="H60" s="151"/>
      <c r="I60" s="150"/>
    </row>
    <row r="61" spans="1:9" ht="18" customHeight="1" x14ac:dyDescent="0.15">
      <c r="A61" s="96">
        <v>1</v>
      </c>
      <c r="B61" s="96" t="s">
        <v>292</v>
      </c>
      <c r="C61" s="96" t="s">
        <v>253</v>
      </c>
      <c r="D61" s="97" t="s">
        <v>301</v>
      </c>
      <c r="E61" s="96">
        <v>1.044</v>
      </c>
      <c r="F61" s="98">
        <v>0.125</v>
      </c>
      <c r="G61" s="93" t="s">
        <v>110</v>
      </c>
      <c r="H61" s="99">
        <f>VLOOKUP($G:$G,材料单价表!$B$4:$G$40,5,0)</f>
        <v>0</v>
      </c>
      <c r="I61" s="96"/>
    </row>
    <row r="62" spans="1:9" ht="18" customHeight="1" x14ac:dyDescent="0.15">
      <c r="A62" s="96">
        <v>2</v>
      </c>
      <c r="B62" s="96" t="s">
        <v>293</v>
      </c>
      <c r="C62" s="96" t="s">
        <v>255</v>
      </c>
      <c r="D62" s="97" t="s">
        <v>301</v>
      </c>
      <c r="E62" s="96">
        <v>1.1859999999999999</v>
      </c>
      <c r="F62" s="98">
        <v>0.125</v>
      </c>
      <c r="G62" s="93" t="s">
        <v>110</v>
      </c>
      <c r="H62" s="99">
        <f>VLOOKUP($G:$G,材料单价表!$B$4:$G$40,5,0)</f>
        <v>0</v>
      </c>
      <c r="I62" s="96"/>
    </row>
    <row r="63" spans="1:9" ht="18" customHeight="1" x14ac:dyDescent="0.15">
      <c r="A63" s="96">
        <v>3</v>
      </c>
      <c r="B63" s="96" t="s">
        <v>294</v>
      </c>
      <c r="C63" s="96" t="s">
        <v>257</v>
      </c>
      <c r="D63" s="97" t="s">
        <v>300</v>
      </c>
      <c r="E63" s="96">
        <v>1.2450000000000001</v>
      </c>
      <c r="F63" s="98">
        <v>0.125</v>
      </c>
      <c r="G63" s="93" t="s">
        <v>110</v>
      </c>
      <c r="H63" s="99">
        <f>VLOOKUP($G:$G,材料单价表!$B$4:$G$40,5,0)</f>
        <v>0</v>
      </c>
      <c r="I63" s="96"/>
    </row>
    <row r="64" spans="1:9" ht="18" customHeight="1" x14ac:dyDescent="0.15">
      <c r="A64" s="96">
        <v>4</v>
      </c>
      <c r="B64" s="96" t="s">
        <v>295</v>
      </c>
      <c r="C64" s="96" t="s">
        <v>257</v>
      </c>
      <c r="D64" s="97" t="s">
        <v>300</v>
      </c>
      <c r="E64" s="96">
        <v>1.2669999999999999</v>
      </c>
      <c r="F64" s="98">
        <v>0.125</v>
      </c>
      <c r="G64" s="93" t="s">
        <v>110</v>
      </c>
      <c r="H64" s="99">
        <f>VLOOKUP($G:$G,材料单价表!$B$4:$G$40,5,0)</f>
        <v>0</v>
      </c>
      <c r="I64" s="96"/>
    </row>
    <row r="65" spans="1:9" ht="18" customHeight="1" x14ac:dyDescent="0.15">
      <c r="A65" s="96">
        <v>5</v>
      </c>
      <c r="B65" s="96" t="s">
        <v>296</v>
      </c>
      <c r="C65" s="96" t="s">
        <v>263</v>
      </c>
      <c r="D65" s="97" t="s">
        <v>300</v>
      </c>
      <c r="E65" s="96">
        <v>1.218</v>
      </c>
      <c r="F65" s="98">
        <v>0.125</v>
      </c>
      <c r="G65" s="93" t="s">
        <v>110</v>
      </c>
      <c r="H65" s="99">
        <f>VLOOKUP($G:$G,材料单价表!$B$4:$G$40,5,0)</f>
        <v>0</v>
      </c>
      <c r="I65" s="96"/>
    </row>
    <row r="66" spans="1:9" ht="18" customHeight="1" x14ac:dyDescent="0.15">
      <c r="A66" s="96">
        <v>6</v>
      </c>
      <c r="B66" s="96" t="s">
        <v>1670</v>
      </c>
      <c r="C66" s="96" t="s">
        <v>273</v>
      </c>
      <c r="D66" s="97" t="s">
        <v>300</v>
      </c>
      <c r="E66" s="96">
        <v>0.23799999999999999</v>
      </c>
      <c r="F66" s="98">
        <v>0.125</v>
      </c>
      <c r="G66" s="93" t="s">
        <v>111</v>
      </c>
      <c r="H66" s="99">
        <f>VLOOKUP($G:$G,材料单价表!$B$4:$G$40,5,0)</f>
        <v>0</v>
      </c>
      <c r="I66" s="96"/>
    </row>
    <row r="67" spans="1:9" ht="18" customHeight="1" x14ac:dyDescent="0.15">
      <c r="A67" s="96">
        <v>7</v>
      </c>
      <c r="B67" s="96" t="s">
        <v>1671</v>
      </c>
      <c r="C67" s="96" t="s">
        <v>268</v>
      </c>
      <c r="D67" s="97" t="s">
        <v>300</v>
      </c>
      <c r="E67" s="96">
        <v>0.90100000000000002</v>
      </c>
      <c r="F67" s="98">
        <v>0.125</v>
      </c>
      <c r="G67" s="93" t="s">
        <v>110</v>
      </c>
      <c r="H67" s="99">
        <f>VLOOKUP($G:$G,材料单价表!$B$4:$G$40,5,0)</f>
        <v>0</v>
      </c>
      <c r="I67" s="96"/>
    </row>
    <row r="68" spans="1:9" ht="18" customHeight="1" x14ac:dyDescent="0.15">
      <c r="A68" s="96">
        <v>8</v>
      </c>
      <c r="B68" s="96" t="s">
        <v>297</v>
      </c>
      <c r="C68" s="96" t="s">
        <v>264</v>
      </c>
      <c r="D68" s="97" t="s">
        <v>300</v>
      </c>
      <c r="E68" s="96">
        <v>1.6220000000000001</v>
      </c>
      <c r="F68" s="98">
        <v>0.125</v>
      </c>
      <c r="G68" s="93" t="s">
        <v>110</v>
      </c>
      <c r="H68" s="99">
        <f>VLOOKUP($G:$G,材料单价表!$B$4:$G$40,5,0)</f>
        <v>0</v>
      </c>
      <c r="I68" s="96"/>
    </row>
    <row r="69" spans="1:9" ht="18" customHeight="1" x14ac:dyDescent="0.15">
      <c r="A69" s="96">
        <v>9</v>
      </c>
      <c r="B69" s="96" t="s">
        <v>298</v>
      </c>
      <c r="C69" s="96" t="s">
        <v>273</v>
      </c>
      <c r="D69" s="97" t="s">
        <v>300</v>
      </c>
      <c r="E69" s="96">
        <v>0.25800000000000001</v>
      </c>
      <c r="F69" s="98">
        <v>0.125</v>
      </c>
      <c r="G69" s="93" t="s">
        <v>112</v>
      </c>
      <c r="H69" s="99">
        <f>VLOOKUP($G:$G,材料单价表!$B$4:$G$40,5,0)</f>
        <v>0</v>
      </c>
      <c r="I69" s="96"/>
    </row>
    <row r="70" spans="1:9" ht="18" customHeight="1" x14ac:dyDescent="0.15">
      <c r="A70" s="96">
        <v>10</v>
      </c>
      <c r="B70" s="96" t="s">
        <v>299</v>
      </c>
      <c r="C70" s="96" t="s">
        <v>270</v>
      </c>
      <c r="D70" s="97" t="s">
        <v>300</v>
      </c>
      <c r="E70" s="96">
        <v>1.3360000000000001</v>
      </c>
      <c r="F70" s="98">
        <v>0.125</v>
      </c>
      <c r="G70" s="93" t="s">
        <v>110</v>
      </c>
      <c r="H70" s="99">
        <f>VLOOKUP($G:$G,材料单价表!$B$4:$G$40,5,0)</f>
        <v>0</v>
      </c>
      <c r="I70" s="96"/>
    </row>
    <row r="71" spans="1:9" ht="18" customHeight="1" x14ac:dyDescent="0.15">
      <c r="A71" s="96"/>
      <c r="B71" s="96"/>
      <c r="C71" s="96"/>
      <c r="D71" s="96"/>
      <c r="E71" s="96"/>
      <c r="F71" s="96"/>
      <c r="G71" s="96"/>
      <c r="H71" s="99"/>
      <c r="I71" s="96"/>
    </row>
    <row r="72" spans="1:9" s="149" customFormat="1" ht="18" customHeight="1" x14ac:dyDescent="0.15">
      <c r="A72" s="150" t="s">
        <v>302</v>
      </c>
      <c r="B72" s="150" t="s">
        <v>303</v>
      </c>
      <c r="C72" s="150"/>
      <c r="D72" s="150"/>
      <c r="E72" s="150"/>
      <c r="F72" s="150"/>
      <c r="G72" s="150"/>
      <c r="H72" s="151"/>
      <c r="I72" s="150"/>
    </row>
    <row r="73" spans="1:9" ht="18" customHeight="1" x14ac:dyDescent="0.15">
      <c r="A73" s="96">
        <v>1</v>
      </c>
      <c r="B73" s="96" t="s">
        <v>304</v>
      </c>
      <c r="C73" s="96" t="s">
        <v>253</v>
      </c>
      <c r="D73" s="97" t="s">
        <v>313</v>
      </c>
      <c r="E73" s="96">
        <v>1.0429999999999999</v>
      </c>
      <c r="F73" s="98">
        <v>0.125</v>
      </c>
      <c r="G73" s="93" t="s">
        <v>110</v>
      </c>
      <c r="H73" s="99">
        <f>VLOOKUP($G:$G,材料单价表!$B$4:$G$40,5,0)</f>
        <v>0</v>
      </c>
      <c r="I73" s="96"/>
    </row>
    <row r="74" spans="1:9" ht="18" customHeight="1" x14ac:dyDescent="0.15">
      <c r="A74" s="96">
        <v>2</v>
      </c>
      <c r="B74" s="96" t="s">
        <v>305</v>
      </c>
      <c r="C74" s="96" t="s">
        <v>255</v>
      </c>
      <c r="D74" s="97" t="s">
        <v>313</v>
      </c>
      <c r="E74" s="96">
        <v>1.1850000000000001</v>
      </c>
      <c r="F74" s="98">
        <v>0.125</v>
      </c>
      <c r="G74" s="93" t="s">
        <v>110</v>
      </c>
      <c r="H74" s="99">
        <f>VLOOKUP($G:$G,材料单价表!$B$4:$G$40,5,0)</f>
        <v>0</v>
      </c>
      <c r="I74" s="96"/>
    </row>
    <row r="75" spans="1:9" ht="18" customHeight="1" x14ac:dyDescent="0.15">
      <c r="A75" s="96">
        <v>3</v>
      </c>
      <c r="B75" s="96" t="s">
        <v>306</v>
      </c>
      <c r="C75" s="96" t="s">
        <v>257</v>
      </c>
      <c r="D75" s="97" t="s">
        <v>312</v>
      </c>
      <c r="E75" s="96">
        <v>1.2450000000000001</v>
      </c>
      <c r="F75" s="98">
        <v>0.125</v>
      </c>
      <c r="G75" s="93" t="s">
        <v>110</v>
      </c>
      <c r="H75" s="99">
        <f>VLOOKUP($G:$G,材料单价表!$B$4:$G$40,5,0)</f>
        <v>0</v>
      </c>
      <c r="I75" s="96"/>
    </row>
    <row r="76" spans="1:9" ht="18" customHeight="1" x14ac:dyDescent="0.15">
      <c r="A76" s="96">
        <v>4</v>
      </c>
      <c r="B76" s="96" t="s">
        <v>307</v>
      </c>
      <c r="C76" s="96" t="s">
        <v>257</v>
      </c>
      <c r="D76" s="97" t="s">
        <v>312</v>
      </c>
      <c r="E76" s="96">
        <v>1.264</v>
      </c>
      <c r="F76" s="98">
        <v>0.125</v>
      </c>
      <c r="G76" s="93" t="s">
        <v>110</v>
      </c>
      <c r="H76" s="99">
        <f>VLOOKUP($G:$G,材料单价表!$B$4:$G$40,5,0)</f>
        <v>0</v>
      </c>
      <c r="I76" s="96"/>
    </row>
    <row r="77" spans="1:9" ht="18" customHeight="1" x14ac:dyDescent="0.15">
      <c r="A77" s="96">
        <v>5</v>
      </c>
      <c r="B77" s="96" t="s">
        <v>308</v>
      </c>
      <c r="C77" s="96" t="s">
        <v>263</v>
      </c>
      <c r="D77" s="97" t="s">
        <v>312</v>
      </c>
      <c r="E77" s="96">
        <v>1.2170000000000001</v>
      </c>
      <c r="F77" s="98">
        <v>0.125</v>
      </c>
      <c r="G77" s="93" t="s">
        <v>110</v>
      </c>
      <c r="H77" s="99">
        <f>VLOOKUP($G:$G,材料单价表!$B$4:$G$40,5,0)</f>
        <v>0</v>
      </c>
      <c r="I77" s="96"/>
    </row>
    <row r="78" spans="1:9" ht="18" customHeight="1" x14ac:dyDescent="0.15">
      <c r="A78" s="96">
        <v>6</v>
      </c>
      <c r="B78" s="96" t="s">
        <v>309</v>
      </c>
      <c r="C78" s="96" t="s">
        <v>268</v>
      </c>
      <c r="D78" s="97" t="s">
        <v>312</v>
      </c>
      <c r="E78" s="96">
        <v>0.90100000000000002</v>
      </c>
      <c r="F78" s="98">
        <v>0.125</v>
      </c>
      <c r="G78" s="93" t="s">
        <v>110</v>
      </c>
      <c r="H78" s="99">
        <f>VLOOKUP($G:$G,材料单价表!$B$4:$G$40,5,0)</f>
        <v>0</v>
      </c>
      <c r="I78" s="96"/>
    </row>
    <row r="79" spans="1:9" ht="18" customHeight="1" x14ac:dyDescent="0.15">
      <c r="A79" s="96">
        <v>7</v>
      </c>
      <c r="B79" s="96" t="s">
        <v>310</v>
      </c>
      <c r="C79" s="96" t="s">
        <v>270</v>
      </c>
      <c r="D79" s="97" t="s">
        <v>312</v>
      </c>
      <c r="E79" s="96">
        <v>1.3939999999999999</v>
      </c>
      <c r="F79" s="98">
        <v>0.125</v>
      </c>
      <c r="G79" s="93" t="s">
        <v>110</v>
      </c>
      <c r="H79" s="99">
        <f>VLOOKUP($G:$G,材料单价表!$B$4:$G$40,5,0)</f>
        <v>0</v>
      </c>
      <c r="I79" s="96"/>
    </row>
    <row r="80" spans="1:9" ht="18" customHeight="1" x14ac:dyDescent="0.15">
      <c r="A80" s="96">
        <v>8</v>
      </c>
      <c r="B80" s="96" t="s">
        <v>311</v>
      </c>
      <c r="C80" s="96" t="s">
        <v>264</v>
      </c>
      <c r="D80" s="97" t="s">
        <v>312</v>
      </c>
      <c r="E80" s="96">
        <v>1.621</v>
      </c>
      <c r="F80" s="98">
        <v>0.125</v>
      </c>
      <c r="G80" s="93" t="s">
        <v>110</v>
      </c>
      <c r="H80" s="99">
        <f>VLOOKUP($G:$G,材料单价表!$B$4:$G$40,5,0)</f>
        <v>0</v>
      </c>
      <c r="I80" s="96"/>
    </row>
    <row r="81" spans="1:9" ht="18" customHeight="1" x14ac:dyDescent="0.15">
      <c r="A81" s="96"/>
      <c r="B81" s="96"/>
      <c r="C81" s="96"/>
      <c r="D81" s="96"/>
      <c r="E81" s="96"/>
      <c r="F81" s="98"/>
      <c r="G81" s="93"/>
      <c r="H81" s="99"/>
      <c r="I81" s="96"/>
    </row>
    <row r="82" spans="1:9" s="149" customFormat="1" ht="18" customHeight="1" x14ac:dyDescent="0.15">
      <c r="A82" s="150" t="s">
        <v>314</v>
      </c>
      <c r="B82" s="150" t="s">
        <v>315</v>
      </c>
      <c r="C82" s="150"/>
      <c r="D82" s="150"/>
      <c r="E82" s="150"/>
      <c r="F82" s="152"/>
      <c r="G82" s="101"/>
      <c r="H82" s="151"/>
      <c r="I82" s="150"/>
    </row>
    <row r="83" spans="1:9" ht="18" customHeight="1" x14ac:dyDescent="0.15">
      <c r="A83" s="96">
        <v>1</v>
      </c>
      <c r="B83" s="96" t="s">
        <v>316</v>
      </c>
      <c r="C83" s="96" t="s">
        <v>253</v>
      </c>
      <c r="D83" s="97" t="s">
        <v>332</v>
      </c>
      <c r="E83" s="96">
        <v>1.143</v>
      </c>
      <c r="F83" s="98">
        <v>0.125</v>
      </c>
      <c r="G83" s="93" t="s">
        <v>110</v>
      </c>
      <c r="H83" s="99">
        <f>VLOOKUP($G:$G,材料单价表!$B$4:$G$40,5,0)</f>
        <v>0</v>
      </c>
      <c r="I83" s="96"/>
    </row>
    <row r="84" spans="1:9" ht="18" customHeight="1" x14ac:dyDescent="0.15">
      <c r="A84" s="96">
        <v>2</v>
      </c>
      <c r="B84" s="96" t="s">
        <v>317</v>
      </c>
      <c r="C84" s="96" t="s">
        <v>255</v>
      </c>
      <c r="D84" s="97" t="s">
        <v>332</v>
      </c>
      <c r="E84" s="96">
        <v>1.2849999999999999</v>
      </c>
      <c r="F84" s="98">
        <v>0.125</v>
      </c>
      <c r="G84" s="93" t="s">
        <v>110</v>
      </c>
      <c r="H84" s="99">
        <f>VLOOKUP($G:$G,材料单价表!$B$4:$G$40,5,0)</f>
        <v>0</v>
      </c>
      <c r="I84" s="96"/>
    </row>
    <row r="85" spans="1:9" ht="18" customHeight="1" x14ac:dyDescent="0.15">
      <c r="A85" s="96">
        <v>3</v>
      </c>
      <c r="B85" s="96" t="s">
        <v>318</v>
      </c>
      <c r="C85" s="96" t="s">
        <v>257</v>
      </c>
      <c r="D85" s="97" t="s">
        <v>331</v>
      </c>
      <c r="E85" s="96">
        <v>1.3660000000000001</v>
      </c>
      <c r="F85" s="98">
        <v>0.125</v>
      </c>
      <c r="G85" s="93" t="s">
        <v>110</v>
      </c>
      <c r="H85" s="99">
        <f>VLOOKUP($G:$G,材料单价表!$B$4:$G$40,5,0)</f>
        <v>0</v>
      </c>
      <c r="I85" s="96"/>
    </row>
    <row r="86" spans="1:9" ht="18" customHeight="1" x14ac:dyDescent="0.15">
      <c r="A86" s="96">
        <v>4</v>
      </c>
      <c r="B86" s="96" t="s">
        <v>319</v>
      </c>
      <c r="C86" s="96" t="s">
        <v>263</v>
      </c>
      <c r="D86" s="97" t="s">
        <v>331</v>
      </c>
      <c r="E86" s="96">
        <v>1.3180000000000001</v>
      </c>
      <c r="F86" s="98">
        <v>0.125</v>
      </c>
      <c r="G86" s="93" t="s">
        <v>110</v>
      </c>
      <c r="H86" s="99">
        <f>VLOOKUP($G:$G,材料单价表!$B$4:$G$40,5,0)</f>
        <v>0</v>
      </c>
      <c r="I86" s="96"/>
    </row>
    <row r="87" spans="1:9" ht="18" customHeight="1" x14ac:dyDescent="0.15">
      <c r="A87" s="96">
        <v>5</v>
      </c>
      <c r="B87" s="96" t="s">
        <v>320</v>
      </c>
      <c r="C87" s="96" t="s">
        <v>264</v>
      </c>
      <c r="D87" s="97" t="s">
        <v>331</v>
      </c>
      <c r="E87" s="96">
        <v>1.7210000000000001</v>
      </c>
      <c r="F87" s="98">
        <v>0.125</v>
      </c>
      <c r="G87" s="93" t="s">
        <v>110</v>
      </c>
      <c r="H87" s="99">
        <f>VLOOKUP($G:$G,材料单价表!$B$4:$G$40,5,0)</f>
        <v>0</v>
      </c>
      <c r="I87" s="96"/>
    </row>
    <row r="88" spans="1:9" ht="18" customHeight="1" x14ac:dyDescent="0.15">
      <c r="A88" s="96">
        <v>6</v>
      </c>
      <c r="B88" s="96" t="s">
        <v>321</v>
      </c>
      <c r="C88" s="96" t="s">
        <v>268</v>
      </c>
      <c r="D88" s="97" t="s">
        <v>331</v>
      </c>
      <c r="E88" s="96">
        <v>0.98599999999999999</v>
      </c>
      <c r="F88" s="98">
        <v>0.125</v>
      </c>
      <c r="G88" s="93" t="s">
        <v>110</v>
      </c>
      <c r="H88" s="99">
        <f>VLOOKUP($G:$G,材料单价表!$B$4:$G$40,5,0)</f>
        <v>0</v>
      </c>
      <c r="I88" s="96"/>
    </row>
    <row r="89" spans="1:9" ht="18" customHeight="1" x14ac:dyDescent="0.15">
      <c r="A89" s="96">
        <v>7</v>
      </c>
      <c r="B89" s="96" t="s">
        <v>322</v>
      </c>
      <c r="C89" s="96" t="s">
        <v>270</v>
      </c>
      <c r="D89" s="97" t="s">
        <v>331</v>
      </c>
      <c r="E89" s="96">
        <v>1.55</v>
      </c>
      <c r="F89" s="98">
        <v>0.125</v>
      </c>
      <c r="G89" s="93" t="s">
        <v>110</v>
      </c>
      <c r="H89" s="99">
        <f>VLOOKUP($G:$G,材料单价表!$B$4:$G$40,5,0)</f>
        <v>0</v>
      </c>
      <c r="I89" s="96"/>
    </row>
    <row r="90" spans="1:9" ht="18" customHeight="1" x14ac:dyDescent="0.15">
      <c r="A90" s="96">
        <v>8</v>
      </c>
      <c r="B90" s="96" t="s">
        <v>323</v>
      </c>
      <c r="C90" s="96" t="s">
        <v>324</v>
      </c>
      <c r="D90" s="97" t="s">
        <v>331</v>
      </c>
      <c r="E90" s="96">
        <v>0.89100000000000001</v>
      </c>
      <c r="F90" s="98">
        <v>0.125</v>
      </c>
      <c r="G90" s="93" t="s">
        <v>112</v>
      </c>
      <c r="H90" s="99">
        <f>VLOOKUP($G:$G,材料单价表!$B$4:$G$40,5,0)</f>
        <v>0</v>
      </c>
      <c r="I90" s="96"/>
    </row>
    <row r="91" spans="1:9" ht="18" customHeight="1" x14ac:dyDescent="0.15">
      <c r="A91" s="96">
        <v>9</v>
      </c>
      <c r="B91" s="96" t="s">
        <v>325</v>
      </c>
      <c r="C91" s="96" t="s">
        <v>273</v>
      </c>
      <c r="D91" s="97" t="s">
        <v>331</v>
      </c>
      <c r="E91" s="96">
        <v>0.219</v>
      </c>
      <c r="F91" s="98">
        <v>0.125</v>
      </c>
      <c r="G91" s="93" t="s">
        <v>111</v>
      </c>
      <c r="H91" s="99">
        <f>VLOOKUP($G:$G,材料单价表!$B$4:$G$40,5,0)</f>
        <v>0</v>
      </c>
      <c r="I91" s="96"/>
    </row>
    <row r="92" spans="1:9" ht="18" customHeight="1" x14ac:dyDescent="0.15">
      <c r="A92" s="96">
        <v>10</v>
      </c>
      <c r="B92" s="96" t="s">
        <v>326</v>
      </c>
      <c r="C92" s="96" t="s">
        <v>273</v>
      </c>
      <c r="D92" s="97" t="s">
        <v>331</v>
      </c>
      <c r="E92" s="96">
        <v>0.22700000000000001</v>
      </c>
      <c r="F92" s="98">
        <v>0.125</v>
      </c>
      <c r="G92" s="93" t="s">
        <v>111</v>
      </c>
      <c r="H92" s="99">
        <f>VLOOKUP($G:$G,材料单价表!$B$4:$G$40,5,0)</f>
        <v>0</v>
      </c>
      <c r="I92" s="96"/>
    </row>
    <row r="93" spans="1:9" ht="18" customHeight="1" x14ac:dyDescent="0.15">
      <c r="A93" s="96">
        <v>11</v>
      </c>
      <c r="B93" s="96" t="s">
        <v>327</v>
      </c>
      <c r="C93" s="96" t="s">
        <v>273</v>
      </c>
      <c r="D93" s="97" t="s">
        <v>331</v>
      </c>
      <c r="E93" s="96">
        <v>0.216</v>
      </c>
      <c r="F93" s="98">
        <v>0.125</v>
      </c>
      <c r="G93" s="93" t="s">
        <v>111</v>
      </c>
      <c r="H93" s="99">
        <f>VLOOKUP($G:$G,材料单价表!$B$4:$G$40,5,0)</f>
        <v>0</v>
      </c>
      <c r="I93" s="96"/>
    </row>
    <row r="94" spans="1:9" ht="18" customHeight="1" x14ac:dyDescent="0.15">
      <c r="A94" s="96">
        <v>12</v>
      </c>
      <c r="B94" s="96" t="s">
        <v>328</v>
      </c>
      <c r="C94" s="96" t="s">
        <v>273</v>
      </c>
      <c r="D94" s="97" t="s">
        <v>331</v>
      </c>
      <c r="E94" s="96">
        <v>0.224</v>
      </c>
      <c r="F94" s="98">
        <v>0.125</v>
      </c>
      <c r="G94" s="93" t="s">
        <v>111</v>
      </c>
      <c r="H94" s="99">
        <f>VLOOKUP($G:$G,材料单价表!$B$4:$G$40,5,0)</f>
        <v>0</v>
      </c>
      <c r="I94" s="96"/>
    </row>
    <row r="95" spans="1:9" ht="18" customHeight="1" x14ac:dyDescent="0.15">
      <c r="A95" s="96">
        <v>13</v>
      </c>
      <c r="B95" s="96" t="s">
        <v>329</v>
      </c>
      <c r="C95" s="96" t="s">
        <v>273</v>
      </c>
      <c r="D95" s="97" t="s">
        <v>331</v>
      </c>
      <c r="E95" s="96">
        <v>0.248</v>
      </c>
      <c r="F95" s="98">
        <v>0.125</v>
      </c>
      <c r="G95" s="93" t="s">
        <v>111</v>
      </c>
      <c r="H95" s="99">
        <f>VLOOKUP($G:$G,材料单价表!$B$4:$G$40,5,0)</f>
        <v>0</v>
      </c>
      <c r="I95" s="96"/>
    </row>
    <row r="96" spans="1:9" ht="18" customHeight="1" x14ac:dyDescent="0.15">
      <c r="A96" s="96">
        <v>14</v>
      </c>
      <c r="B96" s="96" t="s">
        <v>330</v>
      </c>
      <c r="C96" s="96" t="s">
        <v>273</v>
      </c>
      <c r="D96" s="97" t="s">
        <v>331</v>
      </c>
      <c r="E96" s="96">
        <v>0.246</v>
      </c>
      <c r="F96" s="98">
        <v>0.125</v>
      </c>
      <c r="G96" s="93" t="s">
        <v>111</v>
      </c>
      <c r="H96" s="99">
        <f>VLOOKUP($G:$G,材料单价表!$B$4:$G$40,5,0)</f>
        <v>0</v>
      </c>
      <c r="I96" s="96"/>
    </row>
    <row r="97" spans="1:9" ht="18" customHeight="1" x14ac:dyDescent="0.15">
      <c r="A97" s="96"/>
      <c r="B97" s="96"/>
      <c r="C97" s="96"/>
      <c r="D97" s="96"/>
      <c r="E97" s="96"/>
      <c r="F97" s="96"/>
      <c r="G97" s="96"/>
      <c r="H97" s="99"/>
      <c r="I97" s="96"/>
    </row>
    <row r="98" spans="1:9" s="149" customFormat="1" ht="18" customHeight="1" x14ac:dyDescent="0.15">
      <c r="A98" s="150" t="s">
        <v>333</v>
      </c>
      <c r="B98" s="150" t="s">
        <v>334</v>
      </c>
      <c r="C98" s="150"/>
      <c r="D98" s="150"/>
      <c r="E98" s="150"/>
      <c r="F98" s="150"/>
      <c r="G98" s="150"/>
      <c r="H98" s="151"/>
      <c r="I98" s="150"/>
    </row>
    <row r="99" spans="1:9" ht="18" customHeight="1" x14ac:dyDescent="0.15">
      <c r="A99" s="96">
        <v>1</v>
      </c>
      <c r="B99" s="96" t="s">
        <v>335</v>
      </c>
      <c r="C99" s="96" t="s">
        <v>253</v>
      </c>
      <c r="D99" s="97" t="s">
        <v>347</v>
      </c>
      <c r="E99" s="96">
        <v>1.1990000000000001</v>
      </c>
      <c r="F99" s="98">
        <v>0.125</v>
      </c>
      <c r="G99" s="93" t="s">
        <v>110</v>
      </c>
      <c r="H99" s="99">
        <f>VLOOKUP($G:$G,材料单价表!$B$4:$G$40,5,0)</f>
        <v>0</v>
      </c>
      <c r="I99" s="96"/>
    </row>
    <row r="100" spans="1:9" ht="18" customHeight="1" x14ac:dyDescent="0.15">
      <c r="A100" s="96">
        <v>2</v>
      </c>
      <c r="B100" s="96" t="s">
        <v>336</v>
      </c>
      <c r="C100" s="96" t="s">
        <v>255</v>
      </c>
      <c r="D100" s="97" t="s">
        <v>347</v>
      </c>
      <c r="E100" s="96">
        <v>1.343</v>
      </c>
      <c r="F100" s="98">
        <v>0.125</v>
      </c>
      <c r="G100" s="93" t="s">
        <v>110</v>
      </c>
      <c r="H100" s="99">
        <f>VLOOKUP($G:$G,材料单价表!$B$4:$G$40,5,0)</f>
        <v>0</v>
      </c>
      <c r="I100" s="96"/>
    </row>
    <row r="101" spans="1:9" ht="18" customHeight="1" x14ac:dyDescent="0.15">
      <c r="A101" s="96">
        <v>3</v>
      </c>
      <c r="B101" s="96" t="s">
        <v>337</v>
      </c>
      <c r="C101" s="96" t="s">
        <v>257</v>
      </c>
      <c r="D101" s="97" t="s">
        <v>346</v>
      </c>
      <c r="E101" s="96">
        <v>1.4339999999999999</v>
      </c>
      <c r="F101" s="98">
        <v>0.125</v>
      </c>
      <c r="G101" s="93" t="s">
        <v>110</v>
      </c>
      <c r="H101" s="99">
        <f>VLOOKUP($G:$G,材料单价表!$B$4:$G$40,5,0)</f>
        <v>0</v>
      </c>
      <c r="I101" s="96"/>
    </row>
    <row r="102" spans="1:9" ht="18" customHeight="1" x14ac:dyDescent="0.15">
      <c r="A102" s="96">
        <v>4</v>
      </c>
      <c r="B102" s="96" t="s">
        <v>338</v>
      </c>
      <c r="C102" s="96" t="s">
        <v>263</v>
      </c>
      <c r="D102" s="97" t="s">
        <v>346</v>
      </c>
      <c r="E102" s="96">
        <v>1.3740000000000001</v>
      </c>
      <c r="F102" s="98">
        <v>0.125</v>
      </c>
      <c r="G102" s="93" t="s">
        <v>110</v>
      </c>
      <c r="H102" s="99">
        <f>VLOOKUP($G:$G,材料单价表!$B$4:$G$40,5,0)</f>
        <v>0</v>
      </c>
      <c r="I102" s="96"/>
    </row>
    <row r="103" spans="1:9" ht="18" customHeight="1" x14ac:dyDescent="0.15">
      <c r="A103" s="96">
        <v>5</v>
      </c>
      <c r="B103" s="96" t="s">
        <v>339</v>
      </c>
      <c r="C103" s="96" t="s">
        <v>264</v>
      </c>
      <c r="D103" s="97" t="s">
        <v>346</v>
      </c>
      <c r="E103" s="96">
        <v>1.7769999999999999</v>
      </c>
      <c r="F103" s="98">
        <v>0.125</v>
      </c>
      <c r="G103" s="93" t="s">
        <v>110</v>
      </c>
      <c r="H103" s="99">
        <f>VLOOKUP($G:$G,材料单价表!$B$4:$G$40,5,0)</f>
        <v>0</v>
      </c>
      <c r="I103" s="96"/>
    </row>
    <row r="104" spans="1:9" ht="18" customHeight="1" x14ac:dyDescent="0.15">
      <c r="A104" s="96">
        <v>6</v>
      </c>
      <c r="B104" s="96" t="s">
        <v>340</v>
      </c>
      <c r="C104" s="96" t="s">
        <v>268</v>
      </c>
      <c r="D104" s="97" t="s">
        <v>346</v>
      </c>
      <c r="E104" s="96">
        <v>1.042</v>
      </c>
      <c r="F104" s="98">
        <v>0.125</v>
      </c>
      <c r="G104" s="93" t="s">
        <v>110</v>
      </c>
      <c r="H104" s="99">
        <f>VLOOKUP($G:$G,材料单价表!$B$4:$G$40,5,0)</f>
        <v>0</v>
      </c>
      <c r="I104" s="96"/>
    </row>
    <row r="105" spans="1:9" ht="18" customHeight="1" x14ac:dyDescent="0.15">
      <c r="A105" s="96">
        <v>7</v>
      </c>
      <c r="B105" s="96" t="s">
        <v>341</v>
      </c>
      <c r="C105" s="96" t="s">
        <v>270</v>
      </c>
      <c r="D105" s="97" t="s">
        <v>346</v>
      </c>
      <c r="E105" s="96">
        <v>1.6120000000000001</v>
      </c>
      <c r="F105" s="98">
        <v>0.125</v>
      </c>
      <c r="G105" s="93" t="s">
        <v>110</v>
      </c>
      <c r="H105" s="99">
        <f>VLOOKUP($G:$G,材料单价表!$B$4:$G$40,5,0)</f>
        <v>0</v>
      </c>
      <c r="I105" s="96"/>
    </row>
    <row r="106" spans="1:9" ht="18" customHeight="1" x14ac:dyDescent="0.15">
      <c r="A106" s="96">
        <v>8</v>
      </c>
      <c r="B106" s="96" t="s">
        <v>342</v>
      </c>
      <c r="C106" s="96" t="s">
        <v>273</v>
      </c>
      <c r="D106" s="97" t="s">
        <v>346</v>
      </c>
      <c r="E106" s="96">
        <v>0.24099999999999999</v>
      </c>
      <c r="F106" s="98">
        <v>0.125</v>
      </c>
      <c r="G106" s="93" t="s">
        <v>112</v>
      </c>
      <c r="H106" s="99">
        <f>VLOOKUP($G:$G,材料单价表!$B$4:$G$40,5,0)</f>
        <v>0</v>
      </c>
      <c r="I106" s="96"/>
    </row>
    <row r="107" spans="1:9" ht="18" customHeight="1" x14ac:dyDescent="0.15">
      <c r="A107" s="96">
        <v>9</v>
      </c>
      <c r="B107" s="96" t="s">
        <v>343</v>
      </c>
      <c r="C107" s="96" t="s">
        <v>273</v>
      </c>
      <c r="D107" s="97" t="s">
        <v>346</v>
      </c>
      <c r="E107" s="96">
        <v>0.23799999999999999</v>
      </c>
      <c r="F107" s="98">
        <v>0.125</v>
      </c>
      <c r="G107" s="93" t="s">
        <v>112</v>
      </c>
      <c r="H107" s="99">
        <f>VLOOKUP($G:$G,材料单价表!$B$4:$G$40,5,0)</f>
        <v>0</v>
      </c>
      <c r="I107" s="96"/>
    </row>
    <row r="108" spans="1:9" ht="18" customHeight="1" x14ac:dyDescent="0.15">
      <c r="A108" s="96">
        <v>10</v>
      </c>
      <c r="B108" s="96" t="s">
        <v>344</v>
      </c>
      <c r="C108" s="96" t="s">
        <v>273</v>
      </c>
      <c r="D108" s="97" t="s">
        <v>346</v>
      </c>
      <c r="E108" s="96">
        <v>0.26100000000000001</v>
      </c>
      <c r="F108" s="98">
        <v>0.125</v>
      </c>
      <c r="G108" s="93" t="s">
        <v>112</v>
      </c>
      <c r="H108" s="99">
        <f>VLOOKUP($G:$G,材料单价表!$B$4:$G$40,5,0)</f>
        <v>0</v>
      </c>
      <c r="I108" s="96"/>
    </row>
    <row r="109" spans="1:9" ht="18" customHeight="1" x14ac:dyDescent="0.15">
      <c r="A109" s="96">
        <v>11</v>
      </c>
      <c r="B109" s="96" t="s">
        <v>345</v>
      </c>
      <c r="C109" s="96" t="s">
        <v>273</v>
      </c>
      <c r="D109" s="97" t="s">
        <v>346</v>
      </c>
      <c r="E109" s="96">
        <v>0.28299999999999997</v>
      </c>
      <c r="F109" s="98">
        <v>0.125</v>
      </c>
      <c r="G109" s="93" t="s">
        <v>112</v>
      </c>
      <c r="H109" s="99">
        <f>VLOOKUP($G:$G,材料单价表!$B$4:$G$40,5,0)</f>
        <v>0</v>
      </c>
      <c r="I109" s="96"/>
    </row>
    <row r="110" spans="1:9" ht="18" customHeight="1" x14ac:dyDescent="0.15">
      <c r="A110" s="96"/>
      <c r="B110" s="96"/>
      <c r="C110" s="96"/>
      <c r="D110" s="96"/>
      <c r="E110" s="96"/>
      <c r="F110" s="96"/>
      <c r="G110" s="96"/>
      <c r="H110" s="96"/>
      <c r="I110" s="96"/>
    </row>
    <row r="111" spans="1:9" ht="18" customHeight="1" x14ac:dyDescent="0.15">
      <c r="A111" s="588" t="s">
        <v>378</v>
      </c>
      <c r="B111" s="589"/>
      <c r="C111" s="589"/>
      <c r="D111" s="589"/>
      <c r="E111" s="589"/>
      <c r="F111" s="589"/>
      <c r="G111" s="589"/>
      <c r="H111" s="589"/>
      <c r="I111" s="590"/>
    </row>
    <row r="112" spans="1:9" s="149" customFormat="1" ht="18" customHeight="1" x14ac:dyDescent="0.15">
      <c r="A112" s="150" t="s">
        <v>248</v>
      </c>
      <c r="B112" s="94" t="s">
        <v>251</v>
      </c>
      <c r="C112" s="150"/>
      <c r="D112" s="150"/>
      <c r="E112" s="150"/>
      <c r="F112" s="150"/>
      <c r="G112" s="150"/>
      <c r="H112" s="150"/>
      <c r="I112" s="150"/>
    </row>
    <row r="113" spans="1:9" ht="18" customHeight="1" x14ac:dyDescent="0.15">
      <c r="A113" s="96">
        <v>1</v>
      </c>
      <c r="B113" s="96" t="s">
        <v>381</v>
      </c>
      <c r="C113" s="96" t="s">
        <v>389</v>
      </c>
      <c r="D113" s="97" t="s">
        <v>380</v>
      </c>
      <c r="E113" s="96">
        <v>1.4750000000000001</v>
      </c>
      <c r="F113" s="98">
        <v>0.125</v>
      </c>
      <c r="G113" s="93" t="s">
        <v>110</v>
      </c>
      <c r="H113" s="99">
        <f>VLOOKUP($G:$G,材料单价表!$B$4:$G$40,5,0)</f>
        <v>0</v>
      </c>
      <c r="I113" s="96"/>
    </row>
    <row r="114" spans="1:9" ht="18" customHeight="1" x14ac:dyDescent="0.15">
      <c r="A114" s="96">
        <v>2</v>
      </c>
      <c r="B114" s="96" t="s">
        <v>382</v>
      </c>
      <c r="C114" s="96" t="s">
        <v>255</v>
      </c>
      <c r="D114" s="97" t="s">
        <v>380</v>
      </c>
      <c r="E114" s="96">
        <v>1.6739999999999999</v>
      </c>
      <c r="F114" s="98">
        <v>0.125</v>
      </c>
      <c r="G114" s="93" t="s">
        <v>110</v>
      </c>
      <c r="H114" s="99">
        <f>VLOOKUP($G:$G,材料单价表!$B$4:$G$40,5,0)</f>
        <v>0</v>
      </c>
      <c r="I114" s="96"/>
    </row>
    <row r="115" spans="1:9" ht="18" customHeight="1" x14ac:dyDescent="0.15">
      <c r="A115" s="96">
        <v>3</v>
      </c>
      <c r="B115" s="96" t="s">
        <v>383</v>
      </c>
      <c r="C115" s="96" t="s">
        <v>257</v>
      </c>
      <c r="D115" s="97" t="s">
        <v>379</v>
      </c>
      <c r="E115" s="96">
        <v>2.2429999999999999</v>
      </c>
      <c r="F115" s="98">
        <v>0.125</v>
      </c>
      <c r="G115" s="93" t="s">
        <v>110</v>
      </c>
      <c r="H115" s="99">
        <f>VLOOKUP($G:$G,材料单价表!$B$4:$G$40,5,0)</f>
        <v>0</v>
      </c>
      <c r="I115" s="96"/>
    </row>
    <row r="116" spans="1:9" ht="18" customHeight="1" x14ac:dyDescent="0.15">
      <c r="A116" s="96">
        <v>4</v>
      </c>
      <c r="B116" s="96" t="s">
        <v>384</v>
      </c>
      <c r="C116" s="96" t="s">
        <v>324</v>
      </c>
      <c r="D116" s="97" t="s">
        <v>379</v>
      </c>
      <c r="E116" s="96">
        <v>1.429</v>
      </c>
      <c r="F116" s="98">
        <v>0.125</v>
      </c>
      <c r="G116" s="93" t="s">
        <v>112</v>
      </c>
      <c r="H116" s="99">
        <f>VLOOKUP($G:$G,材料单价表!$B$4:$G$40,5,0)</f>
        <v>0</v>
      </c>
      <c r="I116" s="96"/>
    </row>
    <row r="117" spans="1:9" ht="18" customHeight="1" x14ac:dyDescent="0.15">
      <c r="A117" s="96">
        <v>5</v>
      </c>
      <c r="B117" s="96" t="s">
        <v>385</v>
      </c>
      <c r="C117" s="96" t="s">
        <v>324</v>
      </c>
      <c r="D117" s="97" t="s">
        <v>379</v>
      </c>
      <c r="E117" s="96">
        <v>0.85799999999999998</v>
      </c>
      <c r="F117" s="98">
        <v>0.125</v>
      </c>
      <c r="G117" s="93" t="s">
        <v>112</v>
      </c>
      <c r="H117" s="99">
        <f>VLOOKUP($G:$G,材料单价表!$B$4:$G$40,5,0)</f>
        <v>0</v>
      </c>
      <c r="I117" s="96"/>
    </row>
    <row r="118" spans="1:9" ht="18" customHeight="1" x14ac:dyDescent="0.15">
      <c r="A118" s="96">
        <v>6</v>
      </c>
      <c r="B118" s="96" t="s">
        <v>386</v>
      </c>
      <c r="C118" s="96" t="s">
        <v>390</v>
      </c>
      <c r="D118" s="97" t="s">
        <v>379</v>
      </c>
      <c r="E118" s="96">
        <v>1.0309999999999999</v>
      </c>
      <c r="F118" s="98">
        <v>0.125</v>
      </c>
      <c r="G118" s="93" t="s">
        <v>110</v>
      </c>
      <c r="H118" s="99">
        <f>VLOOKUP($G:$G,材料单价表!$B$4:$G$40,5,0)</f>
        <v>0</v>
      </c>
      <c r="I118" s="96"/>
    </row>
    <row r="119" spans="1:9" ht="18" customHeight="1" x14ac:dyDescent="0.15">
      <c r="A119" s="96">
        <v>7</v>
      </c>
      <c r="B119" s="96" t="s">
        <v>387</v>
      </c>
      <c r="C119" s="96" t="s">
        <v>391</v>
      </c>
      <c r="D119" s="97" t="s">
        <v>379</v>
      </c>
      <c r="E119" s="96">
        <v>0.192</v>
      </c>
      <c r="F119" s="98">
        <v>0.125</v>
      </c>
      <c r="G119" s="93" t="s">
        <v>392</v>
      </c>
      <c r="H119" s="99">
        <f>VLOOKUP($G:$G,材料单价表!$B$4:$G$40,5,0)</f>
        <v>0</v>
      </c>
      <c r="I119" s="96"/>
    </row>
    <row r="120" spans="1:9" ht="18" customHeight="1" x14ac:dyDescent="0.15">
      <c r="A120" s="96">
        <v>8</v>
      </c>
      <c r="B120" s="96" t="s">
        <v>371</v>
      </c>
      <c r="C120" s="96" t="s">
        <v>376</v>
      </c>
      <c r="D120" s="97" t="s">
        <v>379</v>
      </c>
      <c r="E120" s="96">
        <v>2.996</v>
      </c>
      <c r="F120" s="98">
        <v>0.125</v>
      </c>
      <c r="G120" s="93" t="s">
        <v>112</v>
      </c>
      <c r="H120" s="99">
        <f>VLOOKUP($G:$G,材料单价表!$B$4:$G$40,5,0)</f>
        <v>0</v>
      </c>
      <c r="I120" s="96"/>
    </row>
    <row r="121" spans="1:9" ht="18" customHeight="1" x14ac:dyDescent="0.15">
      <c r="A121" s="96">
        <v>9</v>
      </c>
      <c r="B121" s="96" t="s">
        <v>375</v>
      </c>
      <c r="C121" s="96" t="s">
        <v>376</v>
      </c>
      <c r="D121" s="97" t="s">
        <v>379</v>
      </c>
      <c r="E121" s="96">
        <v>4.7119999999999997</v>
      </c>
      <c r="F121" s="98">
        <v>0.125</v>
      </c>
      <c r="G121" s="93" t="s">
        <v>112</v>
      </c>
      <c r="H121" s="99">
        <f>VLOOKUP($G:$G,材料单价表!$B$4:$G$40,5,0)</f>
        <v>0</v>
      </c>
      <c r="I121" s="96"/>
    </row>
    <row r="122" spans="1:9" ht="18" customHeight="1" x14ac:dyDescent="0.15">
      <c r="A122" s="96">
        <v>10</v>
      </c>
      <c r="B122" s="96" t="s">
        <v>388</v>
      </c>
      <c r="C122" s="96" t="s">
        <v>264</v>
      </c>
      <c r="D122" s="97" t="s">
        <v>379</v>
      </c>
      <c r="E122" s="96">
        <v>2.3029999999999999</v>
      </c>
      <c r="F122" s="98">
        <v>0.125</v>
      </c>
      <c r="G122" s="93" t="s">
        <v>110</v>
      </c>
      <c r="H122" s="99">
        <f>VLOOKUP($G:$G,材料单价表!$B$4:$G$40,5,0)</f>
        <v>0</v>
      </c>
      <c r="I122" s="96"/>
    </row>
    <row r="123" spans="1:9" ht="18" customHeight="1" x14ac:dyDescent="0.15">
      <c r="A123" s="96"/>
      <c r="B123" s="96"/>
      <c r="C123" s="96"/>
      <c r="D123" s="96"/>
      <c r="E123" s="96"/>
      <c r="F123" s="96"/>
      <c r="G123" s="96"/>
      <c r="H123" s="99"/>
      <c r="I123" s="96"/>
    </row>
    <row r="124" spans="1:9" s="149" customFormat="1" ht="18" customHeight="1" x14ac:dyDescent="0.15">
      <c r="A124" s="150" t="s">
        <v>393</v>
      </c>
      <c r="B124" s="94" t="s">
        <v>278</v>
      </c>
      <c r="C124" s="150"/>
      <c r="D124" s="150"/>
      <c r="E124" s="150"/>
      <c r="F124" s="150"/>
      <c r="G124" s="150"/>
      <c r="H124" s="151"/>
      <c r="I124" s="150"/>
    </row>
    <row r="125" spans="1:9" ht="18" customHeight="1" x14ac:dyDescent="0.15">
      <c r="A125" s="96">
        <v>1</v>
      </c>
      <c r="B125" s="96" t="s">
        <v>394</v>
      </c>
      <c r="C125" s="96" t="s">
        <v>389</v>
      </c>
      <c r="D125" s="97" t="s">
        <v>401</v>
      </c>
      <c r="E125" s="96">
        <v>1.4510000000000001</v>
      </c>
      <c r="F125" s="98">
        <v>0.125</v>
      </c>
      <c r="G125" s="93" t="s">
        <v>110</v>
      </c>
      <c r="H125" s="99">
        <f>VLOOKUP($G:$G,材料单价表!$B$4:$G$40,5,0)</f>
        <v>0</v>
      </c>
      <c r="I125" s="96"/>
    </row>
    <row r="126" spans="1:9" ht="18" customHeight="1" x14ac:dyDescent="0.15">
      <c r="A126" s="96">
        <v>2</v>
      </c>
      <c r="B126" s="96" t="s">
        <v>395</v>
      </c>
      <c r="C126" s="96" t="s">
        <v>255</v>
      </c>
      <c r="D126" s="97" t="s">
        <v>401</v>
      </c>
      <c r="E126" s="96">
        <v>1.65</v>
      </c>
      <c r="F126" s="98">
        <v>0.125</v>
      </c>
      <c r="G126" s="93" t="s">
        <v>110</v>
      </c>
      <c r="H126" s="99">
        <f>VLOOKUP($G:$G,材料单价表!$B$4:$G$40,5,0)</f>
        <v>0</v>
      </c>
      <c r="I126" s="96"/>
    </row>
    <row r="127" spans="1:9" ht="18" customHeight="1" x14ac:dyDescent="0.15">
      <c r="A127" s="96">
        <v>3</v>
      </c>
      <c r="B127" s="96" t="s">
        <v>396</v>
      </c>
      <c r="C127" s="96" t="s">
        <v>257</v>
      </c>
      <c r="D127" s="97" t="s">
        <v>400</v>
      </c>
      <c r="E127" s="96">
        <v>2.2149999999999999</v>
      </c>
      <c r="F127" s="98">
        <v>0.125</v>
      </c>
      <c r="G127" s="93" t="s">
        <v>110</v>
      </c>
      <c r="H127" s="99">
        <f>VLOOKUP($G:$G,材料单价表!$B$4:$G$40,5,0)</f>
        <v>0</v>
      </c>
      <c r="I127" s="96"/>
    </row>
    <row r="128" spans="1:9" ht="18" customHeight="1" x14ac:dyDescent="0.15">
      <c r="A128" s="96">
        <v>4</v>
      </c>
      <c r="B128" s="96" t="s">
        <v>397</v>
      </c>
      <c r="C128" s="96" t="s">
        <v>264</v>
      </c>
      <c r="D128" s="97" t="s">
        <v>400</v>
      </c>
      <c r="E128" s="96">
        <v>2.2799999999999998</v>
      </c>
      <c r="F128" s="98">
        <v>0.125</v>
      </c>
      <c r="G128" s="93" t="s">
        <v>110</v>
      </c>
      <c r="H128" s="99">
        <f>VLOOKUP($G:$G,材料单价表!$B$4:$G$40,5,0)</f>
        <v>0</v>
      </c>
      <c r="I128" s="96"/>
    </row>
    <row r="129" spans="1:9" ht="18" customHeight="1" x14ac:dyDescent="0.15">
      <c r="A129" s="96">
        <v>5</v>
      </c>
      <c r="B129" s="96" t="s">
        <v>398</v>
      </c>
      <c r="C129" s="96" t="s">
        <v>390</v>
      </c>
      <c r="D129" s="97" t="s">
        <v>400</v>
      </c>
      <c r="E129" s="96">
        <v>0.999</v>
      </c>
      <c r="F129" s="98">
        <v>0.125</v>
      </c>
      <c r="G129" s="93" t="s">
        <v>110</v>
      </c>
      <c r="H129" s="99">
        <f>VLOOKUP($G:$G,材料单价表!$B$4:$G$40,5,0)</f>
        <v>0</v>
      </c>
      <c r="I129" s="96"/>
    </row>
    <row r="130" spans="1:9" ht="18" customHeight="1" x14ac:dyDescent="0.15">
      <c r="A130" s="96">
        <v>6</v>
      </c>
      <c r="B130" s="96" t="s">
        <v>399</v>
      </c>
      <c r="C130" s="96" t="s">
        <v>324</v>
      </c>
      <c r="D130" s="97" t="s">
        <v>400</v>
      </c>
      <c r="E130" s="96">
        <v>0.64</v>
      </c>
      <c r="F130" s="98">
        <v>0.125</v>
      </c>
      <c r="G130" s="93" t="s">
        <v>112</v>
      </c>
      <c r="H130" s="99">
        <f>VLOOKUP($G:$G,材料单价表!$B$4:$G$40,5,0)</f>
        <v>0</v>
      </c>
      <c r="I130" s="96"/>
    </row>
    <row r="131" spans="1:9" ht="18" customHeight="1" x14ac:dyDescent="0.15">
      <c r="A131" s="96"/>
      <c r="B131" s="96"/>
      <c r="C131" s="96"/>
      <c r="D131" s="96"/>
      <c r="E131" s="96"/>
      <c r="F131" s="96"/>
      <c r="G131" s="96"/>
      <c r="H131" s="99"/>
      <c r="I131" s="96"/>
    </row>
    <row r="132" spans="1:9" s="149" customFormat="1" ht="18" customHeight="1" x14ac:dyDescent="0.15">
      <c r="A132" s="150" t="s">
        <v>277</v>
      </c>
      <c r="B132" s="150" t="s">
        <v>291</v>
      </c>
      <c r="C132" s="150"/>
      <c r="D132" s="150"/>
      <c r="E132" s="150"/>
      <c r="F132" s="150"/>
      <c r="G132" s="150"/>
      <c r="H132" s="151"/>
      <c r="I132" s="150"/>
    </row>
    <row r="133" spans="1:9" ht="18" customHeight="1" x14ac:dyDescent="0.15">
      <c r="A133" s="96">
        <v>1</v>
      </c>
      <c r="B133" s="96" t="s">
        <v>402</v>
      </c>
      <c r="C133" s="96" t="s">
        <v>389</v>
      </c>
      <c r="D133" s="97" t="s">
        <v>408</v>
      </c>
      <c r="E133" s="96">
        <v>1.4990000000000001</v>
      </c>
      <c r="F133" s="98">
        <v>0.125</v>
      </c>
      <c r="G133" s="93" t="s">
        <v>110</v>
      </c>
      <c r="H133" s="99">
        <f>VLOOKUP($G:$G,材料单价表!$B$4:$G$40,5,0)</f>
        <v>0</v>
      </c>
      <c r="I133" s="96"/>
    </row>
    <row r="134" spans="1:9" ht="18" customHeight="1" x14ac:dyDescent="0.15">
      <c r="A134" s="96">
        <v>2</v>
      </c>
      <c r="B134" s="96" t="s">
        <v>403</v>
      </c>
      <c r="C134" s="96" t="s">
        <v>255</v>
      </c>
      <c r="D134" s="97" t="s">
        <v>408</v>
      </c>
      <c r="E134" s="96">
        <v>1.698</v>
      </c>
      <c r="F134" s="98">
        <v>0.125</v>
      </c>
      <c r="G134" s="93" t="s">
        <v>110</v>
      </c>
      <c r="H134" s="99">
        <f>VLOOKUP($G:$G,材料单价表!$B$4:$G$40,5,0)</f>
        <v>0</v>
      </c>
      <c r="I134" s="96"/>
    </row>
    <row r="135" spans="1:9" ht="18" customHeight="1" x14ac:dyDescent="0.15">
      <c r="A135" s="96">
        <v>3</v>
      </c>
      <c r="B135" s="96" t="s">
        <v>404</v>
      </c>
      <c r="C135" s="96" t="s">
        <v>257</v>
      </c>
      <c r="D135" s="97" t="s">
        <v>407</v>
      </c>
      <c r="E135" s="96">
        <v>2.2709999999999999</v>
      </c>
      <c r="F135" s="98">
        <v>0.125</v>
      </c>
      <c r="G135" s="93" t="s">
        <v>110</v>
      </c>
      <c r="H135" s="99">
        <f>VLOOKUP($G:$G,材料单价表!$B$4:$G$40,5,0)</f>
        <v>0</v>
      </c>
      <c r="I135" s="96"/>
    </row>
    <row r="136" spans="1:9" ht="18" customHeight="1" x14ac:dyDescent="0.15">
      <c r="A136" s="96">
        <v>4</v>
      </c>
      <c r="B136" s="96" t="s">
        <v>405</v>
      </c>
      <c r="C136" s="96" t="s">
        <v>264</v>
      </c>
      <c r="D136" s="97" t="s">
        <v>407</v>
      </c>
      <c r="E136" s="96">
        <v>2.327</v>
      </c>
      <c r="F136" s="98">
        <v>0.125</v>
      </c>
      <c r="G136" s="93" t="s">
        <v>110</v>
      </c>
      <c r="H136" s="99">
        <f>VLOOKUP($G:$G,材料单价表!$B$4:$G$40,5,0)</f>
        <v>0</v>
      </c>
      <c r="I136" s="96"/>
    </row>
    <row r="137" spans="1:9" ht="18" customHeight="1" x14ac:dyDescent="0.15">
      <c r="A137" s="96">
        <v>5</v>
      </c>
      <c r="B137" s="96" t="s">
        <v>406</v>
      </c>
      <c r="C137" s="96" t="s">
        <v>390</v>
      </c>
      <c r="D137" s="97" t="s">
        <v>407</v>
      </c>
      <c r="E137" s="96">
        <v>1.0569999999999999</v>
      </c>
      <c r="F137" s="98">
        <v>0.125</v>
      </c>
      <c r="G137" s="93" t="s">
        <v>110</v>
      </c>
      <c r="H137" s="99">
        <f>VLOOKUP($G:$G,材料单价表!$B$4:$G$40,5,0)</f>
        <v>0</v>
      </c>
      <c r="I137" s="96"/>
    </row>
    <row r="138" spans="1:9" ht="18" customHeight="1" x14ac:dyDescent="0.15">
      <c r="A138" s="96"/>
      <c r="B138" s="96"/>
      <c r="C138" s="96"/>
      <c r="D138" s="96"/>
      <c r="E138" s="96"/>
      <c r="F138" s="96"/>
      <c r="G138" s="96"/>
      <c r="H138" s="96"/>
      <c r="I138" s="96"/>
    </row>
    <row r="139" spans="1:9" s="149" customFormat="1" ht="18" customHeight="1" x14ac:dyDescent="0.15">
      <c r="A139" s="150" t="s">
        <v>290</v>
      </c>
      <c r="B139" s="150" t="s">
        <v>303</v>
      </c>
      <c r="C139" s="150"/>
      <c r="D139" s="150"/>
      <c r="E139" s="150"/>
      <c r="F139" s="150"/>
      <c r="G139" s="150"/>
      <c r="H139" s="150"/>
      <c r="I139" s="150"/>
    </row>
    <row r="140" spans="1:9" ht="18" customHeight="1" x14ac:dyDescent="0.15">
      <c r="A140" s="96">
        <v>1</v>
      </c>
      <c r="B140" s="96" t="s">
        <v>409</v>
      </c>
      <c r="C140" s="96" t="s">
        <v>389</v>
      </c>
      <c r="D140" s="97" t="s">
        <v>421</v>
      </c>
      <c r="E140" s="96">
        <v>1.486</v>
      </c>
      <c r="F140" s="98">
        <v>0.125</v>
      </c>
      <c r="G140" s="93" t="s">
        <v>110</v>
      </c>
      <c r="H140" s="99">
        <f>VLOOKUP($G:$G,材料单价表!$B$4:$G$40,5,0)</f>
        <v>0</v>
      </c>
      <c r="I140" s="96"/>
    </row>
    <row r="141" spans="1:9" ht="18" customHeight="1" x14ac:dyDescent="0.15">
      <c r="A141" s="96">
        <v>2</v>
      </c>
      <c r="B141" s="96" t="s">
        <v>410</v>
      </c>
      <c r="C141" s="96" t="s">
        <v>255</v>
      </c>
      <c r="D141" s="97" t="s">
        <v>421</v>
      </c>
      <c r="E141" s="96">
        <v>1.6850000000000001</v>
      </c>
      <c r="F141" s="98">
        <v>0.125</v>
      </c>
      <c r="G141" s="93" t="s">
        <v>110</v>
      </c>
      <c r="H141" s="99">
        <f>VLOOKUP($G:$G,材料单价表!$B$4:$G$40,5,0)</f>
        <v>0</v>
      </c>
      <c r="I141" s="96"/>
    </row>
    <row r="142" spans="1:9" ht="18" customHeight="1" x14ac:dyDescent="0.15">
      <c r="A142" s="96">
        <v>3</v>
      </c>
      <c r="B142" s="96" t="s">
        <v>411</v>
      </c>
      <c r="C142" s="96" t="s">
        <v>257</v>
      </c>
      <c r="D142" s="97" t="s">
        <v>420</v>
      </c>
      <c r="E142" s="96">
        <v>2.2549999999999999</v>
      </c>
      <c r="F142" s="98">
        <v>0.125</v>
      </c>
      <c r="G142" s="93" t="s">
        <v>110</v>
      </c>
      <c r="H142" s="99">
        <f>VLOOKUP($G:$G,材料单价表!$B$4:$G$40,5,0)</f>
        <v>0</v>
      </c>
      <c r="I142" s="96"/>
    </row>
    <row r="143" spans="1:9" ht="18" customHeight="1" x14ac:dyDescent="0.15">
      <c r="A143" s="96">
        <v>4</v>
      </c>
      <c r="B143" s="96" t="s">
        <v>412</v>
      </c>
      <c r="C143" s="96" t="s">
        <v>264</v>
      </c>
      <c r="D143" s="97" t="s">
        <v>420</v>
      </c>
      <c r="E143" s="96">
        <v>2.3149999999999999</v>
      </c>
      <c r="F143" s="98">
        <v>0.125</v>
      </c>
      <c r="G143" s="93" t="s">
        <v>110</v>
      </c>
      <c r="H143" s="99">
        <f>VLOOKUP($G:$G,材料单价表!$B$4:$G$40,5,0)</f>
        <v>0</v>
      </c>
      <c r="I143" s="96"/>
    </row>
    <row r="144" spans="1:9" ht="18" customHeight="1" x14ac:dyDescent="0.15">
      <c r="A144" s="96">
        <v>5</v>
      </c>
      <c r="B144" s="96" t="s">
        <v>413</v>
      </c>
      <c r="C144" s="96" t="s">
        <v>390</v>
      </c>
      <c r="D144" s="97" t="s">
        <v>420</v>
      </c>
      <c r="E144" s="96">
        <v>1.0309999999999999</v>
      </c>
      <c r="F144" s="98">
        <v>0.125</v>
      </c>
      <c r="G144" s="93" t="s">
        <v>110</v>
      </c>
      <c r="H144" s="99">
        <f>VLOOKUP($G:$G,材料单价表!$B$4:$G$40,5,0)</f>
        <v>0</v>
      </c>
      <c r="I144" s="96"/>
    </row>
    <row r="145" spans="1:9" ht="18" customHeight="1" x14ac:dyDescent="0.15">
      <c r="A145" s="96"/>
      <c r="B145" s="96"/>
      <c r="C145" s="96"/>
      <c r="D145" s="96"/>
      <c r="E145" s="96"/>
      <c r="F145" s="98"/>
      <c r="G145" s="96"/>
      <c r="H145" s="96"/>
      <c r="I145" s="96"/>
    </row>
    <row r="146" spans="1:9" s="149" customFormat="1" ht="18" customHeight="1" x14ac:dyDescent="0.15">
      <c r="A146" s="150" t="s">
        <v>302</v>
      </c>
      <c r="B146" s="150" t="s">
        <v>414</v>
      </c>
      <c r="C146" s="150"/>
      <c r="D146" s="150"/>
      <c r="E146" s="150"/>
      <c r="F146" s="152"/>
      <c r="G146" s="150"/>
      <c r="H146" s="150"/>
      <c r="I146" s="150"/>
    </row>
    <row r="147" spans="1:9" ht="18" customHeight="1" x14ac:dyDescent="0.15">
      <c r="A147" s="96">
        <v>1</v>
      </c>
      <c r="B147" s="96" t="s">
        <v>415</v>
      </c>
      <c r="C147" s="96" t="s">
        <v>389</v>
      </c>
      <c r="D147" s="97" t="s">
        <v>423</v>
      </c>
      <c r="E147" s="96">
        <v>1.5269999999999999</v>
      </c>
      <c r="F147" s="98">
        <v>0.125</v>
      </c>
      <c r="G147" s="93" t="s">
        <v>110</v>
      </c>
      <c r="H147" s="99">
        <f>VLOOKUP($G:$G,材料单价表!$B$4:$G$40,5,0)</f>
        <v>0</v>
      </c>
      <c r="I147" s="96"/>
    </row>
    <row r="148" spans="1:9" ht="18" customHeight="1" x14ac:dyDescent="0.15">
      <c r="A148" s="96">
        <v>2</v>
      </c>
      <c r="B148" s="96" t="s">
        <v>416</v>
      </c>
      <c r="C148" s="96" t="s">
        <v>255</v>
      </c>
      <c r="D148" s="97" t="s">
        <v>423</v>
      </c>
      <c r="E148" s="96">
        <v>1.726</v>
      </c>
      <c r="F148" s="98">
        <v>0.125</v>
      </c>
      <c r="G148" s="93" t="s">
        <v>110</v>
      </c>
      <c r="H148" s="99">
        <f>VLOOKUP($G:$G,材料单价表!$B$4:$G$40,5,0)</f>
        <v>0</v>
      </c>
      <c r="I148" s="96"/>
    </row>
    <row r="149" spans="1:9" ht="18" customHeight="1" x14ac:dyDescent="0.15">
      <c r="A149" s="96">
        <v>3</v>
      </c>
      <c r="B149" s="96" t="s">
        <v>417</v>
      </c>
      <c r="C149" s="96" t="s">
        <v>257</v>
      </c>
      <c r="D149" s="97" t="s">
        <v>422</v>
      </c>
      <c r="E149" s="96">
        <v>2.2949999999999999</v>
      </c>
      <c r="F149" s="98">
        <v>0.125</v>
      </c>
      <c r="G149" s="93" t="s">
        <v>110</v>
      </c>
      <c r="H149" s="99">
        <f>VLOOKUP($G:$G,材料单价表!$B$4:$G$40,5,0)</f>
        <v>0</v>
      </c>
      <c r="I149" s="96"/>
    </row>
    <row r="150" spans="1:9" ht="18" customHeight="1" x14ac:dyDescent="0.15">
      <c r="A150" s="96">
        <v>4</v>
      </c>
      <c r="B150" s="96" t="s">
        <v>418</v>
      </c>
      <c r="C150" s="96" t="s">
        <v>264</v>
      </c>
      <c r="D150" s="97" t="s">
        <v>422</v>
      </c>
      <c r="E150" s="96">
        <v>2.3559999999999999</v>
      </c>
      <c r="F150" s="98">
        <v>0.125</v>
      </c>
      <c r="G150" s="93" t="s">
        <v>110</v>
      </c>
      <c r="H150" s="99">
        <f>VLOOKUP($G:$G,材料单价表!$B$4:$G$40,5,0)</f>
        <v>0</v>
      </c>
      <c r="I150" s="96"/>
    </row>
    <row r="151" spans="1:9" ht="18" customHeight="1" x14ac:dyDescent="0.15">
      <c r="A151" s="96">
        <v>5</v>
      </c>
      <c r="B151" s="96" t="s">
        <v>419</v>
      </c>
      <c r="C151" s="96" t="s">
        <v>390</v>
      </c>
      <c r="D151" s="97" t="s">
        <v>422</v>
      </c>
      <c r="E151" s="96">
        <v>1.0840000000000001</v>
      </c>
      <c r="F151" s="98">
        <v>0.125</v>
      </c>
      <c r="G151" s="93" t="s">
        <v>110</v>
      </c>
      <c r="H151" s="99">
        <f>VLOOKUP($G:$G,材料单价表!$B$4:$G$40,5,0)</f>
        <v>0</v>
      </c>
      <c r="I151" s="96"/>
    </row>
    <row r="152" spans="1:9" ht="18" customHeight="1" x14ac:dyDescent="0.15">
      <c r="A152" s="96"/>
      <c r="B152" s="96"/>
      <c r="C152" s="96"/>
      <c r="D152" s="96"/>
      <c r="E152" s="96"/>
      <c r="F152" s="96"/>
      <c r="G152" s="96"/>
      <c r="H152" s="96"/>
      <c r="I152" s="96"/>
    </row>
    <row r="153" spans="1:9" ht="18" customHeight="1" x14ac:dyDescent="0.15">
      <c r="A153" s="588" t="s">
        <v>424</v>
      </c>
      <c r="B153" s="589"/>
      <c r="C153" s="589"/>
      <c r="D153" s="589"/>
      <c r="E153" s="589"/>
      <c r="F153" s="589"/>
      <c r="G153" s="589"/>
      <c r="H153" s="589"/>
      <c r="I153" s="590"/>
    </row>
    <row r="154" spans="1:9" s="149" customFormat="1" ht="18" customHeight="1" x14ac:dyDescent="0.15">
      <c r="A154" s="150" t="s">
        <v>248</v>
      </c>
      <c r="B154" s="150" t="s">
        <v>251</v>
      </c>
      <c r="C154" s="150"/>
      <c r="D154" s="150"/>
      <c r="E154" s="150"/>
      <c r="F154" s="150"/>
      <c r="G154" s="150"/>
      <c r="H154" s="150"/>
      <c r="I154" s="150"/>
    </row>
    <row r="155" spans="1:9" ht="18" customHeight="1" x14ac:dyDescent="0.15">
      <c r="A155" s="96">
        <v>1</v>
      </c>
      <c r="B155" s="96" t="s">
        <v>427</v>
      </c>
      <c r="C155" s="96" t="s">
        <v>389</v>
      </c>
      <c r="D155" s="96" t="s">
        <v>426</v>
      </c>
      <c r="E155" s="96">
        <v>0.96699999999999997</v>
      </c>
      <c r="F155" s="98">
        <v>0.125</v>
      </c>
      <c r="G155" s="93" t="s">
        <v>110</v>
      </c>
      <c r="H155" s="99">
        <f>VLOOKUP($G:$G,材料单价表!$B$4:$G$40,5,0)</f>
        <v>0</v>
      </c>
      <c r="I155" s="96"/>
    </row>
    <row r="156" spans="1:9" ht="18" customHeight="1" x14ac:dyDescent="0.15">
      <c r="A156" s="96">
        <v>2</v>
      </c>
      <c r="B156" s="96" t="s">
        <v>428</v>
      </c>
      <c r="C156" s="96" t="s">
        <v>255</v>
      </c>
      <c r="D156" s="96" t="s">
        <v>426</v>
      </c>
      <c r="E156" s="96">
        <v>1.113</v>
      </c>
      <c r="F156" s="98">
        <v>0.125</v>
      </c>
      <c r="G156" s="93" t="s">
        <v>110</v>
      </c>
      <c r="H156" s="99">
        <f>VLOOKUP($G:$G,材料单价表!$B$4:$G$40,5,0)</f>
        <v>0</v>
      </c>
      <c r="I156" s="96"/>
    </row>
    <row r="157" spans="1:9" ht="18" customHeight="1" x14ac:dyDescent="0.15">
      <c r="A157" s="96">
        <v>3</v>
      </c>
      <c r="B157" s="96" t="s">
        <v>429</v>
      </c>
      <c r="C157" s="96" t="s">
        <v>430</v>
      </c>
      <c r="D157" s="96" t="s">
        <v>425</v>
      </c>
      <c r="E157" s="96">
        <v>0.95399999999999996</v>
      </c>
      <c r="F157" s="98">
        <v>0.125</v>
      </c>
      <c r="G157" s="93" t="s">
        <v>110</v>
      </c>
      <c r="H157" s="99">
        <f>VLOOKUP($G:$G,材料单价表!$B$4:$G$40,5,0)</f>
        <v>0</v>
      </c>
      <c r="I157" s="96"/>
    </row>
    <row r="158" spans="1:9" ht="18" customHeight="1" x14ac:dyDescent="0.15">
      <c r="A158" s="96">
        <v>4</v>
      </c>
      <c r="B158" s="96" t="s">
        <v>431</v>
      </c>
      <c r="C158" s="96" t="s">
        <v>430</v>
      </c>
      <c r="D158" s="96" t="s">
        <v>425</v>
      </c>
      <c r="E158" s="96">
        <v>0.92300000000000004</v>
      </c>
      <c r="F158" s="98">
        <v>0.125</v>
      </c>
      <c r="G158" s="93" t="s">
        <v>110</v>
      </c>
      <c r="H158" s="99">
        <f>VLOOKUP($G:$G,材料单价表!$B$4:$G$40,5,0)</f>
        <v>0</v>
      </c>
      <c r="I158" s="96"/>
    </row>
    <row r="159" spans="1:9" ht="18" customHeight="1" x14ac:dyDescent="0.15">
      <c r="A159" s="96">
        <v>5</v>
      </c>
      <c r="B159" s="96" t="s">
        <v>432</v>
      </c>
      <c r="C159" s="96" t="s">
        <v>433</v>
      </c>
      <c r="D159" s="96" t="s">
        <v>425</v>
      </c>
      <c r="E159" s="96">
        <v>1.4450000000000001</v>
      </c>
      <c r="F159" s="98">
        <v>0.125</v>
      </c>
      <c r="G159" s="93" t="s">
        <v>110</v>
      </c>
      <c r="H159" s="99">
        <f>VLOOKUP($G:$G,材料单价表!$B$4:$G$40,5,0)</f>
        <v>0</v>
      </c>
      <c r="I159" s="96"/>
    </row>
    <row r="160" spans="1:9" ht="18" customHeight="1" x14ac:dyDescent="0.15">
      <c r="A160" s="96">
        <v>6</v>
      </c>
      <c r="B160" s="96" t="s">
        <v>434</v>
      </c>
      <c r="C160" s="96" t="s">
        <v>433</v>
      </c>
      <c r="D160" s="96" t="s">
        <v>425</v>
      </c>
      <c r="E160" s="96">
        <v>1.4390000000000001</v>
      </c>
      <c r="F160" s="98">
        <v>0.125</v>
      </c>
      <c r="G160" s="93" t="s">
        <v>110</v>
      </c>
      <c r="H160" s="99">
        <f>VLOOKUP($G:$G,材料单价表!$B$4:$G$40,5,0)</f>
        <v>0</v>
      </c>
      <c r="I160" s="96"/>
    </row>
    <row r="161" spans="1:9" ht="18" customHeight="1" x14ac:dyDescent="0.15">
      <c r="A161" s="96">
        <v>7</v>
      </c>
      <c r="B161" s="96" t="s">
        <v>435</v>
      </c>
      <c r="C161" s="96" t="s">
        <v>264</v>
      </c>
      <c r="D161" s="96" t="s">
        <v>425</v>
      </c>
      <c r="E161" s="96">
        <v>1.5489999999999999</v>
      </c>
      <c r="F161" s="98">
        <v>0.125</v>
      </c>
      <c r="G161" s="93" t="s">
        <v>110</v>
      </c>
      <c r="H161" s="99">
        <f>VLOOKUP($G:$G,材料单价表!$B$4:$G$40,5,0)</f>
        <v>0</v>
      </c>
      <c r="I161" s="96"/>
    </row>
    <row r="162" spans="1:9" ht="18" customHeight="1" x14ac:dyDescent="0.15">
      <c r="A162" s="96">
        <v>8</v>
      </c>
      <c r="B162" s="96" t="s">
        <v>436</v>
      </c>
      <c r="C162" s="96" t="s">
        <v>376</v>
      </c>
      <c r="D162" s="96" t="s">
        <v>425</v>
      </c>
      <c r="E162" s="96">
        <v>2.0950000000000002</v>
      </c>
      <c r="F162" s="98">
        <v>0.125</v>
      </c>
      <c r="G162" s="93" t="s">
        <v>112</v>
      </c>
      <c r="H162" s="99">
        <f>VLOOKUP($G:$G,材料单价表!$B$4:$G$40,5,0)</f>
        <v>0</v>
      </c>
      <c r="I162" s="96"/>
    </row>
    <row r="163" spans="1:9" ht="18" customHeight="1" x14ac:dyDescent="0.15">
      <c r="A163" s="96"/>
      <c r="B163" s="96"/>
      <c r="C163" s="96"/>
      <c r="D163" s="96"/>
      <c r="E163" s="96"/>
      <c r="F163" s="96"/>
      <c r="G163" s="96"/>
      <c r="H163" s="96"/>
      <c r="I163" s="96"/>
    </row>
    <row r="164" spans="1:9" s="149" customFormat="1" ht="18" customHeight="1" x14ac:dyDescent="0.15">
      <c r="A164" s="150" t="s">
        <v>393</v>
      </c>
      <c r="B164" s="150" t="s">
        <v>278</v>
      </c>
      <c r="C164" s="150"/>
      <c r="D164" s="150"/>
      <c r="E164" s="150"/>
      <c r="F164" s="150"/>
      <c r="G164" s="150"/>
      <c r="H164" s="150"/>
      <c r="I164" s="150"/>
    </row>
    <row r="165" spans="1:9" ht="18" customHeight="1" x14ac:dyDescent="0.15">
      <c r="A165" s="96">
        <v>1</v>
      </c>
      <c r="B165" s="96" t="s">
        <v>457</v>
      </c>
      <c r="C165" s="96" t="s">
        <v>389</v>
      </c>
      <c r="D165" s="96" t="s">
        <v>468</v>
      </c>
      <c r="E165" s="96">
        <v>0.95599999999999996</v>
      </c>
      <c r="F165" s="98">
        <v>0.125</v>
      </c>
      <c r="G165" s="93" t="s">
        <v>110</v>
      </c>
      <c r="H165" s="99">
        <f>VLOOKUP($G:$G,材料单价表!$B$4:$G$40,5,0)</f>
        <v>0</v>
      </c>
      <c r="I165" s="96"/>
    </row>
    <row r="166" spans="1:9" ht="18" customHeight="1" x14ac:dyDescent="0.15">
      <c r="A166" s="96">
        <v>2</v>
      </c>
      <c r="B166" s="96" t="s">
        <v>458</v>
      </c>
      <c r="C166" s="96" t="s">
        <v>255</v>
      </c>
      <c r="D166" s="96" t="s">
        <v>468</v>
      </c>
      <c r="E166" s="96">
        <v>1.1020000000000001</v>
      </c>
      <c r="F166" s="98">
        <v>0.125</v>
      </c>
      <c r="G166" s="93" t="s">
        <v>110</v>
      </c>
      <c r="H166" s="99">
        <f>VLOOKUP($G:$G,材料单价表!$B$4:$G$40,5,0)</f>
        <v>0</v>
      </c>
      <c r="I166" s="96"/>
    </row>
    <row r="167" spans="1:9" ht="18" customHeight="1" x14ac:dyDescent="0.15">
      <c r="A167" s="96">
        <v>3</v>
      </c>
      <c r="B167" s="96" t="s">
        <v>459</v>
      </c>
      <c r="C167" s="96" t="s">
        <v>430</v>
      </c>
      <c r="D167" s="96" t="s">
        <v>467</v>
      </c>
      <c r="E167" s="96">
        <v>0.94399999999999995</v>
      </c>
      <c r="F167" s="98">
        <v>0.125</v>
      </c>
      <c r="G167" s="93" t="s">
        <v>110</v>
      </c>
      <c r="H167" s="99">
        <f>VLOOKUP($G:$G,材料单价表!$B$4:$G$40,5,0)</f>
        <v>0</v>
      </c>
      <c r="I167" s="96"/>
    </row>
    <row r="168" spans="1:9" ht="18" customHeight="1" x14ac:dyDescent="0.15">
      <c r="A168" s="96">
        <v>4</v>
      </c>
      <c r="B168" s="96" t="s">
        <v>460</v>
      </c>
      <c r="C168" s="96" t="s">
        <v>430</v>
      </c>
      <c r="D168" s="96" t="s">
        <v>467</v>
      </c>
      <c r="E168" s="96">
        <v>0.91200000000000003</v>
      </c>
      <c r="F168" s="98">
        <v>0.125</v>
      </c>
      <c r="G168" s="93" t="s">
        <v>110</v>
      </c>
      <c r="H168" s="99">
        <f>VLOOKUP($G:$G,材料单价表!$B$4:$G$40,5,0)</f>
        <v>0</v>
      </c>
      <c r="I168" s="96"/>
    </row>
    <row r="169" spans="1:9" ht="18" customHeight="1" x14ac:dyDescent="0.15">
      <c r="A169" s="96">
        <v>5</v>
      </c>
      <c r="B169" s="96" t="s">
        <v>461</v>
      </c>
      <c r="C169" s="96" t="s">
        <v>433</v>
      </c>
      <c r="D169" s="96" t="s">
        <v>467</v>
      </c>
      <c r="E169" s="96">
        <v>1.4339999999999999</v>
      </c>
      <c r="F169" s="98">
        <v>0.125</v>
      </c>
      <c r="G169" s="93" t="s">
        <v>110</v>
      </c>
      <c r="H169" s="99">
        <f>VLOOKUP($G:$G,材料单价表!$B$4:$G$40,5,0)</f>
        <v>0</v>
      </c>
      <c r="I169" s="96"/>
    </row>
    <row r="170" spans="1:9" ht="18" customHeight="1" x14ac:dyDescent="0.15">
      <c r="A170" s="96">
        <v>6</v>
      </c>
      <c r="B170" s="96" t="s">
        <v>462</v>
      </c>
      <c r="C170" s="96" t="s">
        <v>433</v>
      </c>
      <c r="D170" s="96" t="s">
        <v>467</v>
      </c>
      <c r="E170" s="96">
        <v>1.4279999999999999</v>
      </c>
      <c r="F170" s="98">
        <v>0.125</v>
      </c>
      <c r="G170" s="93" t="s">
        <v>110</v>
      </c>
      <c r="H170" s="99">
        <f>VLOOKUP($G:$G,材料单价表!$B$4:$G$40,5,0)</f>
        <v>0</v>
      </c>
      <c r="I170" s="96"/>
    </row>
    <row r="171" spans="1:9" ht="18" customHeight="1" x14ac:dyDescent="0.15">
      <c r="A171" s="96">
        <v>7</v>
      </c>
      <c r="B171" s="96" t="s">
        <v>463</v>
      </c>
      <c r="C171" s="96" t="s">
        <v>264</v>
      </c>
      <c r="D171" s="96" t="s">
        <v>467</v>
      </c>
      <c r="E171" s="96">
        <v>1.538</v>
      </c>
      <c r="F171" s="98">
        <v>0.125</v>
      </c>
      <c r="G171" s="93" t="s">
        <v>110</v>
      </c>
      <c r="H171" s="99">
        <f>VLOOKUP($G:$G,材料单价表!$B$4:$G$40,5,0)</f>
        <v>0</v>
      </c>
      <c r="I171" s="96"/>
    </row>
    <row r="172" spans="1:9" ht="18" customHeight="1" x14ac:dyDescent="0.15">
      <c r="A172" s="96">
        <v>8</v>
      </c>
      <c r="B172" s="96" t="s">
        <v>464</v>
      </c>
      <c r="C172" s="96" t="s">
        <v>466</v>
      </c>
      <c r="D172" s="96" t="s">
        <v>467</v>
      </c>
      <c r="E172" s="96">
        <v>0.23799999999999999</v>
      </c>
      <c r="F172" s="98">
        <v>0.125</v>
      </c>
      <c r="G172" s="93" t="s">
        <v>469</v>
      </c>
      <c r="H172" s="99">
        <f>VLOOKUP($G:$G,材料单价表!$B$4:$G$40,5,0)</f>
        <v>0</v>
      </c>
      <c r="I172" s="96"/>
    </row>
    <row r="173" spans="1:9" ht="18" customHeight="1" x14ac:dyDescent="0.15">
      <c r="A173" s="96">
        <v>9</v>
      </c>
      <c r="B173" s="96" t="s">
        <v>465</v>
      </c>
      <c r="C173" s="96" t="s">
        <v>466</v>
      </c>
      <c r="D173" s="96" t="s">
        <v>467</v>
      </c>
      <c r="E173" s="96">
        <v>0.25700000000000001</v>
      </c>
      <c r="F173" s="98">
        <v>0.125</v>
      </c>
      <c r="G173" s="93" t="s">
        <v>469</v>
      </c>
      <c r="H173" s="99">
        <f>VLOOKUP($G:$G,材料单价表!$B$4:$G$40,5,0)</f>
        <v>0</v>
      </c>
      <c r="I173" s="96"/>
    </row>
    <row r="174" spans="1:9" ht="18" customHeight="1" x14ac:dyDescent="0.15">
      <c r="A174" s="96"/>
      <c r="B174" s="96"/>
      <c r="C174" s="96"/>
      <c r="D174" s="96"/>
      <c r="E174" s="96"/>
      <c r="F174" s="96"/>
      <c r="G174" s="96"/>
      <c r="H174" s="96"/>
      <c r="I174" s="96"/>
    </row>
    <row r="175" spans="1:9" s="149" customFormat="1" ht="18" customHeight="1" x14ac:dyDescent="0.15">
      <c r="A175" s="150" t="s">
        <v>277</v>
      </c>
      <c r="B175" s="150" t="s">
        <v>291</v>
      </c>
      <c r="C175" s="150"/>
      <c r="D175" s="150"/>
      <c r="E175" s="150"/>
      <c r="F175" s="150"/>
      <c r="G175" s="150"/>
      <c r="H175" s="150"/>
      <c r="I175" s="150"/>
    </row>
    <row r="176" spans="1:9" ht="18" customHeight="1" x14ac:dyDescent="0.15">
      <c r="A176" s="96">
        <v>1</v>
      </c>
      <c r="B176" s="96" t="s">
        <v>470</v>
      </c>
      <c r="C176" s="96" t="s">
        <v>389</v>
      </c>
      <c r="D176" s="96" t="s">
        <v>478</v>
      </c>
      <c r="E176" s="96">
        <v>0.99199999999999999</v>
      </c>
      <c r="F176" s="98">
        <v>0.125</v>
      </c>
      <c r="G176" s="93" t="s">
        <v>110</v>
      </c>
      <c r="H176" s="99">
        <f>VLOOKUP($G:$G,材料单价表!$B$4:$G$40,5,0)</f>
        <v>0</v>
      </c>
      <c r="I176" s="96"/>
    </row>
    <row r="177" spans="1:9" ht="18" customHeight="1" x14ac:dyDescent="0.15">
      <c r="A177" s="96">
        <v>2</v>
      </c>
      <c r="B177" s="96" t="s">
        <v>471</v>
      </c>
      <c r="C177" s="96" t="s">
        <v>255</v>
      </c>
      <c r="D177" s="96" t="s">
        <v>478</v>
      </c>
      <c r="E177" s="96">
        <v>1.1379999999999999</v>
      </c>
      <c r="F177" s="98">
        <v>0.125</v>
      </c>
      <c r="G177" s="93" t="s">
        <v>110</v>
      </c>
      <c r="H177" s="99">
        <f>VLOOKUP($G:$G,材料单价表!$B$4:$G$40,5,0)</f>
        <v>0</v>
      </c>
      <c r="I177" s="96"/>
    </row>
    <row r="178" spans="1:9" ht="18" customHeight="1" x14ac:dyDescent="0.15">
      <c r="A178" s="96">
        <v>3</v>
      </c>
      <c r="B178" s="96" t="s">
        <v>472</v>
      </c>
      <c r="C178" s="96" t="s">
        <v>430</v>
      </c>
      <c r="D178" s="96" t="s">
        <v>477</v>
      </c>
      <c r="E178" s="96">
        <v>0.97899999999999998</v>
      </c>
      <c r="F178" s="98">
        <v>0.125</v>
      </c>
      <c r="G178" s="93" t="s">
        <v>110</v>
      </c>
      <c r="H178" s="99">
        <f>VLOOKUP($G:$G,材料单价表!$B$4:$G$40,5,0)</f>
        <v>0</v>
      </c>
      <c r="I178" s="96"/>
    </row>
    <row r="179" spans="1:9" ht="18" customHeight="1" x14ac:dyDescent="0.15">
      <c r="A179" s="96">
        <v>4</v>
      </c>
      <c r="B179" s="96" t="s">
        <v>473</v>
      </c>
      <c r="C179" s="96" t="s">
        <v>430</v>
      </c>
      <c r="D179" s="96" t="s">
        <v>477</v>
      </c>
      <c r="E179" s="96">
        <v>0.94799999999999995</v>
      </c>
      <c r="F179" s="98">
        <v>0.125</v>
      </c>
      <c r="G179" s="93" t="s">
        <v>110</v>
      </c>
      <c r="H179" s="99">
        <f>VLOOKUP($G:$G,材料单价表!$B$4:$G$40,5,0)</f>
        <v>0</v>
      </c>
      <c r="I179" s="96"/>
    </row>
    <row r="180" spans="1:9" ht="18" customHeight="1" x14ac:dyDescent="0.15">
      <c r="A180" s="96">
        <v>5</v>
      </c>
      <c r="B180" s="96" t="s">
        <v>474</v>
      </c>
      <c r="C180" s="96" t="s">
        <v>433</v>
      </c>
      <c r="D180" s="96" t="s">
        <v>477</v>
      </c>
      <c r="E180" s="96">
        <v>1.47</v>
      </c>
      <c r="F180" s="98">
        <v>0.125</v>
      </c>
      <c r="G180" s="93" t="s">
        <v>110</v>
      </c>
      <c r="H180" s="99">
        <f>VLOOKUP($G:$G,材料单价表!$B$4:$G$40,5,0)</f>
        <v>0</v>
      </c>
      <c r="I180" s="96"/>
    </row>
    <row r="181" spans="1:9" ht="18" customHeight="1" x14ac:dyDescent="0.15">
      <c r="A181" s="96">
        <v>6</v>
      </c>
      <c r="B181" s="96" t="s">
        <v>475</v>
      </c>
      <c r="C181" s="96" t="s">
        <v>433</v>
      </c>
      <c r="D181" s="96" t="s">
        <v>477</v>
      </c>
      <c r="E181" s="96">
        <v>1.464</v>
      </c>
      <c r="F181" s="98">
        <v>0.125</v>
      </c>
      <c r="G181" s="93" t="s">
        <v>110</v>
      </c>
      <c r="H181" s="99">
        <f>VLOOKUP($G:$G,材料单价表!$B$4:$G$40,5,0)</f>
        <v>0</v>
      </c>
      <c r="I181" s="96"/>
    </row>
    <row r="182" spans="1:9" ht="18" customHeight="1" x14ac:dyDescent="0.15">
      <c r="A182" s="96">
        <v>7</v>
      </c>
      <c r="B182" s="96" t="s">
        <v>476</v>
      </c>
      <c r="C182" s="96" t="s">
        <v>264</v>
      </c>
      <c r="D182" s="96" t="s">
        <v>477</v>
      </c>
      <c r="E182" s="96">
        <v>1.5740000000000001</v>
      </c>
      <c r="F182" s="98">
        <v>0.125</v>
      </c>
      <c r="G182" s="93" t="s">
        <v>110</v>
      </c>
      <c r="H182" s="99">
        <f>VLOOKUP($G:$G,材料单价表!$B$4:$G$40,5,0)</f>
        <v>0</v>
      </c>
      <c r="I182" s="96"/>
    </row>
    <row r="183" spans="1:9" ht="18" customHeight="1" x14ac:dyDescent="0.15">
      <c r="A183" s="96"/>
      <c r="B183" s="96"/>
      <c r="C183" s="96"/>
      <c r="D183" s="96"/>
      <c r="E183" s="96"/>
      <c r="F183" s="96"/>
      <c r="G183" s="96"/>
      <c r="H183" s="96"/>
      <c r="I183" s="96"/>
    </row>
    <row r="184" spans="1:9" s="149" customFormat="1" ht="18" customHeight="1" x14ac:dyDescent="0.15">
      <c r="A184" s="150" t="s">
        <v>290</v>
      </c>
      <c r="B184" s="150" t="s">
        <v>303</v>
      </c>
      <c r="C184" s="150"/>
      <c r="D184" s="150"/>
      <c r="E184" s="150"/>
      <c r="F184" s="150"/>
      <c r="G184" s="150"/>
      <c r="H184" s="150"/>
      <c r="I184" s="150"/>
    </row>
    <row r="185" spans="1:9" ht="18" customHeight="1" x14ac:dyDescent="0.15">
      <c r="A185" s="96">
        <v>1</v>
      </c>
      <c r="B185" s="96" t="s">
        <v>479</v>
      </c>
      <c r="C185" s="96" t="s">
        <v>389</v>
      </c>
      <c r="D185" s="96" t="s">
        <v>489</v>
      </c>
      <c r="E185" s="96">
        <v>0.99099999999999999</v>
      </c>
      <c r="F185" s="98">
        <v>0.125</v>
      </c>
      <c r="G185" s="93" t="s">
        <v>110</v>
      </c>
      <c r="H185" s="99">
        <f>VLOOKUP($G:$G,材料单价表!$B$4:$G$40,5,0)</f>
        <v>0</v>
      </c>
      <c r="I185" s="96"/>
    </row>
    <row r="186" spans="1:9" ht="18" customHeight="1" x14ac:dyDescent="0.15">
      <c r="A186" s="96">
        <v>2</v>
      </c>
      <c r="B186" s="96" t="s">
        <v>480</v>
      </c>
      <c r="C186" s="96" t="s">
        <v>255</v>
      </c>
      <c r="D186" s="96" t="s">
        <v>489</v>
      </c>
      <c r="E186" s="93">
        <v>1.137</v>
      </c>
      <c r="F186" s="98">
        <v>0.125</v>
      </c>
      <c r="G186" s="93" t="s">
        <v>110</v>
      </c>
      <c r="H186" s="99">
        <f>VLOOKUP($G:$G,材料单价表!$B$4:$G$40,5,0)</f>
        <v>0</v>
      </c>
      <c r="I186" s="93"/>
    </row>
    <row r="187" spans="1:9" ht="18" customHeight="1" x14ac:dyDescent="0.15">
      <c r="A187" s="96">
        <v>3</v>
      </c>
      <c r="B187" s="96" t="s">
        <v>481</v>
      </c>
      <c r="C187" s="96" t="s">
        <v>430</v>
      </c>
      <c r="D187" s="96" t="s">
        <v>488</v>
      </c>
      <c r="E187" s="93">
        <v>0.97899999999999998</v>
      </c>
      <c r="F187" s="98">
        <v>0.125</v>
      </c>
      <c r="G187" s="93" t="s">
        <v>110</v>
      </c>
      <c r="H187" s="99">
        <f>VLOOKUP($G:$G,材料单价表!$B$4:$G$40,5,0)</f>
        <v>0</v>
      </c>
      <c r="I187" s="93"/>
    </row>
    <row r="188" spans="1:9" ht="18" customHeight="1" x14ac:dyDescent="0.15">
      <c r="A188" s="96">
        <v>4</v>
      </c>
      <c r="B188" s="96" t="s">
        <v>482</v>
      </c>
      <c r="C188" s="96" t="s">
        <v>430</v>
      </c>
      <c r="D188" s="96" t="s">
        <v>488</v>
      </c>
      <c r="E188" s="93">
        <v>0.94699999999999995</v>
      </c>
      <c r="F188" s="98">
        <v>0.125</v>
      </c>
      <c r="G188" s="93" t="s">
        <v>110</v>
      </c>
      <c r="H188" s="99">
        <f>VLOOKUP($G:$G,材料单价表!$B$4:$G$40,5,0)</f>
        <v>0</v>
      </c>
      <c r="I188" s="93"/>
    </row>
    <row r="189" spans="1:9" ht="18" customHeight="1" x14ac:dyDescent="0.15">
      <c r="A189" s="96">
        <v>5</v>
      </c>
      <c r="B189" s="96" t="s">
        <v>483</v>
      </c>
      <c r="C189" s="96" t="s">
        <v>433</v>
      </c>
      <c r="D189" s="96" t="s">
        <v>488</v>
      </c>
      <c r="E189" s="93">
        <v>1.4690000000000001</v>
      </c>
      <c r="F189" s="98">
        <v>0.125</v>
      </c>
      <c r="G189" s="93" t="s">
        <v>110</v>
      </c>
      <c r="H189" s="99">
        <f>VLOOKUP($G:$G,材料单价表!$B$4:$G$40,5,0)</f>
        <v>0</v>
      </c>
      <c r="I189" s="93"/>
    </row>
    <row r="190" spans="1:9" ht="18" customHeight="1" x14ac:dyDescent="0.15">
      <c r="A190" s="96">
        <v>6</v>
      </c>
      <c r="B190" s="96" t="s">
        <v>484</v>
      </c>
      <c r="C190" s="96" t="s">
        <v>433</v>
      </c>
      <c r="D190" s="96" t="s">
        <v>488</v>
      </c>
      <c r="E190" s="93">
        <v>1.4630000000000001</v>
      </c>
      <c r="F190" s="98">
        <v>0.125</v>
      </c>
      <c r="G190" s="93" t="s">
        <v>110</v>
      </c>
      <c r="H190" s="99">
        <f>VLOOKUP($G:$G,材料单价表!$B$4:$G$40,5,0)</f>
        <v>0</v>
      </c>
      <c r="I190" s="93"/>
    </row>
    <row r="191" spans="1:9" ht="18" customHeight="1" x14ac:dyDescent="0.15">
      <c r="A191" s="96">
        <v>7</v>
      </c>
      <c r="B191" s="96" t="s">
        <v>485</v>
      </c>
      <c r="C191" s="96" t="s">
        <v>264</v>
      </c>
      <c r="D191" s="96" t="s">
        <v>488</v>
      </c>
      <c r="E191" s="93">
        <v>1.573</v>
      </c>
      <c r="F191" s="98">
        <v>0.125</v>
      </c>
      <c r="G191" s="93" t="s">
        <v>110</v>
      </c>
      <c r="H191" s="99">
        <f>VLOOKUP($G:$G,材料单价表!$B$4:$G$40,5,0)</f>
        <v>0</v>
      </c>
      <c r="I191" s="93"/>
    </row>
    <row r="192" spans="1:9" ht="18" customHeight="1" x14ac:dyDescent="0.15">
      <c r="A192" s="96">
        <v>8</v>
      </c>
      <c r="B192" s="96" t="s">
        <v>486</v>
      </c>
      <c r="C192" s="96" t="s">
        <v>466</v>
      </c>
      <c r="D192" s="96" t="s">
        <v>488</v>
      </c>
      <c r="E192" s="93">
        <v>0.255</v>
      </c>
      <c r="F192" s="98">
        <v>0.125</v>
      </c>
      <c r="G192" s="93" t="s">
        <v>110</v>
      </c>
      <c r="H192" s="99">
        <f>VLOOKUP($G:$G,材料单价表!$B$4:$G$40,5,0)</f>
        <v>0</v>
      </c>
      <c r="I192" s="93"/>
    </row>
    <row r="193" spans="1:9" ht="18" customHeight="1" x14ac:dyDescent="0.15">
      <c r="A193" s="96">
        <v>9</v>
      </c>
      <c r="B193" s="96" t="s">
        <v>487</v>
      </c>
      <c r="C193" s="96" t="s">
        <v>466</v>
      </c>
      <c r="D193" s="96" t="s">
        <v>488</v>
      </c>
      <c r="E193" s="93">
        <v>0.27400000000000002</v>
      </c>
      <c r="F193" s="98">
        <v>0.125</v>
      </c>
      <c r="G193" s="93" t="s">
        <v>110</v>
      </c>
      <c r="H193" s="99">
        <f>VLOOKUP($G:$G,材料单价表!$B$4:$G$40,5,0)</f>
        <v>0</v>
      </c>
      <c r="I193" s="93"/>
    </row>
    <row r="194" spans="1:9" ht="18" customHeight="1" x14ac:dyDescent="0.15">
      <c r="A194" s="93"/>
      <c r="B194" s="93"/>
      <c r="C194" s="93"/>
      <c r="D194" s="93"/>
      <c r="E194" s="93"/>
      <c r="F194" s="93"/>
      <c r="G194" s="93"/>
      <c r="H194" s="93"/>
      <c r="I194" s="93"/>
    </row>
    <row r="195" spans="1:9" s="149" customFormat="1" ht="18" customHeight="1" x14ac:dyDescent="0.15">
      <c r="A195" s="101" t="s">
        <v>302</v>
      </c>
      <c r="B195" s="150" t="s">
        <v>414</v>
      </c>
      <c r="C195" s="101"/>
      <c r="D195" s="101"/>
      <c r="E195" s="101"/>
      <c r="F195" s="101"/>
      <c r="G195" s="101"/>
      <c r="H195" s="101"/>
      <c r="I195" s="101"/>
    </row>
    <row r="196" spans="1:9" ht="18" customHeight="1" x14ac:dyDescent="0.15">
      <c r="A196" s="96">
        <v>1</v>
      </c>
      <c r="B196" s="96" t="s">
        <v>490</v>
      </c>
      <c r="C196" s="96" t="s">
        <v>389</v>
      </c>
      <c r="D196" s="96" t="s">
        <v>498</v>
      </c>
      <c r="E196" s="93">
        <v>1.02</v>
      </c>
      <c r="F196" s="98">
        <v>0.125</v>
      </c>
      <c r="G196" s="93" t="s">
        <v>110</v>
      </c>
      <c r="H196" s="99">
        <f>VLOOKUP($G:$G,材料单价表!$B$4:$G$40,5,0)</f>
        <v>0</v>
      </c>
      <c r="I196" s="93"/>
    </row>
    <row r="197" spans="1:9" ht="18" customHeight="1" x14ac:dyDescent="0.15">
      <c r="A197" s="96">
        <v>2</v>
      </c>
      <c r="B197" s="96" t="s">
        <v>491</v>
      </c>
      <c r="C197" s="96" t="s">
        <v>255</v>
      </c>
      <c r="D197" s="96" t="s">
        <v>498</v>
      </c>
      <c r="E197" s="93">
        <v>1.1659999999999999</v>
      </c>
      <c r="F197" s="98">
        <v>0.125</v>
      </c>
      <c r="G197" s="93" t="s">
        <v>110</v>
      </c>
      <c r="H197" s="99">
        <f>VLOOKUP($G:$G,材料单价表!$B$4:$G$40,5,0)</f>
        <v>0</v>
      </c>
      <c r="I197" s="93"/>
    </row>
    <row r="198" spans="1:9" ht="18" customHeight="1" x14ac:dyDescent="0.15">
      <c r="A198" s="96">
        <v>3</v>
      </c>
      <c r="B198" s="96" t="s">
        <v>492</v>
      </c>
      <c r="C198" s="96" t="s">
        <v>430</v>
      </c>
      <c r="D198" s="96" t="s">
        <v>497</v>
      </c>
      <c r="E198" s="93">
        <v>1.0069999999999999</v>
      </c>
      <c r="F198" s="98">
        <v>0.125</v>
      </c>
      <c r="G198" s="93" t="s">
        <v>110</v>
      </c>
      <c r="H198" s="99">
        <f>VLOOKUP($G:$G,材料单价表!$B$4:$G$40,5,0)</f>
        <v>0</v>
      </c>
      <c r="I198" s="93"/>
    </row>
    <row r="199" spans="1:9" ht="18" customHeight="1" x14ac:dyDescent="0.15">
      <c r="A199" s="96">
        <v>4</v>
      </c>
      <c r="B199" s="96" t="s">
        <v>493</v>
      </c>
      <c r="C199" s="96" t="s">
        <v>430</v>
      </c>
      <c r="D199" s="96" t="s">
        <v>497</v>
      </c>
      <c r="E199" s="93">
        <v>0.97599999999999998</v>
      </c>
      <c r="F199" s="98">
        <v>0.125</v>
      </c>
      <c r="G199" s="93" t="s">
        <v>110</v>
      </c>
      <c r="H199" s="99">
        <f>VLOOKUP($G:$G,材料单价表!$B$4:$G$40,5,0)</f>
        <v>0</v>
      </c>
      <c r="I199" s="93"/>
    </row>
    <row r="200" spans="1:9" ht="18" customHeight="1" x14ac:dyDescent="0.15">
      <c r="A200" s="96">
        <v>5</v>
      </c>
      <c r="B200" s="96" t="s">
        <v>494</v>
      </c>
      <c r="C200" s="96" t="s">
        <v>433</v>
      </c>
      <c r="D200" s="96" t="s">
        <v>497</v>
      </c>
      <c r="E200" s="93">
        <v>1.498</v>
      </c>
      <c r="F200" s="98">
        <v>0.125</v>
      </c>
      <c r="G200" s="93" t="s">
        <v>110</v>
      </c>
      <c r="H200" s="99">
        <f>VLOOKUP($G:$G,材料单价表!$B$4:$G$40,5,0)</f>
        <v>0</v>
      </c>
      <c r="I200" s="93"/>
    </row>
    <row r="201" spans="1:9" ht="18" customHeight="1" x14ac:dyDescent="0.15">
      <c r="A201" s="96">
        <v>6</v>
      </c>
      <c r="B201" s="96" t="s">
        <v>495</v>
      </c>
      <c r="C201" s="96" t="s">
        <v>433</v>
      </c>
      <c r="D201" s="96" t="s">
        <v>497</v>
      </c>
      <c r="E201" s="93">
        <v>1.492</v>
      </c>
      <c r="F201" s="98">
        <v>0.125</v>
      </c>
      <c r="G201" s="93" t="s">
        <v>110</v>
      </c>
      <c r="H201" s="99">
        <f>VLOOKUP($G:$G,材料单价表!$B$4:$G$40,5,0)</f>
        <v>0</v>
      </c>
      <c r="I201" s="93"/>
    </row>
    <row r="202" spans="1:9" ht="18" customHeight="1" x14ac:dyDescent="0.15">
      <c r="A202" s="96">
        <v>7</v>
      </c>
      <c r="B202" s="96" t="s">
        <v>496</v>
      </c>
      <c r="C202" s="96" t="s">
        <v>264</v>
      </c>
      <c r="D202" s="96" t="s">
        <v>497</v>
      </c>
      <c r="E202" s="93">
        <v>1.6020000000000001</v>
      </c>
      <c r="F202" s="98">
        <v>0.125</v>
      </c>
      <c r="G202" s="93" t="s">
        <v>110</v>
      </c>
      <c r="H202" s="99">
        <f>VLOOKUP($G:$G,材料单价表!$B$4:$G$40,5,0)</f>
        <v>0</v>
      </c>
      <c r="I202" s="93"/>
    </row>
    <row r="203" spans="1:9" ht="18" customHeight="1" x14ac:dyDescent="0.15">
      <c r="A203" s="93"/>
      <c r="B203" s="93"/>
      <c r="C203" s="93"/>
      <c r="D203" s="93"/>
      <c r="E203" s="93"/>
      <c r="F203" s="93"/>
      <c r="G203" s="93"/>
      <c r="H203" s="93"/>
      <c r="I203" s="93"/>
    </row>
    <row r="204" spans="1:9" s="149" customFormat="1" ht="18" customHeight="1" x14ac:dyDescent="0.15">
      <c r="A204" s="101" t="s">
        <v>314</v>
      </c>
      <c r="B204" s="150" t="s">
        <v>315</v>
      </c>
      <c r="C204" s="101"/>
      <c r="D204" s="101"/>
      <c r="E204" s="101"/>
      <c r="F204" s="101"/>
      <c r="G204" s="101"/>
      <c r="H204" s="101"/>
      <c r="I204" s="101"/>
    </row>
    <row r="205" spans="1:9" ht="18" customHeight="1" x14ac:dyDescent="0.15">
      <c r="A205" s="96">
        <v>1</v>
      </c>
      <c r="B205" s="96" t="s">
        <v>499</v>
      </c>
      <c r="C205" s="96" t="s">
        <v>389</v>
      </c>
      <c r="D205" s="96" t="s">
        <v>507</v>
      </c>
      <c r="E205" s="93">
        <v>1.1180000000000001</v>
      </c>
      <c r="F205" s="98">
        <v>0.125</v>
      </c>
      <c r="G205" s="93" t="s">
        <v>110</v>
      </c>
      <c r="H205" s="99">
        <f>VLOOKUP($G:$G,材料单价表!$B$4:$G$40,5,0)</f>
        <v>0</v>
      </c>
      <c r="I205" s="93"/>
    </row>
    <row r="206" spans="1:9" ht="18" customHeight="1" x14ac:dyDescent="0.15">
      <c r="A206" s="96">
        <v>2</v>
      </c>
      <c r="B206" s="96" t="s">
        <v>500</v>
      </c>
      <c r="C206" s="96" t="s">
        <v>255</v>
      </c>
      <c r="D206" s="96" t="s">
        <v>507</v>
      </c>
      <c r="E206" s="93">
        <v>1.236</v>
      </c>
      <c r="F206" s="98">
        <v>0.125</v>
      </c>
      <c r="G206" s="93" t="s">
        <v>110</v>
      </c>
      <c r="H206" s="99">
        <f>VLOOKUP($G:$G,材料单价表!$B$4:$G$40,5,0)</f>
        <v>0</v>
      </c>
      <c r="I206" s="93"/>
    </row>
    <row r="207" spans="1:9" ht="18" customHeight="1" x14ac:dyDescent="0.15">
      <c r="A207" s="96">
        <v>3</v>
      </c>
      <c r="B207" s="96" t="s">
        <v>501</v>
      </c>
      <c r="C207" s="96" t="s">
        <v>430</v>
      </c>
      <c r="D207" s="96" t="s">
        <v>506</v>
      </c>
      <c r="E207" s="93">
        <v>1.0840000000000001</v>
      </c>
      <c r="F207" s="98">
        <v>0.125</v>
      </c>
      <c r="G207" s="93" t="s">
        <v>110</v>
      </c>
      <c r="H207" s="99">
        <f>VLOOKUP($G:$G,材料单价表!$B$4:$G$40,5,0)</f>
        <v>0</v>
      </c>
      <c r="I207" s="93"/>
    </row>
    <row r="208" spans="1:9" ht="18" customHeight="1" x14ac:dyDescent="0.15">
      <c r="A208" s="96">
        <v>4</v>
      </c>
      <c r="B208" s="96" t="s">
        <v>502</v>
      </c>
      <c r="C208" s="96" t="s">
        <v>430</v>
      </c>
      <c r="D208" s="96" t="s">
        <v>506</v>
      </c>
      <c r="E208" s="93">
        <v>1.0529999999999999</v>
      </c>
      <c r="F208" s="98">
        <v>0.125</v>
      </c>
      <c r="G208" s="93" t="s">
        <v>110</v>
      </c>
      <c r="H208" s="99">
        <f>VLOOKUP($G:$G,材料单价表!$B$4:$G$40,5,0)</f>
        <v>0</v>
      </c>
      <c r="I208" s="93"/>
    </row>
    <row r="209" spans="1:9" ht="18" customHeight="1" x14ac:dyDescent="0.15">
      <c r="A209" s="96">
        <v>5</v>
      </c>
      <c r="B209" s="96" t="s">
        <v>503</v>
      </c>
      <c r="C209" s="96" t="s">
        <v>433</v>
      </c>
      <c r="D209" s="96" t="s">
        <v>506</v>
      </c>
      <c r="E209" s="93">
        <v>1.647</v>
      </c>
      <c r="F209" s="98">
        <v>0.125</v>
      </c>
      <c r="G209" s="93" t="s">
        <v>110</v>
      </c>
      <c r="H209" s="99">
        <f>VLOOKUP($G:$G,材料单价表!$B$4:$G$40,5,0)</f>
        <v>0</v>
      </c>
      <c r="I209" s="93"/>
    </row>
    <row r="210" spans="1:9" ht="18" customHeight="1" x14ac:dyDescent="0.15">
      <c r="A210" s="96">
        <v>6</v>
      </c>
      <c r="B210" s="96" t="s">
        <v>504</v>
      </c>
      <c r="C210" s="96" t="s">
        <v>433</v>
      </c>
      <c r="D210" s="96" t="s">
        <v>506</v>
      </c>
      <c r="E210" s="93">
        <v>1.641</v>
      </c>
      <c r="F210" s="98">
        <v>0.125</v>
      </c>
      <c r="G210" s="93" t="s">
        <v>110</v>
      </c>
      <c r="H210" s="99">
        <f>VLOOKUP($G:$G,材料单价表!$B$4:$G$40,5,0)</f>
        <v>0</v>
      </c>
      <c r="I210" s="93"/>
    </row>
    <row r="211" spans="1:9" ht="18" customHeight="1" x14ac:dyDescent="0.15">
      <c r="A211" s="96">
        <v>7</v>
      </c>
      <c r="B211" s="96" t="s">
        <v>505</v>
      </c>
      <c r="C211" s="96" t="s">
        <v>264</v>
      </c>
      <c r="D211" s="96" t="s">
        <v>506</v>
      </c>
      <c r="E211" s="93">
        <v>1.6719999999999999</v>
      </c>
      <c r="F211" s="98">
        <v>0.125</v>
      </c>
      <c r="G211" s="93" t="s">
        <v>110</v>
      </c>
      <c r="H211" s="99">
        <f>VLOOKUP($G:$G,材料单价表!$B$4:$G$40,5,0)</f>
        <v>0</v>
      </c>
      <c r="I211" s="93"/>
    </row>
    <row r="212" spans="1:9" ht="18" customHeight="1" x14ac:dyDescent="0.15">
      <c r="A212" s="96">
        <v>8</v>
      </c>
      <c r="B212" s="93" t="s">
        <v>509</v>
      </c>
      <c r="C212" s="93" t="s">
        <v>508</v>
      </c>
      <c r="D212" s="96" t="s">
        <v>506</v>
      </c>
      <c r="E212" s="93">
        <v>3.206</v>
      </c>
      <c r="F212" s="98">
        <v>1.125</v>
      </c>
      <c r="G212" s="93" t="s">
        <v>110</v>
      </c>
      <c r="H212" s="99">
        <f>VLOOKUP($G:$G,材料单价表!$B$4:$G$40,5,0)</f>
        <v>0</v>
      </c>
      <c r="I212" s="93"/>
    </row>
    <row r="213" spans="1:9" ht="18" customHeight="1" x14ac:dyDescent="0.15">
      <c r="A213" s="93"/>
      <c r="B213" s="93"/>
      <c r="C213" s="93"/>
      <c r="D213" s="93"/>
      <c r="E213" s="93"/>
      <c r="F213" s="93"/>
      <c r="G213" s="93"/>
      <c r="H213" s="93"/>
      <c r="I213" s="93"/>
    </row>
    <row r="214" spans="1:9" s="149" customFormat="1" ht="18" customHeight="1" x14ac:dyDescent="0.15">
      <c r="A214" s="101" t="s">
        <v>437</v>
      </c>
      <c r="B214" s="150" t="s">
        <v>334</v>
      </c>
      <c r="C214" s="101"/>
      <c r="D214" s="101"/>
      <c r="E214" s="101"/>
      <c r="F214" s="101"/>
      <c r="G214" s="101"/>
      <c r="H214" s="101"/>
      <c r="I214" s="101"/>
    </row>
    <row r="215" spans="1:9" ht="18" customHeight="1" x14ac:dyDescent="0.15">
      <c r="A215" s="96">
        <v>1</v>
      </c>
      <c r="B215" s="96" t="s">
        <v>510</v>
      </c>
      <c r="C215" s="96" t="s">
        <v>389</v>
      </c>
      <c r="D215" s="96" t="s">
        <v>518</v>
      </c>
      <c r="E215" s="93">
        <v>1.175</v>
      </c>
      <c r="F215" s="98">
        <v>0.125</v>
      </c>
      <c r="G215" s="93" t="s">
        <v>110</v>
      </c>
      <c r="H215" s="99">
        <f>VLOOKUP($G:$G,材料单价表!$B$4:$G$40,5,0)</f>
        <v>0</v>
      </c>
      <c r="I215" s="93"/>
    </row>
    <row r="216" spans="1:9" ht="18" customHeight="1" x14ac:dyDescent="0.15">
      <c r="A216" s="96">
        <v>2</v>
      </c>
      <c r="B216" s="96" t="s">
        <v>511</v>
      </c>
      <c r="C216" s="96" t="s">
        <v>255</v>
      </c>
      <c r="D216" s="96" t="s">
        <v>518</v>
      </c>
      <c r="E216" s="93">
        <v>1.2929999999999999</v>
      </c>
      <c r="F216" s="98">
        <v>0.125</v>
      </c>
      <c r="G216" s="93" t="s">
        <v>110</v>
      </c>
      <c r="H216" s="99">
        <f>VLOOKUP($G:$G,材料单价表!$B$4:$G$40,5,0)</f>
        <v>0</v>
      </c>
      <c r="I216" s="93"/>
    </row>
    <row r="217" spans="1:9" ht="18" customHeight="1" x14ac:dyDescent="0.15">
      <c r="A217" s="96">
        <v>3</v>
      </c>
      <c r="B217" s="96" t="s">
        <v>512</v>
      </c>
      <c r="C217" s="96" t="s">
        <v>430</v>
      </c>
      <c r="D217" s="96" t="s">
        <v>517</v>
      </c>
      <c r="E217" s="93">
        <v>1.141</v>
      </c>
      <c r="F217" s="98">
        <v>0.125</v>
      </c>
      <c r="G217" s="93" t="s">
        <v>110</v>
      </c>
      <c r="H217" s="99">
        <f>VLOOKUP($G:$G,材料单价表!$B$4:$G$40,5,0)</f>
        <v>0</v>
      </c>
      <c r="I217" s="93"/>
    </row>
    <row r="218" spans="1:9" ht="18" customHeight="1" x14ac:dyDescent="0.15">
      <c r="A218" s="96">
        <v>4</v>
      </c>
      <c r="B218" s="96" t="s">
        <v>513</v>
      </c>
      <c r="C218" s="96" t="s">
        <v>430</v>
      </c>
      <c r="D218" s="96" t="s">
        <v>517</v>
      </c>
      <c r="E218" s="93">
        <v>1.1100000000000001</v>
      </c>
      <c r="F218" s="98">
        <v>0.125</v>
      </c>
      <c r="G218" s="93" t="s">
        <v>110</v>
      </c>
      <c r="H218" s="99">
        <f>VLOOKUP($G:$G,材料单价表!$B$4:$G$40,5,0)</f>
        <v>0</v>
      </c>
      <c r="I218" s="93"/>
    </row>
    <row r="219" spans="1:9" ht="18" customHeight="1" x14ac:dyDescent="0.15">
      <c r="A219" s="96">
        <v>5</v>
      </c>
      <c r="B219" s="96" t="s">
        <v>514</v>
      </c>
      <c r="C219" s="96" t="s">
        <v>433</v>
      </c>
      <c r="D219" s="96" t="s">
        <v>517</v>
      </c>
      <c r="E219" s="93">
        <v>1.704</v>
      </c>
      <c r="F219" s="98">
        <v>0.125</v>
      </c>
      <c r="G219" s="93" t="s">
        <v>110</v>
      </c>
      <c r="H219" s="99">
        <f>VLOOKUP($G:$G,材料单价表!$B$4:$G$40,5,0)</f>
        <v>0</v>
      </c>
      <c r="I219" s="93"/>
    </row>
    <row r="220" spans="1:9" ht="18" customHeight="1" x14ac:dyDescent="0.15">
      <c r="A220" s="96">
        <v>6</v>
      </c>
      <c r="B220" s="96" t="s">
        <v>515</v>
      </c>
      <c r="C220" s="96" t="s">
        <v>433</v>
      </c>
      <c r="D220" s="96" t="s">
        <v>517</v>
      </c>
      <c r="E220" s="93">
        <v>1.698</v>
      </c>
      <c r="F220" s="98">
        <v>0.125</v>
      </c>
      <c r="G220" s="93" t="s">
        <v>110</v>
      </c>
      <c r="H220" s="99">
        <f>VLOOKUP($G:$G,材料单价表!$B$4:$G$40,5,0)</f>
        <v>0</v>
      </c>
      <c r="I220" s="93"/>
    </row>
    <row r="221" spans="1:9" ht="18" customHeight="1" x14ac:dyDescent="0.15">
      <c r="A221" s="96">
        <v>7</v>
      </c>
      <c r="B221" s="96" t="s">
        <v>516</v>
      </c>
      <c r="C221" s="96" t="s">
        <v>264</v>
      </c>
      <c r="D221" s="96" t="s">
        <v>517</v>
      </c>
      <c r="E221" s="93">
        <v>1.7290000000000001</v>
      </c>
      <c r="F221" s="98">
        <v>0.125</v>
      </c>
      <c r="G221" s="93" t="s">
        <v>110</v>
      </c>
      <c r="H221" s="99">
        <f>VLOOKUP($G:$G,材料单价表!$B$4:$G$40,5,0)</f>
        <v>0</v>
      </c>
      <c r="I221" s="93"/>
    </row>
    <row r="222" spans="1:9" ht="18" customHeight="1" x14ac:dyDescent="0.15">
      <c r="A222" s="93"/>
      <c r="B222" s="93"/>
      <c r="C222" s="93"/>
      <c r="D222" s="93"/>
      <c r="E222" s="93"/>
      <c r="F222" s="93"/>
      <c r="G222" s="93"/>
      <c r="H222" s="93"/>
      <c r="I222" s="93"/>
    </row>
    <row r="223" spans="1:9" s="149" customFormat="1" ht="18" customHeight="1" x14ac:dyDescent="0.15">
      <c r="A223" s="202" t="s">
        <v>718</v>
      </c>
      <c r="B223" s="202" t="s">
        <v>719</v>
      </c>
      <c r="C223" s="202"/>
      <c r="D223" s="202"/>
      <c r="E223" s="202"/>
      <c r="F223" s="202"/>
      <c r="G223" s="202"/>
      <c r="H223" s="202"/>
      <c r="I223" s="202"/>
    </row>
    <row r="224" spans="1:9" ht="18" customHeight="1" x14ac:dyDescent="0.15">
      <c r="A224" s="201">
        <v>1</v>
      </c>
      <c r="B224" s="201" t="s">
        <v>720</v>
      </c>
      <c r="C224" s="201" t="s">
        <v>721</v>
      </c>
      <c r="D224" s="96" t="s">
        <v>746</v>
      </c>
      <c r="E224" s="201">
        <v>0.73799999999999999</v>
      </c>
      <c r="F224" s="98">
        <v>0.125</v>
      </c>
      <c r="G224" s="93" t="s">
        <v>700</v>
      </c>
      <c r="H224" s="99">
        <f>VLOOKUP($G:$G,材料单价表!$B$4:$G$40,5,0)</f>
        <v>0</v>
      </c>
      <c r="I224" s="201"/>
    </row>
    <row r="225" spans="1:9" ht="18" customHeight="1" x14ac:dyDescent="0.15">
      <c r="A225" s="201">
        <v>2</v>
      </c>
      <c r="B225" s="201" t="s">
        <v>722</v>
      </c>
      <c r="C225" s="201" t="s">
        <v>721</v>
      </c>
      <c r="D225" s="96" t="s">
        <v>746</v>
      </c>
      <c r="E225" s="201">
        <v>0.70699999999999996</v>
      </c>
      <c r="F225" s="98">
        <v>0.125</v>
      </c>
      <c r="G225" s="93" t="s">
        <v>700</v>
      </c>
      <c r="H225" s="99">
        <f>VLOOKUP($G:$G,材料单价表!$B$4:$G$40,5,0)</f>
        <v>0</v>
      </c>
      <c r="I225" s="201"/>
    </row>
    <row r="226" spans="1:9" ht="18" customHeight="1" x14ac:dyDescent="0.15">
      <c r="A226" s="201">
        <v>3</v>
      </c>
      <c r="B226" s="201" t="s">
        <v>723</v>
      </c>
      <c r="C226" s="201" t="s">
        <v>724</v>
      </c>
      <c r="D226" s="96" t="s">
        <v>745</v>
      </c>
      <c r="E226" s="201">
        <v>0.876</v>
      </c>
      <c r="F226" s="98">
        <v>0.125</v>
      </c>
      <c r="G226" s="93" t="s">
        <v>700</v>
      </c>
      <c r="H226" s="99">
        <f>VLOOKUP($G:$G,材料单价表!$B$4:$G$40,5,0)</f>
        <v>0</v>
      </c>
      <c r="I226" s="201"/>
    </row>
    <row r="227" spans="1:9" ht="18" customHeight="1" x14ac:dyDescent="0.15">
      <c r="A227" s="201">
        <v>4</v>
      </c>
      <c r="B227" s="201" t="s">
        <v>725</v>
      </c>
      <c r="C227" s="201" t="s">
        <v>629</v>
      </c>
      <c r="D227" s="96" t="s">
        <v>745</v>
      </c>
      <c r="E227" s="201">
        <v>0.81499999999999995</v>
      </c>
      <c r="F227" s="98">
        <v>0.125</v>
      </c>
      <c r="G227" s="93" t="s">
        <v>700</v>
      </c>
      <c r="H227" s="99">
        <f>VLOOKUP($G:$G,材料单价表!$B$4:$G$40,5,0)</f>
        <v>0</v>
      </c>
      <c r="I227" s="201"/>
    </row>
    <row r="228" spans="1:9" ht="18" customHeight="1" x14ac:dyDescent="0.15">
      <c r="A228" s="201">
        <v>5</v>
      </c>
      <c r="B228" s="201" t="s">
        <v>726</v>
      </c>
      <c r="C228" s="201" t="s">
        <v>727</v>
      </c>
      <c r="D228" s="96" t="s">
        <v>745</v>
      </c>
      <c r="E228" s="201">
        <v>1.2709999999999999</v>
      </c>
      <c r="F228" s="98">
        <v>0.125</v>
      </c>
      <c r="G228" s="93" t="s">
        <v>700</v>
      </c>
      <c r="H228" s="99">
        <f>VLOOKUP($G:$G,材料单价表!$B$4:$G$40,5,0)</f>
        <v>0</v>
      </c>
      <c r="I228" s="201"/>
    </row>
    <row r="229" spans="1:9" ht="18" customHeight="1" x14ac:dyDescent="0.15">
      <c r="A229" s="201">
        <v>6</v>
      </c>
      <c r="B229" s="201" t="s">
        <v>728</v>
      </c>
      <c r="C229" s="201" t="s">
        <v>729</v>
      </c>
      <c r="D229" s="96" t="s">
        <v>745</v>
      </c>
      <c r="E229" s="201">
        <v>0.66900000000000004</v>
      </c>
      <c r="F229" s="98">
        <v>0.125</v>
      </c>
      <c r="G229" s="93" t="s">
        <v>700</v>
      </c>
      <c r="H229" s="99">
        <f>VLOOKUP($G:$G,材料单价表!$B$4:$G$40,5,0)</f>
        <v>0</v>
      </c>
      <c r="I229" s="201"/>
    </row>
    <row r="230" spans="1:9" ht="18" customHeight="1" x14ac:dyDescent="0.15">
      <c r="A230" s="201">
        <v>7</v>
      </c>
      <c r="B230" s="201" t="s">
        <v>730</v>
      </c>
      <c r="C230" s="201" t="s">
        <v>729</v>
      </c>
      <c r="D230" s="96" t="s">
        <v>745</v>
      </c>
      <c r="E230" s="201">
        <v>0.626</v>
      </c>
      <c r="F230" s="98">
        <v>0.125</v>
      </c>
      <c r="G230" s="93" t="s">
        <v>700</v>
      </c>
      <c r="H230" s="99">
        <f>VLOOKUP($G:$G,材料单价表!$B$4:$G$40,5,0)</f>
        <v>0</v>
      </c>
      <c r="I230" s="201"/>
    </row>
    <row r="231" spans="1:9" ht="18" customHeight="1" x14ac:dyDescent="0.15">
      <c r="A231" s="201">
        <v>8</v>
      </c>
      <c r="B231" s="201" t="s">
        <v>731</v>
      </c>
      <c r="C231" s="201" t="s">
        <v>639</v>
      </c>
      <c r="D231" s="96" t="s">
        <v>745</v>
      </c>
      <c r="E231" s="201">
        <v>2.8450000000000002</v>
      </c>
      <c r="F231" s="98">
        <v>0.125</v>
      </c>
      <c r="G231" s="93" t="s">
        <v>112</v>
      </c>
      <c r="H231" s="99">
        <f>VLOOKUP($G:$G,材料单价表!$B$4:$G$40,5,0)</f>
        <v>0</v>
      </c>
      <c r="I231" s="201"/>
    </row>
    <row r="232" spans="1:9" ht="18" customHeight="1" x14ac:dyDescent="0.15">
      <c r="A232" s="201">
        <v>9</v>
      </c>
      <c r="B232" s="201" t="s">
        <v>732</v>
      </c>
      <c r="C232" s="201" t="s">
        <v>639</v>
      </c>
      <c r="D232" s="96" t="s">
        <v>745</v>
      </c>
      <c r="E232" s="201">
        <v>2.3119999999999998</v>
      </c>
      <c r="F232" s="98">
        <v>0.125</v>
      </c>
      <c r="G232" s="93" t="s">
        <v>112</v>
      </c>
      <c r="H232" s="99">
        <f>VLOOKUP($G:$G,材料单价表!$B$4:$G$40,5,0)</f>
        <v>0</v>
      </c>
      <c r="I232" s="201"/>
    </row>
    <row r="233" spans="1:9" ht="18" customHeight="1" x14ac:dyDescent="0.15">
      <c r="A233" s="201">
        <v>10</v>
      </c>
      <c r="B233" s="201" t="s">
        <v>733</v>
      </c>
      <c r="C233" s="201" t="s">
        <v>639</v>
      </c>
      <c r="D233" s="96" t="s">
        <v>745</v>
      </c>
      <c r="E233" s="201">
        <v>2.2850000000000001</v>
      </c>
      <c r="F233" s="98">
        <v>0.125</v>
      </c>
      <c r="G233" s="93" t="s">
        <v>112</v>
      </c>
      <c r="H233" s="99">
        <f>VLOOKUP($G:$G,材料单价表!$B$4:$G$40,5,0)</f>
        <v>0</v>
      </c>
      <c r="I233" s="201"/>
    </row>
    <row r="234" spans="1:9" ht="18" customHeight="1" x14ac:dyDescent="0.15">
      <c r="A234" s="201">
        <v>11</v>
      </c>
      <c r="B234" s="201" t="s">
        <v>734</v>
      </c>
      <c r="C234" s="201" t="s">
        <v>735</v>
      </c>
      <c r="D234" s="96" t="s">
        <v>745</v>
      </c>
      <c r="E234" s="201">
        <v>1.133</v>
      </c>
      <c r="F234" s="98">
        <v>0.125</v>
      </c>
      <c r="G234" s="93" t="s">
        <v>112</v>
      </c>
      <c r="H234" s="99">
        <f>VLOOKUP($G:$G,材料单价表!$B$4:$G$40,5,0)</f>
        <v>0</v>
      </c>
      <c r="I234" s="201"/>
    </row>
    <row r="235" spans="1:9" ht="18" customHeight="1" x14ac:dyDescent="0.15">
      <c r="A235" s="201">
        <v>12</v>
      </c>
      <c r="B235" s="201" t="s">
        <v>736</v>
      </c>
      <c r="C235" s="201" t="s">
        <v>737</v>
      </c>
      <c r="D235" s="96" t="s">
        <v>745</v>
      </c>
      <c r="E235" s="201">
        <v>0.80700000000000005</v>
      </c>
      <c r="F235" s="98">
        <v>0.125</v>
      </c>
      <c r="G235" s="93" t="s">
        <v>700</v>
      </c>
      <c r="H235" s="99">
        <f>VLOOKUP($G:$G,材料单价表!$B$4:$G$40,5,0)</f>
        <v>0</v>
      </c>
      <c r="I235" s="201"/>
    </row>
    <row r="236" spans="1:9" ht="18" customHeight="1" x14ac:dyDescent="0.15">
      <c r="A236" s="201">
        <v>13</v>
      </c>
      <c r="B236" s="201" t="s">
        <v>738</v>
      </c>
      <c r="C236" s="201" t="s">
        <v>614</v>
      </c>
      <c r="D236" s="96" t="s">
        <v>745</v>
      </c>
      <c r="E236" s="201">
        <v>0.192</v>
      </c>
      <c r="F236" s="98">
        <v>0.125</v>
      </c>
      <c r="G236" s="93" t="s">
        <v>700</v>
      </c>
      <c r="H236" s="99">
        <f>VLOOKUP($G:$G,材料单价表!$B$4:$G$40,5,0)</f>
        <v>0</v>
      </c>
      <c r="I236" s="201"/>
    </row>
    <row r="237" spans="1:9" ht="18" customHeight="1" x14ac:dyDescent="0.15">
      <c r="A237" s="201">
        <v>14</v>
      </c>
      <c r="B237" s="201" t="s">
        <v>739</v>
      </c>
      <c r="C237" s="201" t="s">
        <v>629</v>
      </c>
      <c r="D237" s="96" t="s">
        <v>745</v>
      </c>
      <c r="E237" s="201">
        <v>0.754</v>
      </c>
      <c r="F237" s="98">
        <v>0.125</v>
      </c>
      <c r="G237" s="93" t="s">
        <v>700</v>
      </c>
      <c r="H237" s="99">
        <f>VLOOKUP($G:$G,材料单价表!$B$4:$G$40,5,0)</f>
        <v>0</v>
      </c>
      <c r="I237" s="201"/>
    </row>
    <row r="238" spans="1:9" ht="18" customHeight="1" x14ac:dyDescent="0.15">
      <c r="A238" s="201">
        <v>15</v>
      </c>
      <c r="B238" s="201" t="s">
        <v>740</v>
      </c>
      <c r="C238" s="201" t="s">
        <v>741</v>
      </c>
      <c r="D238" s="96" t="s">
        <v>745</v>
      </c>
      <c r="E238" s="201">
        <v>0.61799999999999999</v>
      </c>
      <c r="F238" s="98">
        <v>0.125</v>
      </c>
      <c r="G238" s="93" t="s">
        <v>700</v>
      </c>
      <c r="H238" s="99">
        <f>VLOOKUP($G:$G,材料单价表!$B$4:$G$40,5,0)</f>
        <v>0</v>
      </c>
      <c r="I238" s="201"/>
    </row>
    <row r="239" spans="1:9" ht="18" customHeight="1" x14ac:dyDescent="0.15">
      <c r="A239" s="201">
        <v>16</v>
      </c>
      <c r="B239" s="201" t="s">
        <v>742</v>
      </c>
      <c r="C239" s="201" t="s">
        <v>614</v>
      </c>
      <c r="D239" s="96" t="s">
        <v>745</v>
      </c>
      <c r="E239" s="201">
        <v>0.17799999999999999</v>
      </c>
      <c r="F239" s="98">
        <v>0.125</v>
      </c>
      <c r="G239" s="93" t="s">
        <v>700</v>
      </c>
      <c r="H239" s="99">
        <f>VLOOKUP($G:$G,材料单价表!$B$4:$G$40,5,0)</f>
        <v>0</v>
      </c>
      <c r="I239" s="201"/>
    </row>
    <row r="240" spans="1:9" ht="18" customHeight="1" x14ac:dyDescent="0.15">
      <c r="A240" s="201">
        <v>17</v>
      </c>
      <c r="B240" s="201" t="s">
        <v>743</v>
      </c>
      <c r="C240" s="201" t="s">
        <v>614</v>
      </c>
      <c r="D240" s="96" t="s">
        <v>745</v>
      </c>
      <c r="E240" s="201">
        <v>0.18099999999999999</v>
      </c>
      <c r="F240" s="98">
        <v>0.125</v>
      </c>
      <c r="G240" s="93" t="s">
        <v>700</v>
      </c>
      <c r="H240" s="99">
        <f>VLOOKUP($G:$G,材料单价表!$B$4:$G$40,5,0)</f>
        <v>0</v>
      </c>
      <c r="I240" s="201"/>
    </row>
    <row r="241" spans="1:9" ht="18" customHeight="1" x14ac:dyDescent="0.15">
      <c r="A241" s="201">
        <v>18</v>
      </c>
      <c r="B241" s="201" t="s">
        <v>744</v>
      </c>
      <c r="C241" s="201" t="s">
        <v>614</v>
      </c>
      <c r="D241" s="96" t="s">
        <v>745</v>
      </c>
      <c r="E241" s="201">
        <v>0.217</v>
      </c>
      <c r="F241" s="98">
        <v>0.125</v>
      </c>
      <c r="G241" s="93" t="s">
        <v>700</v>
      </c>
      <c r="H241" s="99">
        <f>VLOOKUP($G:$G,材料单价表!$B$4:$G$40,5,0)</f>
        <v>0</v>
      </c>
      <c r="I241" s="201"/>
    </row>
    <row r="242" spans="1:9" ht="18" customHeight="1" x14ac:dyDescent="0.15">
      <c r="A242" s="201"/>
      <c r="B242" s="201"/>
      <c r="C242" s="201"/>
      <c r="D242" s="201"/>
      <c r="E242" s="201"/>
      <c r="F242" s="201"/>
      <c r="G242" s="201"/>
      <c r="H242" s="201"/>
      <c r="I242" s="201"/>
    </row>
    <row r="243" spans="1:9" ht="18" customHeight="1" x14ac:dyDescent="0.15">
      <c r="A243" s="581" t="s">
        <v>519</v>
      </c>
      <c r="B243" s="582"/>
      <c r="C243" s="582"/>
      <c r="D243" s="582"/>
      <c r="E243" s="582"/>
      <c r="F243" s="582"/>
      <c r="G243" s="582"/>
      <c r="H243" s="582"/>
      <c r="I243" s="583"/>
    </row>
    <row r="244" spans="1:9" s="149" customFormat="1" ht="18" customHeight="1" x14ac:dyDescent="0.15">
      <c r="A244" s="101" t="s">
        <v>520</v>
      </c>
      <c r="B244" s="101" t="s">
        <v>521</v>
      </c>
      <c r="C244" s="101"/>
      <c r="D244" s="101"/>
      <c r="E244" s="101"/>
      <c r="F244" s="101"/>
      <c r="G244" s="101"/>
      <c r="H244" s="101"/>
      <c r="I244" s="101"/>
    </row>
    <row r="245" spans="1:9" ht="18" customHeight="1" x14ac:dyDescent="0.15">
      <c r="A245" s="93">
        <v>1</v>
      </c>
      <c r="B245" s="93" t="s">
        <v>522</v>
      </c>
      <c r="C245" s="96" t="s">
        <v>389</v>
      </c>
      <c r="D245" s="96" t="s">
        <v>524</v>
      </c>
      <c r="E245" s="93">
        <v>1.4510000000000001</v>
      </c>
      <c r="F245" s="98">
        <v>0.125</v>
      </c>
      <c r="G245" s="93" t="s">
        <v>110</v>
      </c>
      <c r="H245" s="99">
        <f>VLOOKUP($G:$G,材料单价表!$B$4:$G$40,5,0)</f>
        <v>0</v>
      </c>
      <c r="I245" s="93"/>
    </row>
    <row r="246" spans="1:9" ht="18" customHeight="1" x14ac:dyDescent="0.15">
      <c r="A246" s="93">
        <v>2</v>
      </c>
      <c r="B246" s="93" t="s">
        <v>525</v>
      </c>
      <c r="C246" s="96" t="s">
        <v>255</v>
      </c>
      <c r="D246" s="96" t="s">
        <v>524</v>
      </c>
      <c r="E246" s="93">
        <v>1.6259999999999999</v>
      </c>
      <c r="F246" s="98">
        <v>0.125</v>
      </c>
      <c r="G246" s="93" t="s">
        <v>110</v>
      </c>
      <c r="H246" s="99">
        <f>VLOOKUP($G:$G,材料单价表!$B$4:$G$40,5,0)</f>
        <v>0</v>
      </c>
      <c r="I246" s="93"/>
    </row>
    <row r="247" spans="1:9" ht="18" customHeight="1" x14ac:dyDescent="0.15">
      <c r="A247" s="93">
        <v>3</v>
      </c>
      <c r="B247" s="93" t="s">
        <v>526</v>
      </c>
      <c r="C247" s="96" t="s">
        <v>433</v>
      </c>
      <c r="D247" s="96" t="s">
        <v>523</v>
      </c>
      <c r="E247" s="93">
        <v>2.157</v>
      </c>
      <c r="F247" s="98">
        <v>0.125</v>
      </c>
      <c r="G247" s="93" t="s">
        <v>110</v>
      </c>
      <c r="H247" s="99">
        <f>VLOOKUP($G:$G,材料单价表!$B$4:$G$40,5,0)</f>
        <v>0</v>
      </c>
      <c r="I247" s="93"/>
    </row>
    <row r="248" spans="1:9" ht="18" customHeight="1" x14ac:dyDescent="0.15">
      <c r="A248" s="93">
        <v>4</v>
      </c>
      <c r="B248" s="93" t="s">
        <v>527</v>
      </c>
      <c r="C248" s="96" t="s">
        <v>264</v>
      </c>
      <c r="D248" s="96" t="s">
        <v>523</v>
      </c>
      <c r="E248" s="93">
        <v>2.2559999999999998</v>
      </c>
      <c r="F248" s="98">
        <v>0.125</v>
      </c>
      <c r="G248" s="93" t="s">
        <v>110</v>
      </c>
      <c r="H248" s="99">
        <f>VLOOKUP($G:$G,材料单价表!$B$4:$G$40,5,0)</f>
        <v>0</v>
      </c>
      <c r="I248" s="93"/>
    </row>
    <row r="249" spans="1:9" ht="18" customHeight="1" x14ac:dyDescent="0.15">
      <c r="A249" s="93">
        <v>5</v>
      </c>
      <c r="B249" s="93" t="s">
        <v>528</v>
      </c>
      <c r="C249" s="93" t="s">
        <v>529</v>
      </c>
      <c r="D249" s="96" t="s">
        <v>523</v>
      </c>
      <c r="E249" s="93">
        <v>0.18099999999999999</v>
      </c>
      <c r="F249" s="98">
        <v>0.125</v>
      </c>
      <c r="G249" s="93" t="s">
        <v>469</v>
      </c>
      <c r="H249" s="99">
        <f>VLOOKUP($G:$G,材料单价表!$B$4:$G$40,5,0)</f>
        <v>0</v>
      </c>
      <c r="I249" s="93"/>
    </row>
    <row r="250" spans="1:9" ht="18" customHeight="1" x14ac:dyDescent="0.15">
      <c r="A250" s="93"/>
      <c r="B250" s="93"/>
      <c r="C250" s="93"/>
      <c r="D250" s="93"/>
      <c r="E250" s="93"/>
      <c r="F250" s="93"/>
      <c r="G250" s="93"/>
      <c r="H250" s="93"/>
      <c r="I250" s="93"/>
    </row>
    <row r="251" spans="1:9" s="149" customFormat="1" ht="18" customHeight="1" x14ac:dyDescent="0.15">
      <c r="A251" s="101" t="s">
        <v>116</v>
      </c>
      <c r="B251" s="101" t="s">
        <v>530</v>
      </c>
      <c r="C251" s="101"/>
      <c r="D251" s="101"/>
      <c r="E251" s="101"/>
      <c r="F251" s="101"/>
      <c r="G251" s="101"/>
      <c r="H251" s="101"/>
      <c r="I251" s="101"/>
    </row>
    <row r="252" spans="1:9" ht="18" customHeight="1" x14ac:dyDescent="0.15">
      <c r="A252" s="93">
        <v>1</v>
      </c>
      <c r="B252" s="93" t="s">
        <v>533</v>
      </c>
      <c r="C252" s="96" t="s">
        <v>389</v>
      </c>
      <c r="D252" s="96" t="s">
        <v>532</v>
      </c>
      <c r="E252" s="93">
        <v>1.427</v>
      </c>
      <c r="F252" s="98">
        <v>0.125</v>
      </c>
      <c r="G252" s="93" t="s">
        <v>110</v>
      </c>
      <c r="H252" s="99">
        <f>VLOOKUP($G:$G,材料单价表!$B$4:$G$40,5,0)</f>
        <v>0</v>
      </c>
      <c r="I252" s="93"/>
    </row>
    <row r="253" spans="1:9" ht="18" customHeight="1" x14ac:dyDescent="0.15">
      <c r="A253" s="93">
        <v>2</v>
      </c>
      <c r="B253" s="93" t="s">
        <v>534</v>
      </c>
      <c r="C253" s="96" t="s">
        <v>255</v>
      </c>
      <c r="D253" s="96" t="s">
        <v>532</v>
      </c>
      <c r="E253" s="93">
        <v>1.6020000000000001</v>
      </c>
      <c r="F253" s="98">
        <v>0.125</v>
      </c>
      <c r="G253" s="93" t="s">
        <v>110</v>
      </c>
      <c r="H253" s="99">
        <f>VLOOKUP($G:$G,材料单价表!$B$4:$G$40,5,0)</f>
        <v>0</v>
      </c>
      <c r="I253" s="93"/>
    </row>
    <row r="254" spans="1:9" ht="18" customHeight="1" x14ac:dyDescent="0.15">
      <c r="A254" s="93">
        <v>3</v>
      </c>
      <c r="B254" s="93" t="s">
        <v>535</v>
      </c>
      <c r="C254" s="96" t="s">
        <v>433</v>
      </c>
      <c r="D254" s="96" t="s">
        <v>531</v>
      </c>
      <c r="E254" s="93">
        <v>2.113</v>
      </c>
      <c r="F254" s="98">
        <v>0.125</v>
      </c>
      <c r="G254" s="93" t="s">
        <v>110</v>
      </c>
      <c r="H254" s="99">
        <f>VLOOKUP($G:$G,材料单价表!$B$4:$G$40,5,0)</f>
        <v>0</v>
      </c>
      <c r="I254" s="93"/>
    </row>
    <row r="255" spans="1:9" ht="18" customHeight="1" x14ac:dyDescent="0.15">
      <c r="A255" s="93">
        <v>4</v>
      </c>
      <c r="B255" s="93" t="s">
        <v>536</v>
      </c>
      <c r="C255" s="96" t="s">
        <v>264</v>
      </c>
      <c r="D255" s="96" t="s">
        <v>531</v>
      </c>
      <c r="E255" s="93">
        <v>2.2320000000000002</v>
      </c>
      <c r="F255" s="98">
        <v>0.125</v>
      </c>
      <c r="G255" s="93" t="s">
        <v>110</v>
      </c>
      <c r="H255" s="99">
        <f>VLOOKUP($G:$G,材料单价表!$B$4:$G$40,5,0)</f>
        <v>0</v>
      </c>
      <c r="I255" s="93"/>
    </row>
    <row r="256" spans="1:9" ht="18" customHeight="1" x14ac:dyDescent="0.15">
      <c r="A256" s="93">
        <v>5</v>
      </c>
      <c r="B256" s="93" t="s">
        <v>846</v>
      </c>
      <c r="C256" s="93" t="s">
        <v>508</v>
      </c>
      <c r="D256" s="96" t="s">
        <v>531</v>
      </c>
      <c r="E256" s="93">
        <v>3.2370000000000001</v>
      </c>
      <c r="F256" s="98">
        <v>0.125</v>
      </c>
      <c r="G256" s="93" t="s">
        <v>112</v>
      </c>
      <c r="H256" s="99">
        <f>VLOOKUP($G:$G,材料单价表!$B$4:$G$40,5,0)</f>
        <v>0</v>
      </c>
      <c r="I256" s="93"/>
    </row>
    <row r="257" spans="1:9" ht="18" customHeight="1" x14ac:dyDescent="0.15">
      <c r="A257" s="93"/>
      <c r="B257" s="93"/>
      <c r="C257" s="93"/>
      <c r="D257" s="93"/>
      <c r="E257" s="93"/>
      <c r="F257" s="93"/>
      <c r="G257" s="93"/>
      <c r="H257" s="93"/>
      <c r="I257" s="93"/>
    </row>
    <row r="258" spans="1:9" s="149" customFormat="1" ht="18" customHeight="1" x14ac:dyDescent="0.15">
      <c r="A258" s="101" t="s">
        <v>119</v>
      </c>
      <c r="B258" s="101" t="s">
        <v>537</v>
      </c>
      <c r="C258" s="101"/>
      <c r="D258" s="101"/>
      <c r="E258" s="101"/>
      <c r="F258" s="101"/>
      <c r="G258" s="101"/>
      <c r="H258" s="101"/>
      <c r="I258" s="101"/>
    </row>
    <row r="259" spans="1:9" ht="18" customHeight="1" x14ac:dyDescent="0.15">
      <c r="A259" s="93">
        <v>1</v>
      </c>
      <c r="B259" s="93" t="s">
        <v>538</v>
      </c>
      <c r="C259" s="96" t="s">
        <v>389</v>
      </c>
      <c r="D259" s="96" t="s">
        <v>543</v>
      </c>
      <c r="E259" s="93">
        <v>1.476</v>
      </c>
      <c r="F259" s="98">
        <v>0.125</v>
      </c>
      <c r="G259" s="93" t="s">
        <v>110</v>
      </c>
      <c r="H259" s="99">
        <f>VLOOKUP($G:$G,材料单价表!$B$4:$G$40,5,0)</f>
        <v>0</v>
      </c>
      <c r="I259" s="93"/>
    </row>
    <row r="260" spans="1:9" ht="18" customHeight="1" x14ac:dyDescent="0.15">
      <c r="A260" s="93">
        <v>2</v>
      </c>
      <c r="B260" s="93" t="s">
        <v>539</v>
      </c>
      <c r="C260" s="96" t="s">
        <v>255</v>
      </c>
      <c r="D260" s="96" t="s">
        <v>543</v>
      </c>
      <c r="E260" s="93">
        <v>1.651</v>
      </c>
      <c r="F260" s="98">
        <v>0.125</v>
      </c>
      <c r="G260" s="93" t="s">
        <v>110</v>
      </c>
      <c r="H260" s="99">
        <f>VLOOKUP($G:$G,材料单价表!$B$4:$G$40,5,0)</f>
        <v>0</v>
      </c>
      <c r="I260" s="93"/>
    </row>
    <row r="261" spans="1:9" ht="18" customHeight="1" x14ac:dyDescent="0.15">
      <c r="A261" s="93">
        <v>3</v>
      </c>
      <c r="B261" s="93" t="s">
        <v>540</v>
      </c>
      <c r="C261" s="96" t="s">
        <v>433</v>
      </c>
      <c r="D261" s="96" t="s">
        <v>542</v>
      </c>
      <c r="E261" s="93">
        <v>2.181</v>
      </c>
      <c r="F261" s="98">
        <v>0.125</v>
      </c>
      <c r="G261" s="93" t="s">
        <v>110</v>
      </c>
      <c r="H261" s="99">
        <f>VLOOKUP($G:$G,材料单价表!$B$4:$G$40,5,0)</f>
        <v>0</v>
      </c>
      <c r="I261" s="93"/>
    </row>
    <row r="262" spans="1:9" ht="18" customHeight="1" x14ac:dyDescent="0.15">
      <c r="A262" s="93">
        <v>4</v>
      </c>
      <c r="B262" s="93" t="s">
        <v>541</v>
      </c>
      <c r="C262" s="96" t="s">
        <v>264</v>
      </c>
      <c r="D262" s="96" t="s">
        <v>542</v>
      </c>
      <c r="E262" s="93">
        <v>2.2799999999999998</v>
      </c>
      <c r="F262" s="98">
        <v>0.125</v>
      </c>
      <c r="G262" s="93" t="s">
        <v>110</v>
      </c>
      <c r="H262" s="99">
        <f>VLOOKUP($G:$G,材料单价表!$B$4:$G$40,5,0)</f>
        <v>0</v>
      </c>
      <c r="I262" s="93"/>
    </row>
    <row r="263" spans="1:9" ht="18" customHeight="1" x14ac:dyDescent="0.15">
      <c r="A263" s="93"/>
      <c r="B263" s="93"/>
      <c r="C263" s="93"/>
      <c r="D263" s="93"/>
      <c r="E263" s="93"/>
      <c r="F263" s="93"/>
      <c r="G263" s="93"/>
      <c r="H263" s="93"/>
      <c r="I263" s="93"/>
    </row>
    <row r="264" spans="1:9" s="149" customFormat="1" ht="18" customHeight="1" x14ac:dyDescent="0.15">
      <c r="A264" s="101" t="s">
        <v>124</v>
      </c>
      <c r="B264" s="101" t="s">
        <v>544</v>
      </c>
      <c r="C264" s="101"/>
      <c r="D264" s="101"/>
      <c r="E264" s="101"/>
      <c r="F264" s="101"/>
      <c r="G264" s="101"/>
      <c r="H264" s="101"/>
      <c r="I264" s="101"/>
    </row>
    <row r="265" spans="1:9" ht="18" customHeight="1" x14ac:dyDescent="0.15">
      <c r="A265" s="93">
        <v>1</v>
      </c>
      <c r="B265" s="93" t="s">
        <v>545</v>
      </c>
      <c r="C265" s="96" t="s">
        <v>389</v>
      </c>
      <c r="D265" s="96" t="s">
        <v>550</v>
      </c>
      <c r="E265" s="93">
        <v>1.462</v>
      </c>
      <c r="F265" s="98">
        <v>0.125</v>
      </c>
      <c r="G265" s="93" t="s">
        <v>110</v>
      </c>
      <c r="H265" s="99">
        <f>VLOOKUP($G:$G,材料单价表!$B$4:$G$40,5,0)</f>
        <v>0</v>
      </c>
      <c r="I265" s="93"/>
    </row>
    <row r="266" spans="1:9" ht="18" customHeight="1" x14ac:dyDescent="0.15">
      <c r="A266" s="93">
        <v>2</v>
      </c>
      <c r="B266" s="93" t="s">
        <v>546</v>
      </c>
      <c r="C266" s="96" t="s">
        <v>255</v>
      </c>
      <c r="D266" s="96" t="s">
        <v>550</v>
      </c>
      <c r="E266" s="93">
        <v>1.637</v>
      </c>
      <c r="F266" s="98">
        <v>0.125</v>
      </c>
      <c r="G266" s="93" t="s">
        <v>110</v>
      </c>
      <c r="H266" s="99">
        <f>VLOOKUP($G:$G,材料单价表!$B$4:$G$40,5,0)</f>
        <v>0</v>
      </c>
      <c r="I266" s="93"/>
    </row>
    <row r="267" spans="1:9" ht="18" customHeight="1" x14ac:dyDescent="0.15">
      <c r="A267" s="93">
        <v>3</v>
      </c>
      <c r="B267" s="93" t="s">
        <v>547</v>
      </c>
      <c r="C267" s="96" t="s">
        <v>433</v>
      </c>
      <c r="D267" s="96" t="s">
        <v>549</v>
      </c>
      <c r="E267" s="93">
        <v>2.1480000000000001</v>
      </c>
      <c r="F267" s="98">
        <v>0.125</v>
      </c>
      <c r="G267" s="93" t="s">
        <v>110</v>
      </c>
      <c r="H267" s="99">
        <f>VLOOKUP($G:$G,材料单价表!$B$4:$G$40,5,0)</f>
        <v>0</v>
      </c>
      <c r="I267" s="93"/>
    </row>
    <row r="268" spans="1:9" ht="18" customHeight="1" x14ac:dyDescent="0.15">
      <c r="A268" s="93">
        <v>4</v>
      </c>
      <c r="B268" s="93" t="s">
        <v>548</v>
      </c>
      <c r="C268" s="96" t="s">
        <v>264</v>
      </c>
      <c r="D268" s="96" t="s">
        <v>549</v>
      </c>
      <c r="E268" s="93">
        <v>2.2669999999999999</v>
      </c>
      <c r="F268" s="98">
        <v>0.125</v>
      </c>
      <c r="G268" s="93" t="s">
        <v>110</v>
      </c>
      <c r="H268" s="99">
        <f>VLOOKUP($G:$G,材料单价表!$B$4:$G$40,5,0)</f>
        <v>0</v>
      </c>
      <c r="I268" s="93"/>
    </row>
    <row r="269" spans="1:9" ht="18" customHeight="1" x14ac:dyDescent="0.15">
      <c r="A269" s="93"/>
      <c r="B269" s="93"/>
      <c r="C269" s="93"/>
      <c r="D269" s="93"/>
      <c r="E269" s="93"/>
      <c r="F269" s="93"/>
      <c r="G269" s="93"/>
      <c r="H269" s="93"/>
      <c r="I269" s="93"/>
    </row>
    <row r="270" spans="1:9" s="149" customFormat="1" ht="18" customHeight="1" x14ac:dyDescent="0.15">
      <c r="A270" s="101" t="s">
        <v>551</v>
      </c>
      <c r="B270" s="101" t="s">
        <v>552</v>
      </c>
      <c r="C270" s="101"/>
      <c r="D270" s="101"/>
      <c r="E270" s="101"/>
      <c r="F270" s="101"/>
      <c r="G270" s="101"/>
      <c r="H270" s="101"/>
      <c r="I270" s="101"/>
    </row>
    <row r="271" spans="1:9" ht="18" customHeight="1" x14ac:dyDescent="0.15">
      <c r="A271" s="93">
        <v>1</v>
      </c>
      <c r="B271" s="93" t="s">
        <v>847</v>
      </c>
      <c r="C271" s="96" t="s">
        <v>389</v>
      </c>
      <c r="D271" s="96" t="s">
        <v>554</v>
      </c>
      <c r="E271" s="93">
        <v>1.504</v>
      </c>
      <c r="F271" s="98">
        <v>0.125</v>
      </c>
      <c r="G271" s="93" t="s">
        <v>110</v>
      </c>
      <c r="H271" s="99">
        <f>VLOOKUP($G:$G,材料单价表!$B$4:$G$40,5,0)</f>
        <v>0</v>
      </c>
      <c r="I271" s="93"/>
    </row>
    <row r="272" spans="1:9" ht="18" customHeight="1" x14ac:dyDescent="0.15">
      <c r="A272" s="93">
        <v>2</v>
      </c>
      <c r="B272" s="93" t="s">
        <v>848</v>
      </c>
      <c r="C272" s="96" t="s">
        <v>255</v>
      </c>
      <c r="D272" s="96" t="s">
        <v>554</v>
      </c>
      <c r="E272" s="93">
        <v>1.679</v>
      </c>
      <c r="F272" s="98">
        <v>0.125</v>
      </c>
      <c r="G272" s="93" t="s">
        <v>110</v>
      </c>
      <c r="H272" s="99">
        <f>VLOOKUP($G:$G,材料单价表!$B$4:$G$40,5,0)</f>
        <v>0</v>
      </c>
      <c r="I272" s="93"/>
    </row>
    <row r="273" spans="1:9" ht="18" customHeight="1" x14ac:dyDescent="0.15">
      <c r="A273" s="93">
        <v>3</v>
      </c>
      <c r="B273" s="93" t="s">
        <v>849</v>
      </c>
      <c r="C273" s="96" t="s">
        <v>433</v>
      </c>
      <c r="D273" s="96" t="s">
        <v>553</v>
      </c>
      <c r="E273" s="93">
        <v>2.2090000000000001</v>
      </c>
      <c r="F273" s="98">
        <v>0.125</v>
      </c>
      <c r="G273" s="93" t="s">
        <v>110</v>
      </c>
      <c r="H273" s="99">
        <f>VLOOKUP($G:$G,材料单价表!$B$4:$G$40,5,0)</f>
        <v>0</v>
      </c>
      <c r="I273" s="93"/>
    </row>
    <row r="274" spans="1:9" ht="18" customHeight="1" x14ac:dyDescent="0.15">
      <c r="A274" s="93">
        <v>4</v>
      </c>
      <c r="B274" s="93" t="s">
        <v>850</v>
      </c>
      <c r="C274" s="96" t="s">
        <v>264</v>
      </c>
      <c r="D274" s="96" t="s">
        <v>553</v>
      </c>
      <c r="E274" s="93">
        <v>2.3079999999999998</v>
      </c>
      <c r="F274" s="98">
        <v>0.125</v>
      </c>
      <c r="G274" s="93" t="s">
        <v>110</v>
      </c>
      <c r="H274" s="99">
        <f>VLOOKUP($G:$G,材料单价表!$B$4:$G$40,5,0)</f>
        <v>0</v>
      </c>
      <c r="I274" s="93"/>
    </row>
    <row r="275" spans="1:9" ht="18" customHeight="1" x14ac:dyDescent="0.15">
      <c r="A275" s="201"/>
      <c r="B275" s="201"/>
      <c r="C275" s="203"/>
      <c r="D275" s="203"/>
      <c r="E275" s="201"/>
      <c r="F275" s="204"/>
      <c r="G275" s="201"/>
      <c r="H275" s="205"/>
      <c r="I275" s="201"/>
    </row>
    <row r="276" spans="1:9" ht="18" customHeight="1" x14ac:dyDescent="0.15">
      <c r="A276" s="101" t="s">
        <v>747</v>
      </c>
      <c r="B276" s="101" t="s">
        <v>719</v>
      </c>
      <c r="C276" s="203"/>
      <c r="D276" s="203"/>
      <c r="E276" s="201"/>
      <c r="F276" s="204"/>
      <c r="G276" s="201"/>
      <c r="H276" s="205"/>
      <c r="I276" s="201"/>
    </row>
    <row r="277" spans="1:9" ht="18" customHeight="1" x14ac:dyDescent="0.15">
      <c r="A277" s="201">
        <v>1</v>
      </c>
      <c r="B277" s="201" t="s">
        <v>748</v>
      </c>
      <c r="C277" s="203" t="s">
        <v>704</v>
      </c>
      <c r="D277" s="96" t="s">
        <v>756</v>
      </c>
      <c r="E277" s="201">
        <v>1.0349999999999999</v>
      </c>
      <c r="F277" s="98">
        <v>0.125</v>
      </c>
      <c r="G277" s="93" t="s">
        <v>700</v>
      </c>
      <c r="H277" s="99">
        <f>VLOOKUP($G:$G,材料单价表!$B$4:$G$40,5,0)</f>
        <v>0</v>
      </c>
      <c r="I277" s="201"/>
    </row>
    <row r="278" spans="1:9" ht="18" customHeight="1" x14ac:dyDescent="0.15">
      <c r="A278" s="201">
        <v>2</v>
      </c>
      <c r="B278" s="201" t="s">
        <v>749</v>
      </c>
      <c r="C278" s="203" t="s">
        <v>710</v>
      </c>
      <c r="D278" s="96" t="s">
        <v>756</v>
      </c>
      <c r="E278" s="201">
        <v>1.409</v>
      </c>
      <c r="F278" s="98">
        <v>0.125</v>
      </c>
      <c r="G278" s="93" t="s">
        <v>700</v>
      </c>
      <c r="H278" s="99">
        <f>VLOOKUP($G:$G,材料单价表!$B$4:$G$40,5,0)</f>
        <v>0</v>
      </c>
      <c r="I278" s="201"/>
    </row>
    <row r="279" spans="1:9" ht="18" customHeight="1" x14ac:dyDescent="0.15">
      <c r="A279" s="201">
        <v>3</v>
      </c>
      <c r="B279" s="201" t="s">
        <v>750</v>
      </c>
      <c r="C279" s="203" t="s">
        <v>629</v>
      </c>
      <c r="D279" s="96" t="s">
        <v>755</v>
      </c>
      <c r="E279" s="201">
        <v>1.079</v>
      </c>
      <c r="F279" s="98">
        <v>0.125</v>
      </c>
      <c r="G279" s="93" t="s">
        <v>700</v>
      </c>
      <c r="H279" s="99">
        <f>VLOOKUP($G:$G,材料单价表!$B$4:$G$40,5,0)</f>
        <v>0</v>
      </c>
      <c r="I279" s="201"/>
    </row>
    <row r="280" spans="1:9" ht="18" customHeight="1" x14ac:dyDescent="0.15">
      <c r="A280" s="201">
        <v>4</v>
      </c>
      <c r="B280" s="201" t="s">
        <v>751</v>
      </c>
      <c r="C280" s="203" t="s">
        <v>639</v>
      </c>
      <c r="D280" s="96" t="s">
        <v>755</v>
      </c>
      <c r="E280" s="201">
        <v>3.3159999999999998</v>
      </c>
      <c r="F280" s="98">
        <v>0.125</v>
      </c>
      <c r="G280" s="93" t="s">
        <v>112</v>
      </c>
      <c r="H280" s="99">
        <f>VLOOKUP($G:$G,材料单价表!$B$4:$G$40,5,0)</f>
        <v>0</v>
      </c>
      <c r="I280" s="201"/>
    </row>
    <row r="281" spans="1:9" ht="18" customHeight="1" x14ac:dyDescent="0.15">
      <c r="A281" s="201">
        <v>5</v>
      </c>
      <c r="B281" s="201" t="s">
        <v>752</v>
      </c>
      <c r="C281" s="203" t="s">
        <v>735</v>
      </c>
      <c r="D281" s="96" t="s">
        <v>755</v>
      </c>
      <c r="E281" s="201">
        <v>1.1200000000000001</v>
      </c>
      <c r="F281" s="98">
        <v>0.125</v>
      </c>
      <c r="G281" s="93" t="s">
        <v>112</v>
      </c>
      <c r="H281" s="99">
        <f>VLOOKUP($G:$G,材料单价表!$B$4:$G$40,5,0)</f>
        <v>0</v>
      </c>
      <c r="I281" s="201"/>
    </row>
    <row r="282" spans="1:9" ht="18" customHeight="1" x14ac:dyDescent="0.15">
      <c r="A282" s="201">
        <v>6</v>
      </c>
      <c r="B282" s="201" t="s">
        <v>753</v>
      </c>
      <c r="C282" s="203" t="s">
        <v>754</v>
      </c>
      <c r="D282" s="96" t="s">
        <v>755</v>
      </c>
      <c r="E282" s="201">
        <v>0.57499999999999996</v>
      </c>
      <c r="F282" s="98">
        <v>0.125</v>
      </c>
      <c r="G282" s="93" t="s">
        <v>700</v>
      </c>
      <c r="H282" s="99">
        <f>VLOOKUP($G:$G,材料单价表!$B$4:$G$40,5,0)</f>
        <v>0</v>
      </c>
      <c r="I282" s="201"/>
    </row>
    <row r="283" spans="1:9" ht="18" customHeight="1" x14ac:dyDescent="0.15">
      <c r="A283" s="201"/>
      <c r="B283" s="201"/>
      <c r="C283" s="203"/>
      <c r="D283" s="203"/>
      <c r="E283" s="201"/>
      <c r="F283" s="204"/>
      <c r="G283" s="201"/>
      <c r="H283" s="205"/>
      <c r="I283" s="201"/>
    </row>
    <row r="284" spans="1:9" ht="18" customHeight="1" x14ac:dyDescent="0.15">
      <c r="A284" s="581" t="s">
        <v>555</v>
      </c>
      <c r="B284" s="582"/>
      <c r="C284" s="582"/>
      <c r="D284" s="582"/>
      <c r="E284" s="582"/>
      <c r="F284" s="582"/>
      <c r="G284" s="582"/>
      <c r="H284" s="582"/>
      <c r="I284" s="583"/>
    </row>
    <row r="285" spans="1:9" ht="18" customHeight="1" x14ac:dyDescent="0.15">
      <c r="A285" s="101" t="s">
        <v>108</v>
      </c>
      <c r="B285" s="101" t="s">
        <v>556</v>
      </c>
      <c r="C285" s="93"/>
      <c r="D285" s="93"/>
      <c r="E285" s="93"/>
      <c r="F285" s="93"/>
      <c r="G285" s="93"/>
      <c r="H285" s="93"/>
      <c r="I285" s="93"/>
    </row>
    <row r="286" spans="1:9" ht="18" customHeight="1" x14ac:dyDescent="0.15">
      <c r="A286" s="93">
        <v>1</v>
      </c>
      <c r="B286" s="93" t="s">
        <v>557</v>
      </c>
      <c r="C286" s="96" t="s">
        <v>389</v>
      </c>
      <c r="D286" s="96" t="s">
        <v>574</v>
      </c>
      <c r="E286" s="93">
        <v>1.7829999999999999</v>
      </c>
      <c r="F286" s="98">
        <v>0.125</v>
      </c>
      <c r="G286" s="93" t="s">
        <v>110</v>
      </c>
      <c r="H286" s="99">
        <f>VLOOKUP($G:$G,材料单价表!$B$4:$G$40,5,0)</f>
        <v>0</v>
      </c>
      <c r="I286" s="93"/>
    </row>
    <row r="287" spans="1:9" ht="18" customHeight="1" x14ac:dyDescent="0.15">
      <c r="A287" s="93">
        <v>2</v>
      </c>
      <c r="B287" s="93" t="s">
        <v>558</v>
      </c>
      <c r="C287" s="93" t="s">
        <v>559</v>
      </c>
      <c r="D287" s="96" t="s">
        <v>574</v>
      </c>
      <c r="E287" s="93">
        <v>1.204</v>
      </c>
      <c r="F287" s="98">
        <v>0.125</v>
      </c>
      <c r="G287" s="93" t="s">
        <v>110</v>
      </c>
      <c r="H287" s="99">
        <f>VLOOKUP($G:$G,材料单价表!$B$4:$G$40,5,0)</f>
        <v>0</v>
      </c>
      <c r="I287" s="93"/>
    </row>
    <row r="288" spans="1:9" ht="18" customHeight="1" x14ac:dyDescent="0.15">
      <c r="A288" s="93">
        <v>3</v>
      </c>
      <c r="B288" s="93" t="s">
        <v>560</v>
      </c>
      <c r="C288" s="93" t="s">
        <v>561</v>
      </c>
      <c r="D288" s="96" t="s">
        <v>573</v>
      </c>
      <c r="E288" s="93">
        <v>1.169</v>
      </c>
      <c r="F288" s="98">
        <v>0.125</v>
      </c>
      <c r="G288" s="93" t="s">
        <v>110</v>
      </c>
      <c r="H288" s="99">
        <f>VLOOKUP($G:$G,材料单价表!$B$4:$G$40,5,0)</f>
        <v>0</v>
      </c>
      <c r="I288" s="93"/>
    </row>
    <row r="289" spans="1:9" ht="18" customHeight="1" x14ac:dyDescent="0.15">
      <c r="A289" s="93">
        <v>4</v>
      </c>
      <c r="B289" s="93" t="s">
        <v>562</v>
      </c>
      <c r="C289" s="93" t="s">
        <v>561</v>
      </c>
      <c r="D289" s="96" t="s">
        <v>573</v>
      </c>
      <c r="E289" s="93">
        <v>1.21</v>
      </c>
      <c r="F289" s="98">
        <v>0.125</v>
      </c>
      <c r="G289" s="93" t="s">
        <v>110</v>
      </c>
      <c r="H289" s="99">
        <f>VLOOKUP($G:$G,材料单价表!$B$4:$G$40,5,0)</f>
        <v>0</v>
      </c>
      <c r="I289" s="93"/>
    </row>
    <row r="290" spans="1:9" ht="18" customHeight="1" x14ac:dyDescent="0.15">
      <c r="A290" s="93">
        <v>5</v>
      </c>
      <c r="B290" s="93" t="s">
        <v>563</v>
      </c>
      <c r="C290" s="93" t="s">
        <v>564</v>
      </c>
      <c r="D290" s="96" t="s">
        <v>573</v>
      </c>
      <c r="E290" s="93">
        <v>1.294</v>
      </c>
      <c r="F290" s="98">
        <v>0.125</v>
      </c>
      <c r="G290" s="93" t="s">
        <v>110</v>
      </c>
      <c r="H290" s="99">
        <f>VLOOKUP($G:$G,材料单价表!$B$4:$G$40,5,0)</f>
        <v>0</v>
      </c>
      <c r="I290" s="93"/>
    </row>
    <row r="291" spans="1:9" ht="18" customHeight="1" x14ac:dyDescent="0.15">
      <c r="A291" s="93">
        <v>6</v>
      </c>
      <c r="B291" s="93" t="s">
        <v>565</v>
      </c>
      <c r="C291" s="93" t="s">
        <v>566</v>
      </c>
      <c r="D291" s="96" t="s">
        <v>573</v>
      </c>
      <c r="E291" s="93">
        <v>0.54900000000000004</v>
      </c>
      <c r="F291" s="98">
        <v>0.125</v>
      </c>
      <c r="G291" s="93" t="s">
        <v>110</v>
      </c>
      <c r="H291" s="99">
        <f>VLOOKUP($G:$G,材料单价表!$B$4:$G$40,5,0)</f>
        <v>0</v>
      </c>
      <c r="I291" s="93"/>
    </row>
    <row r="292" spans="1:9" ht="18" customHeight="1" x14ac:dyDescent="0.15">
      <c r="A292" s="93">
        <v>7</v>
      </c>
      <c r="B292" s="93" t="s">
        <v>567</v>
      </c>
      <c r="C292" s="93" t="s">
        <v>568</v>
      </c>
      <c r="D292" s="96" t="s">
        <v>573</v>
      </c>
      <c r="E292" s="93">
        <v>0.28100000000000003</v>
      </c>
      <c r="F292" s="98">
        <v>0.125</v>
      </c>
      <c r="G292" s="93" t="s">
        <v>469</v>
      </c>
      <c r="H292" s="99">
        <f>VLOOKUP($G:$G,材料单价表!$B$4:$G$40,5,0)</f>
        <v>0</v>
      </c>
      <c r="I292" s="93"/>
    </row>
    <row r="293" spans="1:9" ht="18" customHeight="1" x14ac:dyDescent="0.15">
      <c r="A293" s="93">
        <v>8</v>
      </c>
      <c r="B293" s="93" t="s">
        <v>569</v>
      </c>
      <c r="C293" s="93" t="s">
        <v>570</v>
      </c>
      <c r="D293" s="96" t="s">
        <v>573</v>
      </c>
      <c r="E293" s="93">
        <v>0.35199999999999998</v>
      </c>
      <c r="F293" s="98">
        <v>0.125</v>
      </c>
      <c r="G293" s="93" t="s">
        <v>469</v>
      </c>
      <c r="H293" s="99">
        <f>VLOOKUP($G:$G,材料单价表!$B$4:$G$40,5,0)</f>
        <v>0</v>
      </c>
      <c r="I293" s="93"/>
    </row>
    <row r="294" spans="1:9" ht="18" customHeight="1" x14ac:dyDescent="0.15">
      <c r="A294" s="93">
        <v>9</v>
      </c>
      <c r="B294" s="93" t="s">
        <v>571</v>
      </c>
      <c r="C294" s="93" t="s">
        <v>572</v>
      </c>
      <c r="D294" s="96" t="s">
        <v>573</v>
      </c>
      <c r="E294" s="93">
        <v>6.5000000000000002E-2</v>
      </c>
      <c r="F294" s="98">
        <v>0.125</v>
      </c>
      <c r="G294" s="93" t="s">
        <v>469</v>
      </c>
      <c r="H294" s="99">
        <f>VLOOKUP($G:$G,材料单价表!$B$4:$G$40,5,0)</f>
        <v>0</v>
      </c>
      <c r="I294" s="93"/>
    </row>
    <row r="295" spans="1:9" ht="18" customHeight="1" x14ac:dyDescent="0.15">
      <c r="A295" s="93"/>
      <c r="B295" s="93"/>
      <c r="C295" s="93"/>
      <c r="D295" s="93"/>
      <c r="E295" s="93"/>
      <c r="F295" s="93"/>
      <c r="G295" s="93"/>
      <c r="H295" s="93"/>
      <c r="I295" s="93"/>
    </row>
    <row r="296" spans="1:9" ht="18" customHeight="1" x14ac:dyDescent="0.15">
      <c r="A296" s="101" t="s">
        <v>116</v>
      </c>
      <c r="B296" s="101" t="s">
        <v>575</v>
      </c>
      <c r="C296" s="93"/>
      <c r="D296" s="93"/>
      <c r="E296" s="93"/>
      <c r="F296" s="93"/>
      <c r="G296" s="93"/>
      <c r="H296" s="93"/>
      <c r="I296" s="93"/>
    </row>
    <row r="297" spans="1:9" ht="18" customHeight="1" x14ac:dyDescent="0.15">
      <c r="A297" s="93">
        <v>1</v>
      </c>
      <c r="B297" s="93" t="s">
        <v>578</v>
      </c>
      <c r="C297" s="96" t="s">
        <v>389</v>
      </c>
      <c r="D297" s="96" t="s">
        <v>577</v>
      </c>
      <c r="E297" s="93">
        <v>1.738</v>
      </c>
      <c r="F297" s="98">
        <v>0.125</v>
      </c>
      <c r="G297" s="93" t="s">
        <v>110</v>
      </c>
      <c r="H297" s="99">
        <f>VLOOKUP($G:$G,材料单价表!$B$4:$G$40,5,0)</f>
        <v>0</v>
      </c>
      <c r="I297" s="93"/>
    </row>
    <row r="298" spans="1:9" ht="18" customHeight="1" x14ac:dyDescent="0.15">
      <c r="A298" s="93">
        <v>2</v>
      </c>
      <c r="B298" s="93" t="s">
        <v>579</v>
      </c>
      <c r="C298" s="93" t="s">
        <v>559</v>
      </c>
      <c r="D298" s="96" t="s">
        <v>577</v>
      </c>
      <c r="E298" s="93">
        <v>1.206</v>
      </c>
      <c r="F298" s="98">
        <v>0.125</v>
      </c>
      <c r="G298" s="93" t="s">
        <v>110</v>
      </c>
      <c r="H298" s="99">
        <f>VLOOKUP($G:$G,材料单价表!$B$4:$G$40,5,0)</f>
        <v>0</v>
      </c>
      <c r="I298" s="93"/>
    </row>
    <row r="299" spans="1:9" ht="18" customHeight="1" x14ac:dyDescent="0.15">
      <c r="A299" s="93">
        <v>3</v>
      </c>
      <c r="B299" s="93" t="s">
        <v>580</v>
      </c>
      <c r="C299" s="93" t="s">
        <v>561</v>
      </c>
      <c r="D299" s="96" t="s">
        <v>576</v>
      </c>
      <c r="E299" s="93">
        <v>1.1679999999999999</v>
      </c>
      <c r="F299" s="98">
        <v>0.125</v>
      </c>
      <c r="G299" s="93" t="s">
        <v>110</v>
      </c>
      <c r="H299" s="99">
        <f>VLOOKUP($G:$G,材料单价表!$B$4:$G$40,5,0)</f>
        <v>0</v>
      </c>
      <c r="I299" s="93"/>
    </row>
    <row r="300" spans="1:9" ht="18" customHeight="1" x14ac:dyDescent="0.15">
      <c r="A300" s="93">
        <v>4</v>
      </c>
      <c r="B300" s="93" t="s">
        <v>581</v>
      </c>
      <c r="C300" s="93" t="s">
        <v>564</v>
      </c>
      <c r="D300" s="96" t="s">
        <v>576</v>
      </c>
      <c r="E300" s="93">
        <v>1.335</v>
      </c>
      <c r="F300" s="98">
        <v>0.125</v>
      </c>
      <c r="G300" s="93" t="s">
        <v>110</v>
      </c>
      <c r="H300" s="99">
        <f>VLOOKUP($G:$G,材料单价表!$B$4:$G$40,5,0)</f>
        <v>0</v>
      </c>
      <c r="I300" s="93"/>
    </row>
    <row r="301" spans="1:9" ht="18" customHeight="1" x14ac:dyDescent="0.15">
      <c r="A301" s="93">
        <v>5</v>
      </c>
      <c r="B301" s="93" t="s">
        <v>582</v>
      </c>
      <c r="C301" s="93" t="s">
        <v>568</v>
      </c>
      <c r="D301" s="96" t="s">
        <v>576</v>
      </c>
      <c r="E301" s="93">
        <v>0.34</v>
      </c>
      <c r="F301" s="98">
        <v>0.125</v>
      </c>
      <c r="G301" s="93" t="s">
        <v>469</v>
      </c>
      <c r="H301" s="99">
        <f>VLOOKUP($G:$G,材料单价表!$B$4:$G$40,5,0)</f>
        <v>0</v>
      </c>
      <c r="I301" s="93"/>
    </row>
    <row r="302" spans="1:9" ht="18" customHeight="1" x14ac:dyDescent="0.15">
      <c r="A302" s="93">
        <v>6</v>
      </c>
      <c r="B302" s="93" t="s">
        <v>583</v>
      </c>
      <c r="C302" s="93" t="s">
        <v>570</v>
      </c>
      <c r="D302" s="96" t="s">
        <v>576</v>
      </c>
      <c r="E302" s="93">
        <v>0.30199999999999999</v>
      </c>
      <c r="F302" s="98">
        <v>0.125</v>
      </c>
      <c r="G302" s="93" t="s">
        <v>469</v>
      </c>
      <c r="H302" s="99">
        <f>VLOOKUP($G:$G,材料单价表!$B$4:$G$40,5,0)</f>
        <v>0</v>
      </c>
      <c r="I302" s="93"/>
    </row>
    <row r="303" spans="1:9" ht="18" customHeight="1" x14ac:dyDescent="0.15">
      <c r="A303" s="93">
        <v>7</v>
      </c>
      <c r="B303" s="93" t="s">
        <v>584</v>
      </c>
      <c r="C303" s="93" t="s">
        <v>508</v>
      </c>
      <c r="D303" s="96" t="s">
        <v>576</v>
      </c>
      <c r="E303" s="93">
        <v>1.5680000000000001</v>
      </c>
      <c r="F303" s="98">
        <v>0.125</v>
      </c>
      <c r="G303" s="93" t="s">
        <v>112</v>
      </c>
      <c r="H303" s="99">
        <f>VLOOKUP($G:$G,材料单价表!$B$4:$G$40,5,0)</f>
        <v>0</v>
      </c>
      <c r="I303" s="93"/>
    </row>
    <row r="304" spans="1:9" ht="18" customHeight="1" x14ac:dyDescent="0.15">
      <c r="A304" s="93">
        <v>8</v>
      </c>
      <c r="B304" s="93" t="s">
        <v>585</v>
      </c>
      <c r="C304" s="93" t="s">
        <v>508</v>
      </c>
      <c r="D304" s="96" t="s">
        <v>576</v>
      </c>
      <c r="E304" s="93">
        <v>1.288</v>
      </c>
      <c r="F304" s="98">
        <v>0.125</v>
      </c>
      <c r="G304" s="93" t="s">
        <v>112</v>
      </c>
      <c r="H304" s="99">
        <f>VLOOKUP($G:$G,材料单价表!$B$4:$G$40,5,0)</f>
        <v>0</v>
      </c>
      <c r="I304" s="93"/>
    </row>
    <row r="305" spans="1:9" ht="18" customHeight="1" x14ac:dyDescent="0.15">
      <c r="A305" s="93">
        <v>9</v>
      </c>
      <c r="B305" s="93" t="s">
        <v>586</v>
      </c>
      <c r="C305" s="93" t="s">
        <v>466</v>
      </c>
      <c r="D305" s="96" t="s">
        <v>576</v>
      </c>
      <c r="E305" s="93">
        <v>0.23100000000000001</v>
      </c>
      <c r="F305" s="98">
        <v>0.125</v>
      </c>
      <c r="G305" s="93" t="s">
        <v>469</v>
      </c>
      <c r="H305" s="99">
        <f>VLOOKUP($G:$G,材料单价表!$B$4:$G$40,5,0)</f>
        <v>0</v>
      </c>
      <c r="I305" s="93"/>
    </row>
    <row r="306" spans="1:9" ht="18" customHeight="1" x14ac:dyDescent="0.15">
      <c r="A306" s="93"/>
      <c r="B306" s="93"/>
      <c r="C306" s="93"/>
      <c r="D306" s="93"/>
      <c r="E306" s="93"/>
      <c r="F306" s="93"/>
      <c r="G306" s="93"/>
      <c r="H306" s="93"/>
      <c r="I306" s="93"/>
    </row>
    <row r="307" spans="1:9" ht="18" customHeight="1" x14ac:dyDescent="0.15">
      <c r="A307" s="101" t="s">
        <v>119</v>
      </c>
      <c r="B307" s="101" t="s">
        <v>587</v>
      </c>
      <c r="C307" s="93"/>
      <c r="D307" s="93"/>
      <c r="E307" s="93"/>
      <c r="F307" s="93"/>
      <c r="G307" s="93"/>
      <c r="H307" s="93"/>
      <c r="I307" s="93"/>
    </row>
    <row r="308" spans="1:9" ht="18" customHeight="1" x14ac:dyDescent="0.15">
      <c r="A308" s="93">
        <v>1</v>
      </c>
      <c r="B308" s="93" t="s">
        <v>588</v>
      </c>
      <c r="C308" s="93" t="s">
        <v>590</v>
      </c>
      <c r="D308" s="96" t="s">
        <v>618</v>
      </c>
      <c r="E308" s="93">
        <v>1.8440000000000001</v>
      </c>
      <c r="F308" s="98">
        <v>0.125</v>
      </c>
      <c r="G308" s="93" t="s">
        <v>110</v>
      </c>
      <c r="H308" s="99">
        <f>VLOOKUP($G:$G,材料单价表!$B$4:$G$40,5,0)</f>
        <v>0</v>
      </c>
      <c r="I308" s="93"/>
    </row>
    <row r="309" spans="1:9" ht="18" customHeight="1" x14ac:dyDescent="0.15">
      <c r="A309" s="93">
        <v>2</v>
      </c>
      <c r="B309" s="93" t="s">
        <v>589</v>
      </c>
      <c r="C309" s="93" t="s">
        <v>591</v>
      </c>
      <c r="D309" s="96" t="s">
        <v>618</v>
      </c>
      <c r="E309" s="93">
        <v>1.9</v>
      </c>
      <c r="F309" s="98">
        <v>0.125</v>
      </c>
      <c r="G309" s="93" t="s">
        <v>110</v>
      </c>
      <c r="H309" s="99">
        <f>VLOOKUP($G:$G,材料单价表!$B$4:$G$40,5,0)</f>
        <v>0</v>
      </c>
      <c r="I309" s="93"/>
    </row>
    <row r="310" spans="1:9" ht="18" customHeight="1" x14ac:dyDescent="0.15">
      <c r="A310" s="93">
        <v>3</v>
      </c>
      <c r="B310" s="93" t="s">
        <v>592</v>
      </c>
      <c r="C310" s="93" t="s">
        <v>593</v>
      </c>
      <c r="D310" s="96" t="s">
        <v>617</v>
      </c>
      <c r="E310" s="93">
        <v>1.3660000000000001</v>
      </c>
      <c r="F310" s="98">
        <v>0.125</v>
      </c>
      <c r="G310" s="93" t="s">
        <v>110</v>
      </c>
      <c r="H310" s="99">
        <f>VLOOKUP($G:$G,材料单价表!$B$4:$G$40,5,0)</f>
        <v>0</v>
      </c>
      <c r="I310" s="93"/>
    </row>
    <row r="311" spans="1:9" ht="18" customHeight="1" x14ac:dyDescent="0.15">
      <c r="A311" s="93">
        <v>4</v>
      </c>
      <c r="B311" s="93" t="s">
        <v>595</v>
      </c>
      <c r="C311" s="93" t="s">
        <v>596</v>
      </c>
      <c r="D311" s="96" t="s">
        <v>617</v>
      </c>
      <c r="E311" s="93">
        <v>1.4</v>
      </c>
      <c r="F311" s="98">
        <v>0.125</v>
      </c>
      <c r="G311" s="93" t="s">
        <v>110</v>
      </c>
      <c r="H311" s="99">
        <f>VLOOKUP($G:$G,材料单价表!$B$4:$G$40,5,0)</f>
        <v>0</v>
      </c>
      <c r="I311" s="93"/>
    </row>
    <row r="312" spans="1:9" ht="18" customHeight="1" x14ac:dyDescent="0.15">
      <c r="A312" s="93">
        <v>5</v>
      </c>
      <c r="B312" s="93" t="s">
        <v>597</v>
      </c>
      <c r="C312" s="93" t="s">
        <v>598</v>
      </c>
      <c r="D312" s="96" t="s">
        <v>617</v>
      </c>
      <c r="E312" s="93">
        <v>1.0840000000000001</v>
      </c>
      <c r="F312" s="98">
        <v>0.125</v>
      </c>
      <c r="G312" s="93" t="s">
        <v>110</v>
      </c>
      <c r="H312" s="99">
        <f>VLOOKUP($G:$G,材料单价表!$B$4:$G$40,5,0)</f>
        <v>0</v>
      </c>
      <c r="I312" s="93"/>
    </row>
    <row r="313" spans="1:9" ht="18" customHeight="1" x14ac:dyDescent="0.15">
      <c r="A313" s="93">
        <v>6</v>
      </c>
      <c r="B313" s="93" t="s">
        <v>599</v>
      </c>
      <c r="C313" s="93" t="s">
        <v>600</v>
      </c>
      <c r="D313" s="96" t="s">
        <v>617</v>
      </c>
      <c r="E313" s="93">
        <v>1.23</v>
      </c>
      <c r="F313" s="98">
        <v>0.125</v>
      </c>
      <c r="G313" s="93" t="s">
        <v>110</v>
      </c>
      <c r="H313" s="99">
        <f>VLOOKUP($G:$G,材料单价表!$B$4:$G$40,5,0)</f>
        <v>0</v>
      </c>
      <c r="I313" s="93"/>
    </row>
    <row r="314" spans="1:9" ht="18" customHeight="1" x14ac:dyDescent="0.15">
      <c r="A314" s="93">
        <v>7</v>
      </c>
      <c r="B314" s="93" t="s">
        <v>601</v>
      </c>
      <c r="C314" s="93" t="s">
        <v>602</v>
      </c>
      <c r="D314" s="96" t="s">
        <v>617</v>
      </c>
      <c r="E314" s="93">
        <v>1.4410000000000001</v>
      </c>
      <c r="F314" s="98">
        <v>0.125</v>
      </c>
      <c r="G314" s="93" t="s">
        <v>110</v>
      </c>
      <c r="H314" s="99">
        <f>VLOOKUP($G:$G,材料单价表!$B$4:$G$40,5,0)</f>
        <v>0</v>
      </c>
      <c r="I314" s="93"/>
    </row>
    <row r="315" spans="1:9" ht="18" customHeight="1" x14ac:dyDescent="0.15">
      <c r="A315" s="93">
        <v>8</v>
      </c>
      <c r="B315" s="93" t="s">
        <v>603</v>
      </c>
      <c r="C315" s="93" t="s">
        <v>604</v>
      </c>
      <c r="D315" s="96" t="s">
        <v>617</v>
      </c>
      <c r="E315" s="93">
        <v>1.1339999999999999</v>
      </c>
      <c r="F315" s="98">
        <v>0.125</v>
      </c>
      <c r="G315" s="93" t="s">
        <v>110</v>
      </c>
      <c r="H315" s="99">
        <f>VLOOKUP($G:$G,材料单价表!$B$4:$G$40,5,0)</f>
        <v>0</v>
      </c>
      <c r="I315" s="93"/>
    </row>
    <row r="316" spans="1:9" ht="18" customHeight="1" x14ac:dyDescent="0.15">
      <c r="A316" s="93">
        <v>9</v>
      </c>
      <c r="B316" s="93" t="s">
        <v>605</v>
      </c>
      <c r="C316" s="93" t="s">
        <v>606</v>
      </c>
      <c r="D316" s="96" t="s">
        <v>617</v>
      </c>
      <c r="E316" s="93">
        <v>1.427</v>
      </c>
      <c r="F316" s="98">
        <v>0.125</v>
      </c>
      <c r="G316" s="93" t="s">
        <v>110</v>
      </c>
      <c r="H316" s="99">
        <f>VLOOKUP($G:$G,材料单价表!$B$4:$G$40,5,0)</f>
        <v>0</v>
      </c>
      <c r="I316" s="93"/>
    </row>
    <row r="317" spans="1:9" ht="18" customHeight="1" x14ac:dyDescent="0.15">
      <c r="A317" s="93">
        <v>10</v>
      </c>
      <c r="B317" s="93" t="s">
        <v>607</v>
      </c>
      <c r="C317" s="93" t="s">
        <v>608</v>
      </c>
      <c r="D317" s="96" t="s">
        <v>617</v>
      </c>
      <c r="E317" s="93">
        <v>1.9410000000000001</v>
      </c>
      <c r="F317" s="98">
        <v>0.125</v>
      </c>
      <c r="G317" s="93" t="s">
        <v>110</v>
      </c>
      <c r="H317" s="99">
        <f>VLOOKUP($G:$G,材料单价表!$B$4:$G$40,5,0)</f>
        <v>0</v>
      </c>
      <c r="I317" s="93"/>
    </row>
    <row r="318" spans="1:9" ht="18" customHeight="1" x14ac:dyDescent="0.15">
      <c r="A318" s="93">
        <v>11</v>
      </c>
      <c r="B318" s="93" t="s">
        <v>609</v>
      </c>
      <c r="C318" s="93" t="s">
        <v>610</v>
      </c>
      <c r="D318" s="96" t="s">
        <v>617</v>
      </c>
      <c r="E318" s="93">
        <v>0.95699999999999996</v>
      </c>
      <c r="F318" s="98">
        <v>0.125</v>
      </c>
      <c r="G318" s="93" t="s">
        <v>110</v>
      </c>
      <c r="H318" s="99">
        <f>VLOOKUP($G:$G,材料单价表!$B$4:$G$40,5,0)</f>
        <v>0</v>
      </c>
      <c r="I318" s="93"/>
    </row>
    <row r="319" spans="1:9" ht="18" customHeight="1" x14ac:dyDescent="0.15">
      <c r="A319" s="93">
        <v>12</v>
      </c>
      <c r="B319" s="93" t="s">
        <v>611</v>
      </c>
      <c r="C319" s="93" t="s">
        <v>612</v>
      </c>
      <c r="D319" s="96" t="s">
        <v>617</v>
      </c>
      <c r="E319" s="93">
        <v>1.7529999999999999</v>
      </c>
      <c r="F319" s="98">
        <v>0.125</v>
      </c>
      <c r="G319" s="93" t="s">
        <v>110</v>
      </c>
      <c r="H319" s="99">
        <f>VLOOKUP($G:$G,材料单价表!$B$4:$G$40,5,0)</f>
        <v>0</v>
      </c>
      <c r="I319" s="93"/>
    </row>
    <row r="320" spans="1:9" ht="18" customHeight="1" x14ac:dyDescent="0.15">
      <c r="A320" s="93">
        <v>13</v>
      </c>
      <c r="B320" s="93" t="s">
        <v>613</v>
      </c>
      <c r="C320" s="93" t="s">
        <v>614</v>
      </c>
      <c r="D320" s="96" t="s">
        <v>617</v>
      </c>
      <c r="E320" s="93">
        <v>0.153</v>
      </c>
      <c r="F320" s="98">
        <v>0.125</v>
      </c>
      <c r="G320" s="93" t="s">
        <v>111</v>
      </c>
      <c r="H320" s="99">
        <f>VLOOKUP($G:$G,材料单价表!$B$4:$G$40,5,0)</f>
        <v>0</v>
      </c>
      <c r="I320" s="93"/>
    </row>
    <row r="321" spans="1:9" ht="18" customHeight="1" x14ac:dyDescent="0.15">
      <c r="A321" s="93">
        <v>14</v>
      </c>
      <c r="B321" s="93" t="s">
        <v>615</v>
      </c>
      <c r="C321" s="93" t="s">
        <v>616</v>
      </c>
      <c r="D321" s="96" t="s">
        <v>617</v>
      </c>
      <c r="E321" s="93">
        <v>0.41</v>
      </c>
      <c r="F321" s="98">
        <v>0.125</v>
      </c>
      <c r="G321" s="93" t="s">
        <v>111</v>
      </c>
      <c r="H321" s="99">
        <f>VLOOKUP($G:$G,材料单价表!$B$4:$G$40,5,0)</f>
        <v>0</v>
      </c>
      <c r="I321" s="93"/>
    </row>
    <row r="322" spans="1:9" ht="18" customHeight="1" x14ac:dyDescent="0.15">
      <c r="A322" s="93"/>
      <c r="B322" s="93"/>
      <c r="C322" s="93"/>
      <c r="D322" s="93"/>
      <c r="E322" s="93"/>
      <c r="F322" s="93"/>
      <c r="G322" s="93"/>
      <c r="H322" s="93"/>
      <c r="I322" s="93"/>
    </row>
    <row r="323" spans="1:9" ht="18" customHeight="1" x14ac:dyDescent="0.15">
      <c r="A323" s="581" t="s">
        <v>594</v>
      </c>
      <c r="B323" s="582"/>
      <c r="C323" s="582"/>
      <c r="D323" s="582"/>
      <c r="E323" s="582"/>
      <c r="F323" s="582"/>
      <c r="G323" s="582"/>
      <c r="H323" s="582"/>
      <c r="I323" s="583"/>
    </row>
    <row r="324" spans="1:9" s="149" customFormat="1" ht="18" customHeight="1" x14ac:dyDescent="0.15">
      <c r="A324" s="101" t="s">
        <v>619</v>
      </c>
      <c r="B324" s="101" t="s">
        <v>620</v>
      </c>
      <c r="C324" s="101"/>
      <c r="D324" s="101"/>
      <c r="E324" s="101"/>
      <c r="F324" s="101"/>
      <c r="G324" s="101"/>
      <c r="H324" s="101"/>
      <c r="I324" s="101"/>
    </row>
    <row r="325" spans="1:9" ht="18" customHeight="1" x14ac:dyDescent="0.15">
      <c r="A325" s="93">
        <v>1</v>
      </c>
      <c r="B325" s="93" t="s">
        <v>621</v>
      </c>
      <c r="C325" s="93" t="s">
        <v>622</v>
      </c>
      <c r="D325" s="96" t="s">
        <v>632</v>
      </c>
      <c r="E325" s="93">
        <v>2.2370000000000001</v>
      </c>
      <c r="F325" s="98">
        <v>0.125</v>
      </c>
      <c r="G325" s="93" t="s">
        <v>110</v>
      </c>
      <c r="H325" s="99">
        <f>VLOOKUP($G:$G,材料单价表!$B$4:$G$40,5,0)</f>
        <v>0</v>
      </c>
      <c r="I325" s="93"/>
    </row>
    <row r="326" spans="1:9" ht="18" customHeight="1" x14ac:dyDescent="0.15">
      <c r="A326" s="93">
        <v>2</v>
      </c>
      <c r="B326" s="93" t="s">
        <v>623</v>
      </c>
      <c r="C326" s="93" t="s">
        <v>624</v>
      </c>
      <c r="D326" s="96" t="s">
        <v>632</v>
      </c>
      <c r="E326" s="93">
        <v>1.4810000000000001</v>
      </c>
      <c r="F326" s="98">
        <v>0.125</v>
      </c>
      <c r="G326" s="93" t="s">
        <v>110</v>
      </c>
      <c r="H326" s="99">
        <f>VLOOKUP($G:$G,材料单价表!$B$4:$G$40,5,0)</f>
        <v>0</v>
      </c>
      <c r="I326" s="93"/>
    </row>
    <row r="327" spans="1:9" ht="18" customHeight="1" x14ac:dyDescent="0.15">
      <c r="A327" s="93">
        <v>3</v>
      </c>
      <c r="B327" s="93" t="s">
        <v>625</v>
      </c>
      <c r="C327" s="93" t="s">
        <v>626</v>
      </c>
      <c r="D327" s="96" t="s">
        <v>631</v>
      </c>
      <c r="E327" s="93">
        <v>1.4159999999999999</v>
      </c>
      <c r="F327" s="98">
        <v>0.125</v>
      </c>
      <c r="G327" s="93" t="s">
        <v>110</v>
      </c>
      <c r="H327" s="99">
        <f>VLOOKUP($G:$G,材料单价表!$B$4:$G$40,5,0)</f>
        <v>0</v>
      </c>
      <c r="I327" s="93"/>
    </row>
    <row r="328" spans="1:9" ht="18" customHeight="1" x14ac:dyDescent="0.15">
      <c r="A328" s="93">
        <v>4</v>
      </c>
      <c r="B328" s="93" t="s">
        <v>627</v>
      </c>
      <c r="C328" s="93" t="s">
        <v>624</v>
      </c>
      <c r="D328" s="96" t="s">
        <v>631</v>
      </c>
      <c r="E328" s="93">
        <v>1.3839999999999999</v>
      </c>
      <c r="F328" s="98">
        <v>0.125</v>
      </c>
      <c r="G328" s="93" t="s">
        <v>110</v>
      </c>
      <c r="H328" s="99">
        <f>VLOOKUP($G:$G,材料单价表!$B$4:$G$40,5,0)</f>
        <v>0</v>
      </c>
      <c r="I328" s="93"/>
    </row>
    <row r="329" spans="1:9" ht="18" customHeight="1" x14ac:dyDescent="0.15">
      <c r="A329" s="93">
        <v>5</v>
      </c>
      <c r="B329" s="93" t="s">
        <v>628</v>
      </c>
      <c r="C329" s="93" t="s">
        <v>629</v>
      </c>
      <c r="D329" s="96" t="s">
        <v>631</v>
      </c>
      <c r="E329" s="93">
        <v>1.548</v>
      </c>
      <c r="F329" s="98">
        <v>0.125</v>
      </c>
      <c r="G329" s="93" t="s">
        <v>110</v>
      </c>
      <c r="H329" s="99">
        <f>VLOOKUP($G:$G,材料单价表!$B$4:$G$40,5,0)</f>
        <v>0</v>
      </c>
      <c r="I329" s="93"/>
    </row>
    <row r="330" spans="1:9" ht="18" customHeight="1" x14ac:dyDescent="0.15">
      <c r="A330" s="93">
        <v>6</v>
      </c>
      <c r="B330" s="93" t="s">
        <v>630</v>
      </c>
      <c r="C330" s="93" t="s">
        <v>616</v>
      </c>
      <c r="D330" s="96" t="s">
        <v>631</v>
      </c>
      <c r="E330" s="93">
        <v>0.28100000000000003</v>
      </c>
      <c r="F330" s="98">
        <v>0.125</v>
      </c>
      <c r="G330" s="93" t="s">
        <v>111</v>
      </c>
      <c r="H330" s="99">
        <f>VLOOKUP($G:$G,材料单价表!$B$4:$G$40,5,0)</f>
        <v>0</v>
      </c>
      <c r="I330" s="93"/>
    </row>
    <row r="331" spans="1:9" ht="18" customHeight="1" x14ac:dyDescent="0.15">
      <c r="A331" s="93"/>
      <c r="B331" s="93"/>
      <c r="C331" s="93"/>
      <c r="D331" s="93"/>
      <c r="E331" s="93"/>
      <c r="F331" s="93"/>
      <c r="G331" s="93"/>
      <c r="H331" s="93"/>
      <c r="I331" s="93"/>
    </row>
    <row r="332" spans="1:9" ht="18" customHeight="1" x14ac:dyDescent="0.15">
      <c r="A332" s="101" t="s">
        <v>116</v>
      </c>
      <c r="B332" s="101" t="s">
        <v>633</v>
      </c>
      <c r="C332" s="93"/>
      <c r="D332" s="93"/>
      <c r="E332" s="93"/>
      <c r="F332" s="93"/>
      <c r="G332" s="93"/>
      <c r="H332" s="93"/>
      <c r="I332" s="93"/>
    </row>
    <row r="333" spans="1:9" ht="18" customHeight="1" x14ac:dyDescent="0.15">
      <c r="A333" s="93">
        <v>1</v>
      </c>
      <c r="B333" s="93" t="s">
        <v>634</v>
      </c>
      <c r="C333" s="93" t="s">
        <v>622</v>
      </c>
      <c r="D333" s="96" t="s">
        <v>641</v>
      </c>
      <c r="E333" s="93">
        <v>2.141</v>
      </c>
      <c r="F333" s="98">
        <v>0.125</v>
      </c>
      <c r="G333" s="93" t="s">
        <v>110</v>
      </c>
      <c r="H333" s="99">
        <f>VLOOKUP($G:$G,材料单价表!$B$4:$G$40,5,0)</f>
        <v>0</v>
      </c>
      <c r="I333" s="93"/>
    </row>
    <row r="334" spans="1:9" ht="18" customHeight="1" x14ac:dyDescent="0.15">
      <c r="A334" s="93">
        <v>2</v>
      </c>
      <c r="B334" s="93" t="s">
        <v>635</v>
      </c>
      <c r="C334" s="93" t="s">
        <v>624</v>
      </c>
      <c r="D334" s="96" t="s">
        <v>641</v>
      </c>
      <c r="E334" s="93">
        <v>1.4890000000000001</v>
      </c>
      <c r="F334" s="98">
        <v>0.125</v>
      </c>
      <c r="G334" s="93" t="s">
        <v>110</v>
      </c>
      <c r="H334" s="99">
        <f>VLOOKUP($G:$G,材料单价表!$B$4:$G$40,5,0)</f>
        <v>0</v>
      </c>
      <c r="I334" s="93"/>
    </row>
    <row r="335" spans="1:9" ht="18" customHeight="1" x14ac:dyDescent="0.15">
      <c r="A335" s="93">
        <v>3</v>
      </c>
      <c r="B335" s="93" t="s">
        <v>636</v>
      </c>
      <c r="C335" s="93" t="s">
        <v>626</v>
      </c>
      <c r="D335" s="96" t="s">
        <v>640</v>
      </c>
      <c r="E335" s="93">
        <v>0.69299999999999995</v>
      </c>
      <c r="F335" s="98">
        <v>0.125</v>
      </c>
      <c r="G335" s="93" t="s">
        <v>110</v>
      </c>
      <c r="H335" s="99">
        <f>VLOOKUP($G:$G,材料单价表!$B$4:$G$40,5,0)</f>
        <v>0</v>
      </c>
      <c r="I335" s="93"/>
    </row>
    <row r="336" spans="1:9" ht="18" customHeight="1" x14ac:dyDescent="0.15">
      <c r="A336" s="93">
        <v>4</v>
      </c>
      <c r="B336" s="93" t="s">
        <v>637</v>
      </c>
      <c r="C336" s="93" t="s">
        <v>622</v>
      </c>
      <c r="D336" s="96" t="s">
        <v>640</v>
      </c>
      <c r="E336" s="93">
        <v>1.4530000000000001</v>
      </c>
      <c r="F336" s="98">
        <v>0.125</v>
      </c>
      <c r="G336" s="93" t="s">
        <v>110</v>
      </c>
      <c r="H336" s="99">
        <f>VLOOKUP($G:$G,材料单价表!$B$4:$G$40,5,0)</f>
        <v>0</v>
      </c>
      <c r="I336" s="93"/>
    </row>
    <row r="337" spans="1:9" ht="18" customHeight="1" x14ac:dyDescent="0.15">
      <c r="A337" s="93">
        <v>5</v>
      </c>
      <c r="B337" s="93" t="s">
        <v>638</v>
      </c>
      <c r="C337" s="93" t="s">
        <v>639</v>
      </c>
      <c r="D337" s="96" t="s">
        <v>640</v>
      </c>
      <c r="E337" s="93">
        <v>3.2589999999999999</v>
      </c>
      <c r="F337" s="98">
        <v>0.125</v>
      </c>
      <c r="G337" s="93" t="s">
        <v>112</v>
      </c>
      <c r="H337" s="99">
        <f>VLOOKUP($G:$G,材料单价表!$B$4:$G$40,5,0)</f>
        <v>0</v>
      </c>
      <c r="I337" s="93"/>
    </row>
    <row r="338" spans="1:9" ht="18" customHeight="1" x14ac:dyDescent="0.15">
      <c r="A338" s="93"/>
      <c r="B338" s="93"/>
      <c r="C338" s="93"/>
      <c r="D338" s="93"/>
      <c r="E338" s="93"/>
      <c r="F338" s="93"/>
      <c r="G338" s="93"/>
      <c r="H338" s="93"/>
      <c r="I338" s="93"/>
    </row>
    <row r="339" spans="1:9" ht="18" customHeight="1" x14ac:dyDescent="0.15">
      <c r="A339" s="101" t="s">
        <v>119</v>
      </c>
      <c r="B339" s="101" t="s">
        <v>642</v>
      </c>
      <c r="C339" s="93"/>
      <c r="D339" s="93"/>
      <c r="E339" s="93"/>
      <c r="F339" s="93"/>
      <c r="G339" s="93"/>
      <c r="H339" s="93"/>
      <c r="I339" s="93"/>
    </row>
    <row r="340" spans="1:9" ht="18" customHeight="1" x14ac:dyDescent="0.15">
      <c r="A340" s="93">
        <v>1</v>
      </c>
      <c r="B340" s="93" t="s">
        <v>643</v>
      </c>
      <c r="C340" s="93" t="s">
        <v>645</v>
      </c>
      <c r="D340" s="96" t="s">
        <v>677</v>
      </c>
      <c r="E340" s="93">
        <v>2.4319999999999999</v>
      </c>
      <c r="F340" s="98">
        <v>0.125</v>
      </c>
      <c r="G340" s="93" t="s">
        <v>110</v>
      </c>
      <c r="H340" s="99">
        <f>VLOOKUP($G:$G,材料单价表!$B$4:$G$40,5,0)</f>
        <v>0</v>
      </c>
      <c r="I340" s="93"/>
    </row>
    <row r="341" spans="1:9" ht="18" customHeight="1" x14ac:dyDescent="0.15">
      <c r="A341" s="93">
        <v>2</v>
      </c>
      <c r="B341" s="93" t="s">
        <v>644</v>
      </c>
      <c r="C341" s="93" t="s">
        <v>646</v>
      </c>
      <c r="D341" s="96" t="s">
        <v>677</v>
      </c>
      <c r="E341" s="93">
        <v>2.2730000000000001</v>
      </c>
      <c r="F341" s="98">
        <v>0.125</v>
      </c>
      <c r="G341" s="93" t="s">
        <v>110</v>
      </c>
      <c r="H341" s="99">
        <f>VLOOKUP($G:$G,材料单价表!$B$4:$G$40,5,0)</f>
        <v>0</v>
      </c>
      <c r="I341" s="93"/>
    </row>
    <row r="342" spans="1:9" ht="18" customHeight="1" x14ac:dyDescent="0.15">
      <c r="A342" s="93">
        <v>3</v>
      </c>
      <c r="B342" s="93" t="s">
        <v>647</v>
      </c>
      <c r="C342" s="93" t="s">
        <v>648</v>
      </c>
      <c r="D342" s="96" t="s">
        <v>676</v>
      </c>
      <c r="E342" s="93">
        <v>1.7609999999999999</v>
      </c>
      <c r="F342" s="98">
        <v>0.125</v>
      </c>
      <c r="G342" s="93" t="s">
        <v>110</v>
      </c>
      <c r="H342" s="99">
        <f>VLOOKUP($G:$G,材料单价表!$B$4:$G$40,5,0)</f>
        <v>0</v>
      </c>
      <c r="I342" s="93"/>
    </row>
    <row r="343" spans="1:9" ht="18" customHeight="1" x14ac:dyDescent="0.15">
      <c r="A343" s="93">
        <v>4</v>
      </c>
      <c r="B343" s="93" t="s">
        <v>649</v>
      </c>
      <c r="C343" s="93" t="s">
        <v>598</v>
      </c>
      <c r="D343" s="96" t="s">
        <v>676</v>
      </c>
      <c r="E343" s="93">
        <v>1.232</v>
      </c>
      <c r="F343" s="98">
        <v>0.125</v>
      </c>
      <c r="G343" s="93" t="s">
        <v>110</v>
      </c>
      <c r="H343" s="99">
        <f>VLOOKUP($G:$G,材料单价表!$B$4:$G$40,5,0)</f>
        <v>0</v>
      </c>
      <c r="I343" s="93"/>
    </row>
    <row r="344" spans="1:9" ht="18" customHeight="1" x14ac:dyDescent="0.15">
      <c r="A344" s="93">
        <v>5</v>
      </c>
      <c r="B344" s="93" t="s">
        <v>650</v>
      </c>
      <c r="C344" s="93" t="s">
        <v>651</v>
      </c>
      <c r="D344" s="96" t="s">
        <v>676</v>
      </c>
      <c r="E344" s="93">
        <v>1.397</v>
      </c>
      <c r="F344" s="98">
        <v>0.125</v>
      </c>
      <c r="G344" s="93" t="s">
        <v>110</v>
      </c>
      <c r="H344" s="99">
        <f>VLOOKUP($G:$G,材料单价表!$B$4:$G$40,5,0)</f>
        <v>0</v>
      </c>
      <c r="I344" s="93"/>
    </row>
    <row r="345" spans="1:9" ht="18" customHeight="1" x14ac:dyDescent="0.15">
      <c r="A345" s="93">
        <v>6</v>
      </c>
      <c r="B345" s="93" t="s">
        <v>652</v>
      </c>
      <c r="C345" s="93" t="s">
        <v>604</v>
      </c>
      <c r="D345" s="96" t="s">
        <v>676</v>
      </c>
      <c r="E345" s="93">
        <v>1.405</v>
      </c>
      <c r="F345" s="98">
        <v>0.125</v>
      </c>
      <c r="G345" s="93" t="s">
        <v>110</v>
      </c>
      <c r="H345" s="99">
        <f>VLOOKUP($G:$G,材料单价表!$B$4:$G$40,5,0)</f>
        <v>0</v>
      </c>
      <c r="I345" s="93"/>
    </row>
    <row r="346" spans="1:9" ht="18" customHeight="1" x14ac:dyDescent="0.15">
      <c r="A346" s="93">
        <v>7</v>
      </c>
      <c r="B346" s="93" t="s">
        <v>653</v>
      </c>
      <c r="C346" s="93" t="s">
        <v>626</v>
      </c>
      <c r="D346" s="96" t="s">
        <v>676</v>
      </c>
      <c r="E346" s="93">
        <v>0.56699999999999995</v>
      </c>
      <c r="F346" s="98">
        <v>0.125</v>
      </c>
      <c r="G346" s="93" t="s">
        <v>110</v>
      </c>
      <c r="H346" s="99">
        <f>VLOOKUP($G:$G,材料单价表!$B$4:$G$40,5,0)</f>
        <v>0</v>
      </c>
      <c r="I346" s="93"/>
    </row>
    <row r="347" spans="1:9" ht="18" customHeight="1" x14ac:dyDescent="0.15">
      <c r="A347" s="93">
        <v>8</v>
      </c>
      <c r="B347" s="93" t="s">
        <v>654</v>
      </c>
      <c r="C347" s="93" t="s">
        <v>655</v>
      </c>
      <c r="D347" s="96" t="s">
        <v>676</v>
      </c>
      <c r="E347" s="93">
        <v>2.5009999999999999</v>
      </c>
      <c r="F347" s="98">
        <v>0.125</v>
      </c>
      <c r="G347" s="93" t="s">
        <v>110</v>
      </c>
      <c r="H347" s="99">
        <f>VLOOKUP($G:$G,材料单价表!$B$4:$G$40,5,0)</f>
        <v>0</v>
      </c>
      <c r="I347" s="93"/>
    </row>
    <row r="348" spans="1:9" ht="18" customHeight="1" x14ac:dyDescent="0.15">
      <c r="A348" s="93">
        <v>9</v>
      </c>
      <c r="B348" s="93" t="s">
        <v>656</v>
      </c>
      <c r="C348" s="93" t="s">
        <v>657</v>
      </c>
      <c r="D348" s="96" t="s">
        <v>676</v>
      </c>
      <c r="E348" s="93">
        <v>1.7789999999999999</v>
      </c>
      <c r="F348" s="98">
        <v>0.125</v>
      </c>
      <c r="G348" s="93" t="s">
        <v>110</v>
      </c>
      <c r="H348" s="99">
        <f>VLOOKUP($G:$G,材料单价表!$B$4:$G$40,5,0)</f>
        <v>0</v>
      </c>
      <c r="I348" s="93"/>
    </row>
    <row r="349" spans="1:9" ht="18" customHeight="1" x14ac:dyDescent="0.15">
      <c r="A349" s="93">
        <v>10</v>
      </c>
      <c r="B349" s="93" t="s">
        <v>658</v>
      </c>
      <c r="C349" s="93" t="s">
        <v>610</v>
      </c>
      <c r="D349" s="96" t="s">
        <v>676</v>
      </c>
      <c r="E349" s="93">
        <v>0.39700000000000002</v>
      </c>
      <c r="F349" s="98">
        <v>0.125</v>
      </c>
      <c r="G349" s="93" t="s">
        <v>112</v>
      </c>
      <c r="H349" s="99">
        <f>VLOOKUP($G:$G,材料单价表!$B$4:$G$40,5,0)</f>
        <v>0</v>
      </c>
      <c r="I349" s="93"/>
    </row>
    <row r="350" spans="1:9" ht="18" customHeight="1" x14ac:dyDescent="0.15">
      <c r="A350" s="93"/>
      <c r="B350" s="93"/>
      <c r="C350" s="93"/>
      <c r="D350" s="93"/>
      <c r="E350" s="93"/>
      <c r="F350" s="93"/>
      <c r="G350" s="93"/>
      <c r="H350" s="93"/>
      <c r="I350" s="93"/>
    </row>
    <row r="351" spans="1:9" ht="18" customHeight="1" x14ac:dyDescent="0.15">
      <c r="A351" s="101" t="s">
        <v>124</v>
      </c>
      <c r="B351" s="101" t="s">
        <v>659</v>
      </c>
      <c r="C351" s="93"/>
      <c r="D351" s="93"/>
      <c r="E351" s="93"/>
      <c r="F351" s="93"/>
      <c r="G351" s="93"/>
      <c r="H351" s="93"/>
      <c r="I351" s="93"/>
    </row>
    <row r="352" spans="1:9" ht="18" customHeight="1" x14ac:dyDescent="0.15">
      <c r="A352" s="93">
        <v>1</v>
      </c>
      <c r="B352" s="93" t="s">
        <v>660</v>
      </c>
      <c r="C352" s="93" t="s">
        <v>645</v>
      </c>
      <c r="D352" s="96" t="s">
        <v>679</v>
      </c>
      <c r="E352" s="93">
        <v>2.7839999999999998</v>
      </c>
      <c r="F352" s="98">
        <v>0.125</v>
      </c>
      <c r="G352" s="93" t="s">
        <v>110</v>
      </c>
      <c r="H352" s="99">
        <f>VLOOKUP($G:$G,材料单价表!$B$4:$G$40,5,0)</f>
        <v>0</v>
      </c>
      <c r="I352" s="93"/>
    </row>
    <row r="353" spans="1:9" ht="18" customHeight="1" x14ac:dyDescent="0.15">
      <c r="A353" s="93">
        <v>2</v>
      </c>
      <c r="B353" s="93" t="s">
        <v>661</v>
      </c>
      <c r="C353" s="93" t="s">
        <v>646</v>
      </c>
      <c r="D353" s="96" t="s">
        <v>679</v>
      </c>
      <c r="E353" s="93">
        <v>2.6669999999999998</v>
      </c>
      <c r="F353" s="98">
        <v>0.125</v>
      </c>
      <c r="G353" s="93" t="s">
        <v>110</v>
      </c>
      <c r="H353" s="99">
        <f>VLOOKUP($G:$G,材料单价表!$B$4:$G$40,5,0)</f>
        <v>0</v>
      </c>
      <c r="I353" s="93"/>
    </row>
    <row r="354" spans="1:9" ht="18" customHeight="1" x14ac:dyDescent="0.15">
      <c r="A354" s="93">
        <v>3</v>
      </c>
      <c r="B354" s="93" t="s">
        <v>662</v>
      </c>
      <c r="C354" s="93" t="s">
        <v>648</v>
      </c>
      <c r="D354" s="96" t="s">
        <v>678</v>
      </c>
      <c r="E354" s="93">
        <v>1.9810000000000001</v>
      </c>
      <c r="F354" s="98">
        <v>0.125</v>
      </c>
      <c r="G354" s="93" t="s">
        <v>110</v>
      </c>
      <c r="H354" s="99">
        <f>VLOOKUP($G:$G,材料单价表!$B$4:$G$40,5,0)</f>
        <v>0</v>
      </c>
      <c r="I354" s="93"/>
    </row>
    <row r="355" spans="1:9" ht="18" customHeight="1" x14ac:dyDescent="0.15">
      <c r="A355" s="93">
        <v>4</v>
      </c>
      <c r="B355" s="93" t="s">
        <v>663</v>
      </c>
      <c r="C355" s="93" t="s">
        <v>664</v>
      </c>
      <c r="D355" s="96" t="s">
        <v>678</v>
      </c>
      <c r="E355" s="93">
        <v>1.476</v>
      </c>
      <c r="F355" s="98">
        <v>0.125</v>
      </c>
      <c r="G355" s="93" t="s">
        <v>110</v>
      </c>
      <c r="H355" s="99">
        <f>VLOOKUP($G:$G,材料单价表!$B$4:$G$40,5,0)</f>
        <v>0</v>
      </c>
      <c r="I355" s="93"/>
    </row>
    <row r="356" spans="1:9" ht="18" customHeight="1" x14ac:dyDescent="0.15">
      <c r="A356" s="93">
        <v>5</v>
      </c>
      <c r="B356" s="93" t="s">
        <v>665</v>
      </c>
      <c r="C356" s="93" t="s">
        <v>666</v>
      </c>
      <c r="D356" s="96" t="s">
        <v>678</v>
      </c>
      <c r="E356" s="93">
        <v>1.448</v>
      </c>
      <c r="F356" s="98">
        <v>0.125</v>
      </c>
      <c r="G356" s="93" t="s">
        <v>110</v>
      </c>
      <c r="H356" s="99">
        <f>VLOOKUP($G:$G,材料单价表!$B$4:$G$40,5,0)</f>
        <v>0</v>
      </c>
      <c r="I356" s="93"/>
    </row>
    <row r="357" spans="1:9" ht="18" customHeight="1" x14ac:dyDescent="0.15">
      <c r="A357" s="93">
        <v>6</v>
      </c>
      <c r="B357" s="93" t="s">
        <v>667</v>
      </c>
      <c r="C357" s="93" t="s">
        <v>668</v>
      </c>
      <c r="D357" s="96" t="s">
        <v>678</v>
      </c>
      <c r="E357" s="93">
        <v>2.1040000000000001</v>
      </c>
      <c r="F357" s="98">
        <v>0.125</v>
      </c>
      <c r="G357" s="93" t="s">
        <v>110</v>
      </c>
      <c r="H357" s="99">
        <f>VLOOKUP($G:$G,材料单价表!$B$4:$G$40,5,0)</f>
        <v>0</v>
      </c>
      <c r="I357" s="93"/>
    </row>
    <row r="358" spans="1:9" ht="18" customHeight="1" x14ac:dyDescent="0.15">
      <c r="A358" s="93">
        <v>7</v>
      </c>
      <c r="B358" s="93" t="s">
        <v>669</v>
      </c>
      <c r="C358" s="93" t="s">
        <v>626</v>
      </c>
      <c r="D358" s="96" t="s">
        <v>678</v>
      </c>
      <c r="E358" s="93">
        <v>0.67800000000000005</v>
      </c>
      <c r="F358" s="98">
        <v>0.125</v>
      </c>
      <c r="G358" s="93" t="s">
        <v>110</v>
      </c>
      <c r="H358" s="99">
        <f>VLOOKUP($G:$G,材料单价表!$B$4:$G$40,5,0)</f>
        <v>0</v>
      </c>
      <c r="I358" s="93"/>
    </row>
    <row r="359" spans="1:9" ht="18" customHeight="1" x14ac:dyDescent="0.15">
      <c r="A359" s="93">
        <v>8</v>
      </c>
      <c r="B359" s="93" t="s">
        <v>670</v>
      </c>
      <c r="C359" s="93" t="s">
        <v>657</v>
      </c>
      <c r="D359" s="96" t="s">
        <v>678</v>
      </c>
      <c r="E359" s="93">
        <v>1.7809999999999999</v>
      </c>
      <c r="F359" s="98">
        <v>0.125</v>
      </c>
      <c r="G359" s="93" t="s">
        <v>110</v>
      </c>
      <c r="H359" s="99">
        <f>VLOOKUP($G:$G,材料单价表!$B$4:$G$40,5,0)</f>
        <v>0</v>
      </c>
      <c r="I359" s="93"/>
    </row>
    <row r="360" spans="1:9" ht="18" customHeight="1" x14ac:dyDescent="0.15">
      <c r="A360" s="93">
        <v>9</v>
      </c>
      <c r="B360" s="93" t="s">
        <v>671</v>
      </c>
      <c r="C360" s="93" t="s">
        <v>655</v>
      </c>
      <c r="D360" s="96" t="s">
        <v>678</v>
      </c>
      <c r="E360" s="93">
        <v>3.01</v>
      </c>
      <c r="F360" s="98">
        <v>0.125</v>
      </c>
      <c r="G360" s="93" t="s">
        <v>110</v>
      </c>
      <c r="H360" s="99">
        <f>VLOOKUP($G:$G,材料单价表!$B$4:$G$40,5,0)</f>
        <v>0</v>
      </c>
      <c r="I360" s="93"/>
    </row>
    <row r="361" spans="1:9" ht="18" customHeight="1" x14ac:dyDescent="0.15">
      <c r="A361" s="93">
        <v>10</v>
      </c>
      <c r="B361" s="93" t="s">
        <v>672</v>
      </c>
      <c r="C361" s="93" t="s">
        <v>606</v>
      </c>
      <c r="D361" s="96" t="s">
        <v>678</v>
      </c>
      <c r="E361" s="93">
        <v>2.0419999999999998</v>
      </c>
      <c r="F361" s="98">
        <v>0.125</v>
      </c>
      <c r="G361" s="93" t="s">
        <v>110</v>
      </c>
      <c r="H361" s="99">
        <f>VLOOKUP($G:$G,材料单价表!$B$4:$G$40,5,0)</f>
        <v>0</v>
      </c>
      <c r="I361" s="93"/>
    </row>
    <row r="362" spans="1:9" ht="18" customHeight="1" x14ac:dyDescent="0.15">
      <c r="A362" s="93">
        <v>11</v>
      </c>
      <c r="B362" s="93" t="s">
        <v>673</v>
      </c>
      <c r="C362" s="93" t="s">
        <v>610</v>
      </c>
      <c r="D362" s="96" t="s">
        <v>678</v>
      </c>
      <c r="E362" s="93">
        <v>0.98</v>
      </c>
      <c r="F362" s="98">
        <v>0.125</v>
      </c>
      <c r="G362" s="93" t="s">
        <v>110</v>
      </c>
      <c r="H362" s="99">
        <f>VLOOKUP($G:$G,材料单价表!$B$4:$G$40,5,0)</f>
        <v>0</v>
      </c>
      <c r="I362" s="93"/>
    </row>
    <row r="363" spans="1:9" ht="18" customHeight="1" x14ac:dyDescent="0.15">
      <c r="A363" s="93">
        <v>12</v>
      </c>
      <c r="B363" s="93" t="s">
        <v>674</v>
      </c>
      <c r="C363" s="93" t="s">
        <v>616</v>
      </c>
      <c r="D363" s="96" t="s">
        <v>678</v>
      </c>
      <c r="E363" s="93">
        <v>0.36899999999999999</v>
      </c>
      <c r="F363" s="98">
        <v>0.125</v>
      </c>
      <c r="G363" s="93" t="s">
        <v>112</v>
      </c>
      <c r="H363" s="99">
        <f>VLOOKUP($G:$G,材料单价表!$B$4:$G$40,5,0)</f>
        <v>0</v>
      </c>
      <c r="I363" s="93"/>
    </row>
    <row r="364" spans="1:9" ht="18" customHeight="1" x14ac:dyDescent="0.15">
      <c r="A364" s="93">
        <v>13</v>
      </c>
      <c r="B364" s="93" t="s">
        <v>675</v>
      </c>
      <c r="C364" s="93" t="s">
        <v>614</v>
      </c>
      <c r="D364" s="96" t="s">
        <v>678</v>
      </c>
      <c r="E364" s="93">
        <v>0.17399999999999999</v>
      </c>
      <c r="F364" s="98">
        <v>0.125</v>
      </c>
      <c r="G364" s="93" t="s">
        <v>112</v>
      </c>
      <c r="H364" s="99">
        <f>VLOOKUP($G:$G,材料单价表!$B$4:$G$40,5,0)</f>
        <v>0</v>
      </c>
      <c r="I364" s="93"/>
    </row>
    <row r="365" spans="1:9" ht="18" customHeight="1" x14ac:dyDescent="0.15">
      <c r="A365" s="201"/>
      <c r="B365" s="201"/>
      <c r="C365" s="201"/>
      <c r="D365" s="201"/>
      <c r="E365" s="201"/>
      <c r="F365" s="201"/>
      <c r="G365" s="201"/>
      <c r="H365" s="201"/>
      <c r="I365" s="201"/>
    </row>
    <row r="366" spans="1:9" ht="18" customHeight="1" x14ac:dyDescent="0.15">
      <c r="A366" s="202" t="s">
        <v>302</v>
      </c>
      <c r="B366" s="202" t="s">
        <v>757</v>
      </c>
      <c r="C366" s="201"/>
      <c r="D366" s="201"/>
      <c r="E366" s="201"/>
      <c r="F366" s="201"/>
      <c r="G366" s="201"/>
      <c r="H366" s="201"/>
      <c r="I366" s="201"/>
    </row>
    <row r="367" spans="1:9" ht="18" customHeight="1" x14ac:dyDescent="0.15">
      <c r="A367" s="201">
        <v>1</v>
      </c>
      <c r="B367" s="93" t="s">
        <v>758</v>
      </c>
      <c r="C367" s="93" t="s">
        <v>645</v>
      </c>
      <c r="D367" s="96" t="s">
        <v>776</v>
      </c>
      <c r="E367" s="201">
        <v>1.325</v>
      </c>
      <c r="F367" s="98">
        <v>0.125</v>
      </c>
      <c r="G367" s="93" t="s">
        <v>700</v>
      </c>
      <c r="H367" s="99">
        <f>VLOOKUP($G:$G,材料单价表!$B$4:$G$40,5,0)</f>
        <v>0</v>
      </c>
      <c r="I367" s="201"/>
    </row>
    <row r="368" spans="1:9" ht="18" customHeight="1" x14ac:dyDescent="0.15">
      <c r="A368" s="201">
        <v>2</v>
      </c>
      <c r="B368" s="93" t="s">
        <v>759</v>
      </c>
      <c r="C368" s="93" t="s">
        <v>646</v>
      </c>
      <c r="D368" s="96" t="s">
        <v>776</v>
      </c>
      <c r="E368" s="201">
        <v>1.5429999999999999</v>
      </c>
      <c r="F368" s="98">
        <v>0.125</v>
      </c>
      <c r="G368" s="93" t="s">
        <v>700</v>
      </c>
      <c r="H368" s="99">
        <f>VLOOKUP($G:$G,材料单价表!$B$4:$G$40,5,0)</f>
        <v>0</v>
      </c>
      <c r="I368" s="201"/>
    </row>
    <row r="369" spans="1:9" ht="18" customHeight="1" x14ac:dyDescent="0.15">
      <c r="A369" s="201">
        <v>3</v>
      </c>
      <c r="B369" s="93" t="s">
        <v>760</v>
      </c>
      <c r="C369" s="93" t="s">
        <v>648</v>
      </c>
      <c r="D369" s="96" t="s">
        <v>775</v>
      </c>
      <c r="E369" s="201">
        <v>1.0489999999999999</v>
      </c>
      <c r="F369" s="98">
        <v>0.125</v>
      </c>
      <c r="G369" s="93" t="s">
        <v>700</v>
      </c>
      <c r="H369" s="99">
        <f>VLOOKUP($G:$G,材料单价表!$B$4:$G$40,5,0)</f>
        <v>0</v>
      </c>
      <c r="I369" s="201"/>
    </row>
    <row r="370" spans="1:9" ht="18" customHeight="1" x14ac:dyDescent="0.15">
      <c r="A370" s="201">
        <v>4</v>
      </c>
      <c r="B370" s="201" t="s">
        <v>761</v>
      </c>
      <c r="C370" s="201" t="s">
        <v>598</v>
      </c>
      <c r="D370" s="96" t="s">
        <v>775</v>
      </c>
      <c r="E370" s="201">
        <v>0.88300000000000001</v>
      </c>
      <c r="F370" s="98">
        <v>0.125</v>
      </c>
      <c r="G370" s="93" t="s">
        <v>700</v>
      </c>
      <c r="H370" s="99">
        <f>VLOOKUP($G:$G,材料单价表!$B$4:$G$40,5,0)</f>
        <v>0</v>
      </c>
      <c r="I370" s="201"/>
    </row>
    <row r="371" spans="1:9" ht="18" customHeight="1" x14ac:dyDescent="0.15">
      <c r="A371" s="201">
        <v>5</v>
      </c>
      <c r="B371" s="201" t="s">
        <v>762</v>
      </c>
      <c r="C371" s="201" t="s">
        <v>600</v>
      </c>
      <c r="D371" s="96" t="s">
        <v>775</v>
      </c>
      <c r="E371" s="201">
        <v>0.93799999999999994</v>
      </c>
      <c r="F371" s="98">
        <v>0.125</v>
      </c>
      <c r="G371" s="93" t="s">
        <v>700</v>
      </c>
      <c r="H371" s="99">
        <f>VLOOKUP($G:$G,材料单价表!$B$4:$G$40,5,0)</f>
        <v>0</v>
      </c>
      <c r="I371" s="201"/>
    </row>
    <row r="372" spans="1:9" ht="18" customHeight="1" x14ac:dyDescent="0.15">
      <c r="A372" s="201">
        <v>6</v>
      </c>
      <c r="B372" s="201" t="s">
        <v>763</v>
      </c>
      <c r="C372" s="201" t="s">
        <v>602</v>
      </c>
      <c r="D372" s="96" t="s">
        <v>775</v>
      </c>
      <c r="E372" s="201">
        <v>1.179</v>
      </c>
      <c r="F372" s="98">
        <v>0.125</v>
      </c>
      <c r="G372" s="93" t="s">
        <v>700</v>
      </c>
      <c r="H372" s="99">
        <f>VLOOKUP($G:$G,材料单价表!$B$4:$G$40,5,0)</f>
        <v>0</v>
      </c>
      <c r="I372" s="201"/>
    </row>
    <row r="373" spans="1:9" ht="18" customHeight="1" x14ac:dyDescent="0.15">
      <c r="A373" s="201">
        <v>7</v>
      </c>
      <c r="B373" s="201" t="s">
        <v>764</v>
      </c>
      <c r="C373" s="201" t="s">
        <v>604</v>
      </c>
      <c r="D373" s="96" t="s">
        <v>775</v>
      </c>
      <c r="E373" s="201">
        <v>1.0680000000000001</v>
      </c>
      <c r="F373" s="98">
        <v>0.125</v>
      </c>
      <c r="G373" s="93" t="s">
        <v>700</v>
      </c>
      <c r="H373" s="99">
        <f>VLOOKUP($G:$G,材料单价表!$B$4:$G$40,5,0)</f>
        <v>0</v>
      </c>
      <c r="I373" s="201"/>
    </row>
    <row r="374" spans="1:9" ht="18" customHeight="1" x14ac:dyDescent="0.15">
      <c r="A374" s="201">
        <v>8</v>
      </c>
      <c r="B374" s="201" t="s">
        <v>765</v>
      </c>
      <c r="C374" s="201" t="s">
        <v>766</v>
      </c>
      <c r="D374" s="96" t="s">
        <v>775</v>
      </c>
      <c r="E374" s="201">
        <v>0.95499999999999996</v>
      </c>
      <c r="F374" s="98">
        <v>0.125</v>
      </c>
      <c r="G374" s="93" t="s">
        <v>700</v>
      </c>
      <c r="H374" s="99">
        <f>VLOOKUP($G:$G,材料单价表!$B$4:$G$40,5,0)</f>
        <v>0</v>
      </c>
      <c r="I374" s="201"/>
    </row>
    <row r="375" spans="1:9" ht="18" customHeight="1" x14ac:dyDescent="0.15">
      <c r="A375" s="201">
        <v>9</v>
      </c>
      <c r="B375" s="201" t="s">
        <v>767</v>
      </c>
      <c r="C375" s="201" t="s">
        <v>626</v>
      </c>
      <c r="D375" s="96" t="s">
        <v>775</v>
      </c>
      <c r="E375" s="201">
        <v>0.29099999999999998</v>
      </c>
      <c r="F375" s="98">
        <v>0.125</v>
      </c>
      <c r="G375" s="93" t="s">
        <v>700</v>
      </c>
      <c r="H375" s="99">
        <f>VLOOKUP($G:$G,材料单价表!$B$4:$G$40,5,0)</f>
        <v>0</v>
      </c>
      <c r="I375" s="201"/>
    </row>
    <row r="376" spans="1:9" ht="18" customHeight="1" x14ac:dyDescent="0.15">
      <c r="A376" s="201">
        <v>10</v>
      </c>
      <c r="B376" s="201" t="s">
        <v>768</v>
      </c>
      <c r="C376" s="201" t="s">
        <v>612</v>
      </c>
      <c r="D376" s="96" t="s">
        <v>775</v>
      </c>
      <c r="E376" s="201">
        <v>1.2729999999999999</v>
      </c>
      <c r="F376" s="98">
        <v>0.125</v>
      </c>
      <c r="G376" s="93" t="s">
        <v>700</v>
      </c>
      <c r="H376" s="99">
        <f>VLOOKUP($G:$G,材料单价表!$B$4:$G$40,5,0)</f>
        <v>0</v>
      </c>
      <c r="I376" s="201"/>
    </row>
    <row r="377" spans="1:9" ht="18" customHeight="1" x14ac:dyDescent="0.15">
      <c r="A377" s="201">
        <v>11</v>
      </c>
      <c r="B377" s="201" t="s">
        <v>769</v>
      </c>
      <c r="C377" s="201" t="s">
        <v>657</v>
      </c>
      <c r="D377" s="96" t="s">
        <v>775</v>
      </c>
      <c r="E377" s="201">
        <v>1.002</v>
      </c>
      <c r="F377" s="98">
        <v>0.125</v>
      </c>
      <c r="G377" s="93" t="s">
        <v>700</v>
      </c>
      <c r="H377" s="99">
        <f>VLOOKUP($G:$G,材料单价表!$B$4:$G$40,5,0)</f>
        <v>0</v>
      </c>
      <c r="I377" s="201"/>
    </row>
    <row r="378" spans="1:9" ht="18" customHeight="1" x14ac:dyDescent="0.15">
      <c r="A378" s="201">
        <v>12</v>
      </c>
      <c r="B378" s="201" t="s">
        <v>770</v>
      </c>
      <c r="C378" s="201" t="s">
        <v>655</v>
      </c>
      <c r="D378" s="96" t="s">
        <v>775</v>
      </c>
      <c r="E378" s="201">
        <v>2.0609999999999999</v>
      </c>
      <c r="F378" s="98">
        <v>0.125</v>
      </c>
      <c r="G378" s="93" t="s">
        <v>700</v>
      </c>
      <c r="H378" s="99">
        <f>VLOOKUP($G:$G,材料单价表!$B$4:$G$40,5,0)</f>
        <v>0</v>
      </c>
      <c r="I378" s="201"/>
    </row>
    <row r="379" spans="1:9" ht="18" customHeight="1" x14ac:dyDescent="0.15">
      <c r="A379" s="201">
        <v>13</v>
      </c>
      <c r="B379" s="201" t="s">
        <v>771</v>
      </c>
      <c r="C379" s="201" t="s">
        <v>606</v>
      </c>
      <c r="D379" s="96" t="s">
        <v>775</v>
      </c>
      <c r="E379" s="201">
        <v>1.5309999999999999</v>
      </c>
      <c r="F379" s="98">
        <v>0.125</v>
      </c>
      <c r="G379" s="93" t="s">
        <v>700</v>
      </c>
      <c r="H379" s="99">
        <f>VLOOKUP($G:$G,材料单价表!$B$4:$G$40,5,0)</f>
        <v>0</v>
      </c>
      <c r="I379" s="201"/>
    </row>
    <row r="380" spans="1:9" ht="18" customHeight="1" x14ac:dyDescent="0.15">
      <c r="A380" s="201">
        <v>14</v>
      </c>
      <c r="B380" s="201" t="s">
        <v>772</v>
      </c>
      <c r="C380" s="201" t="s">
        <v>614</v>
      </c>
      <c r="D380" s="96" t="s">
        <v>775</v>
      </c>
      <c r="E380" s="201">
        <v>0.155</v>
      </c>
      <c r="F380" s="98">
        <v>0.125</v>
      </c>
      <c r="G380" s="93" t="s">
        <v>700</v>
      </c>
      <c r="H380" s="99">
        <f>VLOOKUP($G:$G,材料单价表!$B$4:$G$40,5,0)</f>
        <v>0</v>
      </c>
      <c r="I380" s="201"/>
    </row>
    <row r="381" spans="1:9" ht="18" customHeight="1" x14ac:dyDescent="0.15">
      <c r="A381" s="201">
        <v>15</v>
      </c>
      <c r="B381" s="201" t="s">
        <v>773</v>
      </c>
      <c r="C381" s="201" t="s">
        <v>774</v>
      </c>
      <c r="D381" s="96" t="s">
        <v>775</v>
      </c>
      <c r="E381" s="201">
        <v>0.49</v>
      </c>
      <c r="F381" s="98">
        <v>0.125</v>
      </c>
      <c r="G381" s="93" t="s">
        <v>700</v>
      </c>
      <c r="H381" s="99">
        <f>VLOOKUP($G:$G,材料单价表!$B$4:$G$40,5,0)</f>
        <v>0</v>
      </c>
      <c r="I381" s="201"/>
    </row>
    <row r="382" spans="1:9" ht="18" customHeight="1" x14ac:dyDescent="0.15">
      <c r="A382" s="201"/>
      <c r="B382" s="201"/>
      <c r="C382" s="201"/>
      <c r="D382" s="201"/>
      <c r="E382" s="201"/>
      <c r="F382" s="201"/>
      <c r="G382" s="201"/>
      <c r="H382" s="201"/>
      <c r="I382" s="201"/>
    </row>
    <row r="383" spans="1:9" ht="18" customHeight="1" x14ac:dyDescent="0.15">
      <c r="A383" s="201">
        <v>1</v>
      </c>
      <c r="B383" s="201" t="s">
        <v>1471</v>
      </c>
      <c r="C383" s="201" t="s">
        <v>1472</v>
      </c>
      <c r="D383" s="201"/>
      <c r="E383" s="201">
        <v>2.3650000000000002</v>
      </c>
      <c r="F383" s="98">
        <v>0.125</v>
      </c>
      <c r="G383" s="93" t="s">
        <v>111</v>
      </c>
      <c r="H383" s="99">
        <f>VLOOKUP($G:$G,材料单价表!$B$4:$G$40,5,0)</f>
        <v>0</v>
      </c>
      <c r="I383" s="201"/>
    </row>
    <row r="384" spans="1:9" ht="18" customHeight="1" x14ac:dyDescent="0.15">
      <c r="A384" s="201">
        <v>2</v>
      </c>
      <c r="B384" s="201" t="s">
        <v>1473</v>
      </c>
      <c r="C384" s="201" t="s">
        <v>1474</v>
      </c>
      <c r="D384" s="201"/>
      <c r="E384" s="201">
        <v>1.7250000000000001</v>
      </c>
      <c r="F384" s="98">
        <v>0.125</v>
      </c>
      <c r="G384" s="93" t="s">
        <v>111</v>
      </c>
      <c r="H384" s="99">
        <f>VLOOKUP($G:$G,材料单价表!$B$4:$G$40,5,0)</f>
        <v>0</v>
      </c>
      <c r="I384" s="201"/>
    </row>
    <row r="385" spans="1:9" ht="18" customHeight="1" x14ac:dyDescent="0.15">
      <c r="A385" s="201">
        <v>3</v>
      </c>
      <c r="B385" s="201" t="s">
        <v>1475</v>
      </c>
      <c r="C385" s="201" t="s">
        <v>1476</v>
      </c>
      <c r="D385" s="201"/>
      <c r="E385" s="201">
        <v>2.464</v>
      </c>
      <c r="F385" s="98">
        <v>0.125</v>
      </c>
      <c r="G385" s="93" t="s">
        <v>111</v>
      </c>
      <c r="H385" s="99">
        <f>VLOOKUP($G:$G,材料单价表!$B$4:$G$40,5,0)</f>
        <v>0</v>
      </c>
      <c r="I385" s="201"/>
    </row>
    <row r="386" spans="1:9" ht="18" customHeight="1" x14ac:dyDescent="0.15">
      <c r="A386" s="201">
        <v>4</v>
      </c>
      <c r="B386" s="201" t="s">
        <v>1477</v>
      </c>
      <c r="C386" s="201" t="s">
        <v>1476</v>
      </c>
      <c r="D386" s="201"/>
      <c r="E386" s="201">
        <v>1.7430000000000001</v>
      </c>
      <c r="F386" s="98">
        <v>0.125</v>
      </c>
      <c r="G386" s="93" t="s">
        <v>111</v>
      </c>
      <c r="H386" s="99">
        <f>VLOOKUP($G:$G,材料单价表!$B$4:$G$40,5,0)</f>
        <v>0</v>
      </c>
      <c r="I386" s="201"/>
    </row>
    <row r="387" spans="1:9" ht="18" customHeight="1" x14ac:dyDescent="0.15">
      <c r="A387" s="201">
        <v>5</v>
      </c>
      <c r="B387" s="201" t="s">
        <v>1478</v>
      </c>
      <c r="C387" s="201" t="s">
        <v>1472</v>
      </c>
      <c r="D387" s="201"/>
      <c r="E387" s="201">
        <v>1.27</v>
      </c>
      <c r="F387" s="98">
        <v>0.125</v>
      </c>
      <c r="G387" s="93" t="s">
        <v>111</v>
      </c>
      <c r="H387" s="99">
        <f>VLOOKUP($G:$G,材料单价表!$B$4:$G$40,5,0)</f>
        <v>0</v>
      </c>
      <c r="I387" s="201"/>
    </row>
    <row r="388" spans="1:9" ht="18" customHeight="1" x14ac:dyDescent="0.15">
      <c r="A388" s="201">
        <v>6</v>
      </c>
      <c r="B388" s="201" t="s">
        <v>1477</v>
      </c>
      <c r="C388" s="201" t="s">
        <v>1474</v>
      </c>
      <c r="D388" s="201"/>
      <c r="E388" s="201">
        <v>1.8420000000000001</v>
      </c>
      <c r="F388" s="98">
        <v>0.125</v>
      </c>
      <c r="G388" s="93" t="s">
        <v>111</v>
      </c>
      <c r="H388" s="99">
        <f>VLOOKUP($G:$G,材料单价表!$B$4:$G$40,5,0)</f>
        <v>0</v>
      </c>
      <c r="I388" s="201"/>
    </row>
    <row r="389" spans="1:9" ht="18" customHeight="1" x14ac:dyDescent="0.15">
      <c r="A389" s="201">
        <v>7</v>
      </c>
      <c r="B389" s="201" t="s">
        <v>1479</v>
      </c>
      <c r="C389" s="201" t="s">
        <v>1480</v>
      </c>
      <c r="D389" s="201"/>
      <c r="E389" s="201">
        <v>0.83299999999999996</v>
      </c>
      <c r="F389" s="98">
        <v>0.125</v>
      </c>
      <c r="G389" s="93" t="s">
        <v>111</v>
      </c>
      <c r="H389" s="99">
        <f>VLOOKUP($G:$G,材料单价表!$B$4:$G$40,5,0)</f>
        <v>0</v>
      </c>
      <c r="I389" s="201"/>
    </row>
    <row r="390" spans="1:9" ht="18" customHeight="1" x14ac:dyDescent="0.15">
      <c r="A390" s="201">
        <v>8</v>
      </c>
      <c r="B390" s="201" t="s">
        <v>1481</v>
      </c>
      <c r="C390" s="201" t="s">
        <v>1482</v>
      </c>
      <c r="D390" s="201"/>
      <c r="E390" s="201">
        <v>1.0680000000000001</v>
      </c>
      <c r="F390" s="98">
        <v>0.125</v>
      </c>
      <c r="G390" s="93" t="s">
        <v>111</v>
      </c>
      <c r="H390" s="99">
        <f>VLOOKUP($G:$G,材料单价表!$B$4:$G$40,5,0)</f>
        <v>0</v>
      </c>
      <c r="I390" s="201"/>
    </row>
    <row r="391" spans="1:9" ht="18" customHeight="1" x14ac:dyDescent="0.15">
      <c r="A391" s="201">
        <v>9</v>
      </c>
      <c r="B391" s="201" t="s">
        <v>1483</v>
      </c>
      <c r="C391" s="201" t="s">
        <v>1484</v>
      </c>
      <c r="D391" s="201"/>
      <c r="E391" s="201">
        <v>0.95499999999999996</v>
      </c>
      <c r="F391" s="98">
        <v>0.125</v>
      </c>
      <c r="G391" s="93" t="s">
        <v>111</v>
      </c>
      <c r="H391" s="99">
        <f>VLOOKUP($G:$G,材料单价表!$B$4:$G$40,5,0)</f>
        <v>0</v>
      </c>
      <c r="I391" s="201"/>
    </row>
    <row r="392" spans="1:9" ht="18" customHeight="1" x14ac:dyDescent="0.15">
      <c r="A392" s="201">
        <v>10</v>
      </c>
      <c r="B392" s="201" t="s">
        <v>1485</v>
      </c>
      <c r="C392" s="201" t="s">
        <v>1486</v>
      </c>
      <c r="D392" s="201"/>
      <c r="E392" s="201">
        <v>0.93799999999999994</v>
      </c>
      <c r="F392" s="98">
        <v>0.125</v>
      </c>
      <c r="G392" s="93" t="s">
        <v>111</v>
      </c>
      <c r="H392" s="99">
        <f>VLOOKUP($G:$G,材料单价表!$B$4:$G$40,5,0)</f>
        <v>0</v>
      </c>
      <c r="I392" s="201"/>
    </row>
    <row r="393" spans="1:9" ht="18" customHeight="1" x14ac:dyDescent="0.15">
      <c r="A393" s="201">
        <v>11</v>
      </c>
      <c r="B393" s="201" t="s">
        <v>1477</v>
      </c>
      <c r="C393" s="201" t="s">
        <v>1472</v>
      </c>
      <c r="D393" s="201"/>
      <c r="E393" s="201">
        <v>1.6539999999999999</v>
      </c>
      <c r="F393" s="98">
        <v>0.125</v>
      </c>
      <c r="G393" s="93" t="s">
        <v>111</v>
      </c>
      <c r="H393" s="99">
        <f>VLOOKUP($G:$G,材料单价表!$B$4:$G$40,5,0)</f>
        <v>0</v>
      </c>
      <c r="I393" s="201"/>
    </row>
    <row r="394" spans="1:9" ht="18" customHeight="1" x14ac:dyDescent="0.15">
      <c r="A394" s="201">
        <v>12</v>
      </c>
      <c r="B394" s="201" t="s">
        <v>1478</v>
      </c>
      <c r="C394" s="201" t="s">
        <v>1474</v>
      </c>
      <c r="D394" s="201"/>
      <c r="E394" s="201">
        <v>1.4570000000000001</v>
      </c>
      <c r="F394" s="98">
        <v>0.125</v>
      </c>
      <c r="G394" s="93" t="s">
        <v>111</v>
      </c>
      <c r="H394" s="99">
        <f>VLOOKUP($G:$G,材料单价表!$B$4:$G$40,5,0)</f>
        <v>0</v>
      </c>
      <c r="I394" s="201"/>
    </row>
    <row r="395" spans="1:9" ht="18" customHeight="1" x14ac:dyDescent="0.15">
      <c r="A395" s="201">
        <v>13</v>
      </c>
      <c r="B395" s="201" t="s">
        <v>1487</v>
      </c>
      <c r="C395" s="201" t="s">
        <v>1476</v>
      </c>
      <c r="D395" s="201"/>
      <c r="E395" s="201">
        <v>1.7270000000000001</v>
      </c>
      <c r="F395" s="98">
        <v>0.125</v>
      </c>
      <c r="G395" s="93" t="s">
        <v>111</v>
      </c>
      <c r="H395" s="99">
        <f>VLOOKUP($G:$G,材料单价表!$B$4:$G$40,5,0)</f>
        <v>0</v>
      </c>
      <c r="I395" s="201"/>
    </row>
    <row r="396" spans="1:9" ht="18" customHeight="1" x14ac:dyDescent="0.15">
      <c r="A396" s="201">
        <v>14</v>
      </c>
      <c r="B396" s="201" t="s">
        <v>1488</v>
      </c>
      <c r="C396" s="201" t="s">
        <v>1476</v>
      </c>
      <c r="D396" s="201"/>
      <c r="E396" s="201">
        <v>1.325</v>
      </c>
      <c r="F396" s="98">
        <v>0.125</v>
      </c>
      <c r="G396" s="93" t="s">
        <v>111</v>
      </c>
      <c r="H396" s="99">
        <f>VLOOKUP($G:$G,材料单价表!$B$4:$G$40,5,0)</f>
        <v>0</v>
      </c>
      <c r="I396" s="201"/>
    </row>
    <row r="397" spans="1:9" ht="18" customHeight="1" x14ac:dyDescent="0.15">
      <c r="A397" s="201">
        <v>15</v>
      </c>
      <c r="B397" s="201" t="s">
        <v>1489</v>
      </c>
      <c r="C397" s="201" t="s">
        <v>1472</v>
      </c>
      <c r="D397" s="201"/>
      <c r="E397" s="201">
        <v>1.2729999999999999</v>
      </c>
      <c r="F397" s="98">
        <v>0.125</v>
      </c>
      <c r="G397" s="93" t="s">
        <v>111</v>
      </c>
      <c r="H397" s="99">
        <f>VLOOKUP($G:$G,材料单价表!$B$4:$G$40,5,0)</f>
        <v>0</v>
      </c>
      <c r="I397" s="201"/>
    </row>
    <row r="398" spans="1:9" ht="18" customHeight="1" x14ac:dyDescent="0.15">
      <c r="A398" s="201">
        <v>16</v>
      </c>
      <c r="B398" s="201" t="s">
        <v>1490</v>
      </c>
      <c r="C398" s="201" t="s">
        <v>1474</v>
      </c>
      <c r="D398" s="201"/>
      <c r="E398" s="201">
        <v>1.0489999999999999</v>
      </c>
      <c r="F398" s="98">
        <v>0.125</v>
      </c>
      <c r="G398" s="93" t="s">
        <v>111</v>
      </c>
      <c r="H398" s="99">
        <f>VLOOKUP($G:$G,材料单价表!$B$4:$G$40,5,0)</f>
        <v>0</v>
      </c>
      <c r="I398" s="201"/>
    </row>
    <row r="399" spans="1:9" ht="18" customHeight="1" x14ac:dyDescent="0.15">
      <c r="A399" s="201">
        <v>17</v>
      </c>
      <c r="B399" s="201" t="s">
        <v>1491</v>
      </c>
      <c r="C399" s="201" t="s">
        <v>1492</v>
      </c>
      <c r="D399" s="201"/>
      <c r="E399" s="201">
        <v>1.647</v>
      </c>
      <c r="F399" s="98">
        <v>0.125</v>
      </c>
      <c r="G399" s="93" t="s">
        <v>111</v>
      </c>
      <c r="H399" s="99">
        <f>VLOOKUP($G:$G,材料单价表!$B$4:$G$40,5,0)</f>
        <v>0</v>
      </c>
      <c r="I399" s="201"/>
    </row>
    <row r="400" spans="1:9" ht="18" customHeight="1" x14ac:dyDescent="0.15">
      <c r="A400" s="201"/>
      <c r="B400" s="201"/>
      <c r="C400" s="201"/>
      <c r="D400" s="201"/>
      <c r="E400" s="201"/>
      <c r="F400" s="201"/>
      <c r="G400" s="201"/>
      <c r="H400" s="201"/>
      <c r="I400" s="201"/>
    </row>
    <row r="401" spans="1:9" ht="18" customHeight="1" x14ac:dyDescent="0.15">
      <c r="A401" s="581" t="s">
        <v>680</v>
      </c>
      <c r="B401" s="582"/>
      <c r="C401" s="582"/>
      <c r="D401" s="582"/>
      <c r="E401" s="582"/>
      <c r="F401" s="582"/>
      <c r="G401" s="582"/>
      <c r="H401" s="582"/>
      <c r="I401" s="583"/>
    </row>
    <row r="402" spans="1:9" s="149" customFormat="1" ht="18" customHeight="1" x14ac:dyDescent="0.15">
      <c r="A402" s="101" t="s">
        <v>108</v>
      </c>
      <c r="B402" s="101" t="s">
        <v>681</v>
      </c>
      <c r="C402" s="101"/>
      <c r="D402" s="101"/>
      <c r="E402" s="101"/>
      <c r="F402" s="101"/>
      <c r="G402" s="101"/>
      <c r="H402" s="101"/>
      <c r="I402" s="101"/>
    </row>
    <row r="403" spans="1:9" ht="18" customHeight="1" x14ac:dyDescent="0.15">
      <c r="A403" s="93">
        <v>1</v>
      </c>
      <c r="B403" s="93" t="s">
        <v>682</v>
      </c>
      <c r="C403" s="93" t="s">
        <v>645</v>
      </c>
      <c r="D403" s="96" t="s">
        <v>699</v>
      </c>
      <c r="E403" s="93">
        <v>3.5590000000000002</v>
      </c>
      <c r="F403" s="98">
        <v>0.125</v>
      </c>
      <c r="G403" s="93" t="s">
        <v>110</v>
      </c>
      <c r="H403" s="99">
        <f>VLOOKUP($G:$G,材料单价表!$B$4:$G$40,5,0)</f>
        <v>0</v>
      </c>
      <c r="I403" s="93"/>
    </row>
    <row r="404" spans="1:9" ht="18" customHeight="1" x14ac:dyDescent="0.15">
      <c r="A404" s="93">
        <v>2</v>
      </c>
      <c r="B404" s="93" t="s">
        <v>683</v>
      </c>
      <c r="C404" s="93" t="s">
        <v>646</v>
      </c>
      <c r="D404" s="96" t="s">
        <v>699</v>
      </c>
      <c r="E404" s="93">
        <v>3.3450000000000002</v>
      </c>
      <c r="F404" s="98">
        <v>0.125</v>
      </c>
      <c r="G404" s="93" t="s">
        <v>110</v>
      </c>
      <c r="H404" s="99">
        <f>VLOOKUP($G:$G,材料单价表!$B$4:$G$40,5,0)</f>
        <v>0</v>
      </c>
      <c r="I404" s="93"/>
    </row>
    <row r="405" spans="1:9" ht="18" customHeight="1" x14ac:dyDescent="0.15">
      <c r="A405" s="93">
        <v>3</v>
      </c>
      <c r="B405" s="93" t="s">
        <v>684</v>
      </c>
      <c r="C405" s="93" t="s">
        <v>648</v>
      </c>
      <c r="D405" s="96" t="s">
        <v>698</v>
      </c>
      <c r="E405" s="93">
        <v>2.379</v>
      </c>
      <c r="F405" s="98">
        <v>0.125</v>
      </c>
      <c r="G405" s="93" t="s">
        <v>110</v>
      </c>
      <c r="H405" s="99">
        <f>VLOOKUP($G:$G,材料单价表!$B$4:$G$40,5,0)</f>
        <v>0</v>
      </c>
      <c r="I405" s="93"/>
    </row>
    <row r="406" spans="1:9" ht="18" customHeight="1" x14ac:dyDescent="0.15">
      <c r="A406" s="93">
        <v>4</v>
      </c>
      <c r="B406" s="93" t="s">
        <v>685</v>
      </c>
      <c r="C406" s="93" t="s">
        <v>624</v>
      </c>
      <c r="D406" s="96" t="s">
        <v>698</v>
      </c>
      <c r="E406" s="93">
        <v>2.0739999999999998</v>
      </c>
      <c r="F406" s="98">
        <v>0.125</v>
      </c>
      <c r="G406" s="93" t="s">
        <v>110</v>
      </c>
      <c r="H406" s="99">
        <f>VLOOKUP($G:$G,材料单价表!$B$4:$G$40,5,0)</f>
        <v>0</v>
      </c>
      <c r="I406" s="93"/>
    </row>
    <row r="407" spans="1:9" ht="18" customHeight="1" x14ac:dyDescent="0.15">
      <c r="A407" s="93">
        <v>5</v>
      </c>
      <c r="B407" s="93" t="s">
        <v>686</v>
      </c>
      <c r="C407" s="93" t="s">
        <v>616</v>
      </c>
      <c r="D407" s="96" t="s">
        <v>698</v>
      </c>
      <c r="E407" s="93">
        <v>0.56499999999999995</v>
      </c>
      <c r="F407" s="98">
        <v>0.125</v>
      </c>
      <c r="G407" s="93" t="s">
        <v>700</v>
      </c>
      <c r="H407" s="99">
        <f>VLOOKUP($G:$G,材料单价表!$B$4:$G$40,5,0)</f>
        <v>0</v>
      </c>
      <c r="I407" s="93"/>
    </row>
    <row r="408" spans="1:9" ht="18" customHeight="1" x14ac:dyDescent="0.15">
      <c r="A408" s="93">
        <v>6</v>
      </c>
      <c r="B408" s="93" t="s">
        <v>687</v>
      </c>
      <c r="C408" s="93" t="s">
        <v>688</v>
      </c>
      <c r="D408" s="96" t="s">
        <v>698</v>
      </c>
      <c r="E408" s="93">
        <v>5.7000000000000002E-2</v>
      </c>
      <c r="F408" s="98">
        <v>0.125</v>
      </c>
      <c r="G408" s="93" t="s">
        <v>700</v>
      </c>
      <c r="H408" s="99">
        <f>VLOOKUP($G:$G,材料单价表!$B$4:$G$40,5,0)</f>
        <v>0</v>
      </c>
      <c r="I408" s="93"/>
    </row>
    <row r="409" spans="1:9" ht="18" customHeight="1" x14ac:dyDescent="0.15">
      <c r="A409" s="93">
        <v>7</v>
      </c>
      <c r="B409" s="93" t="s">
        <v>689</v>
      </c>
      <c r="C409" s="93" t="s">
        <v>626</v>
      </c>
      <c r="D409" s="96" t="s">
        <v>698</v>
      </c>
      <c r="E409" s="93">
        <v>0.61</v>
      </c>
      <c r="F409" s="98">
        <v>0.125</v>
      </c>
      <c r="G409" s="93" t="s">
        <v>700</v>
      </c>
      <c r="H409" s="99">
        <f>VLOOKUP($G:$G,材料单价表!$B$4:$G$40,5,0)</f>
        <v>0</v>
      </c>
      <c r="I409" s="93"/>
    </row>
    <row r="410" spans="1:9" ht="18" customHeight="1" x14ac:dyDescent="0.15">
      <c r="A410" s="93">
        <v>8</v>
      </c>
      <c r="B410" s="93" t="s">
        <v>690</v>
      </c>
      <c r="C410" s="93" t="s">
        <v>614</v>
      </c>
      <c r="D410" s="96" t="s">
        <v>698</v>
      </c>
      <c r="E410" s="93">
        <v>0.216</v>
      </c>
      <c r="F410" s="98">
        <v>0.125</v>
      </c>
      <c r="G410" s="93" t="s">
        <v>700</v>
      </c>
      <c r="H410" s="99">
        <f>VLOOKUP($G:$G,材料单价表!$B$4:$G$40,5,0)</f>
        <v>0</v>
      </c>
      <c r="I410" s="93"/>
    </row>
    <row r="411" spans="1:9" ht="18" customHeight="1" x14ac:dyDescent="0.15">
      <c r="A411" s="93">
        <v>9</v>
      </c>
      <c r="B411" s="93" t="s">
        <v>691</v>
      </c>
      <c r="C411" s="93" t="s">
        <v>646</v>
      </c>
      <c r="D411" s="96" t="s">
        <v>698</v>
      </c>
      <c r="E411" s="93">
        <v>2.7770000000000001</v>
      </c>
      <c r="F411" s="98">
        <v>0.125</v>
      </c>
      <c r="G411" s="93" t="s">
        <v>110</v>
      </c>
      <c r="H411" s="99">
        <f>VLOOKUP($G:$G,材料单价表!$B$4:$G$40,5,0)</f>
        <v>0</v>
      </c>
      <c r="I411" s="93"/>
    </row>
    <row r="412" spans="1:9" ht="18" customHeight="1" x14ac:dyDescent="0.15">
      <c r="A412" s="93">
        <v>10</v>
      </c>
      <c r="B412" s="93" t="s">
        <v>692</v>
      </c>
      <c r="C412" s="93" t="s">
        <v>693</v>
      </c>
      <c r="D412" s="96" t="s">
        <v>698</v>
      </c>
      <c r="E412" s="93">
        <v>2.4750000000000001</v>
      </c>
      <c r="F412" s="98">
        <v>0.125</v>
      </c>
      <c r="G412" s="93" t="s">
        <v>110</v>
      </c>
      <c r="H412" s="99">
        <f>VLOOKUP($G:$G,材料单价表!$B$4:$G$40,5,0)</f>
        <v>0</v>
      </c>
      <c r="I412" s="93"/>
    </row>
    <row r="413" spans="1:9" ht="18" customHeight="1" x14ac:dyDescent="0.15">
      <c r="A413" s="93">
        <v>11</v>
      </c>
      <c r="B413" s="93" t="s">
        <v>694</v>
      </c>
      <c r="C413" s="93" t="s">
        <v>606</v>
      </c>
      <c r="D413" s="96" t="s">
        <v>698</v>
      </c>
      <c r="E413" s="93">
        <v>2.5590000000000002</v>
      </c>
      <c r="F413" s="98">
        <v>0.125</v>
      </c>
      <c r="G413" s="93" t="s">
        <v>110</v>
      </c>
      <c r="H413" s="99">
        <f>VLOOKUP($G:$G,材料单价表!$B$4:$G$40,5,0)</f>
        <v>0</v>
      </c>
      <c r="I413" s="93"/>
    </row>
    <row r="414" spans="1:9" ht="18" customHeight="1" x14ac:dyDescent="0.15">
      <c r="A414" s="93">
        <v>12</v>
      </c>
      <c r="B414" s="93" t="s">
        <v>695</v>
      </c>
      <c r="C414" s="93" t="s">
        <v>696</v>
      </c>
      <c r="D414" s="96" t="s">
        <v>698</v>
      </c>
      <c r="E414" s="93">
        <v>0.68200000000000005</v>
      </c>
      <c r="F414" s="98">
        <v>0.125</v>
      </c>
      <c r="G414" s="93" t="s">
        <v>700</v>
      </c>
      <c r="H414" s="99">
        <f>VLOOKUP($G:$G,材料单价表!$B$4:$G$40,5,0)</f>
        <v>0</v>
      </c>
      <c r="I414" s="93"/>
    </row>
    <row r="415" spans="1:9" ht="18" customHeight="1" x14ac:dyDescent="0.15">
      <c r="A415" s="93">
        <v>13</v>
      </c>
      <c r="B415" s="201" t="s">
        <v>697</v>
      </c>
      <c r="C415" s="201" t="s">
        <v>614</v>
      </c>
      <c r="D415" s="96" t="s">
        <v>698</v>
      </c>
      <c r="E415" s="201">
        <v>0.245</v>
      </c>
      <c r="F415" s="98">
        <v>0.125</v>
      </c>
      <c r="G415" s="93" t="s">
        <v>700</v>
      </c>
      <c r="H415" s="99">
        <f>VLOOKUP($G:$G,材料单价表!$B$4:$G$40,5,0)</f>
        <v>0</v>
      </c>
      <c r="I415" s="201"/>
    </row>
    <row r="416" spans="1:9" ht="18" customHeight="1" x14ac:dyDescent="0.15">
      <c r="A416" s="201"/>
      <c r="B416" s="201"/>
      <c r="C416" s="201"/>
      <c r="D416" s="203"/>
      <c r="E416" s="201"/>
      <c r="F416" s="204"/>
      <c r="G416" s="201"/>
      <c r="H416" s="205"/>
      <c r="I416" s="201"/>
    </row>
    <row r="417" spans="1:9" ht="18" customHeight="1" x14ac:dyDescent="0.15">
      <c r="A417" s="101" t="s">
        <v>777</v>
      </c>
      <c r="B417" s="101" t="s">
        <v>778</v>
      </c>
      <c r="C417" s="201"/>
      <c r="D417" s="203"/>
      <c r="E417" s="201"/>
      <c r="F417" s="204"/>
      <c r="G417" s="201"/>
      <c r="H417" s="205"/>
      <c r="I417" s="201"/>
    </row>
    <row r="418" spans="1:9" ht="18" customHeight="1" x14ac:dyDescent="0.15">
      <c r="A418" s="201">
        <v>1</v>
      </c>
      <c r="B418" s="201" t="s">
        <v>779</v>
      </c>
      <c r="C418" s="201" t="s">
        <v>645</v>
      </c>
      <c r="D418" s="96" t="s">
        <v>791</v>
      </c>
      <c r="E418" s="201">
        <v>2.7109999999999999</v>
      </c>
      <c r="F418" s="98">
        <v>0.125</v>
      </c>
      <c r="G418" s="93" t="s">
        <v>700</v>
      </c>
      <c r="H418" s="99">
        <f>VLOOKUP($G:$G,材料单价表!$B$4:$G$40,5,0)</f>
        <v>0</v>
      </c>
      <c r="I418" s="201"/>
    </row>
    <row r="419" spans="1:9" ht="18" customHeight="1" x14ac:dyDescent="0.15">
      <c r="A419" s="201">
        <v>2</v>
      </c>
      <c r="B419" s="201" t="s">
        <v>780</v>
      </c>
      <c r="C419" s="201" t="s">
        <v>646</v>
      </c>
      <c r="D419" s="96" t="s">
        <v>791</v>
      </c>
      <c r="E419" s="201">
        <v>2.911</v>
      </c>
      <c r="F419" s="98">
        <v>0.125</v>
      </c>
      <c r="G419" s="93" t="s">
        <v>700</v>
      </c>
      <c r="H419" s="99">
        <f>VLOOKUP($G:$G,材料单价表!$B$4:$G$40,5,0)</f>
        <v>0</v>
      </c>
      <c r="I419" s="201"/>
    </row>
    <row r="420" spans="1:9" ht="18" customHeight="1" x14ac:dyDescent="0.15">
      <c r="A420" s="201">
        <v>3</v>
      </c>
      <c r="B420" s="201" t="s">
        <v>781</v>
      </c>
      <c r="C420" s="201" t="s">
        <v>648</v>
      </c>
      <c r="D420" s="96" t="s">
        <v>790</v>
      </c>
      <c r="E420" s="201">
        <v>1.9339999999999999</v>
      </c>
      <c r="F420" s="98">
        <v>0.125</v>
      </c>
      <c r="G420" s="93" t="s">
        <v>700</v>
      </c>
      <c r="H420" s="99">
        <f>VLOOKUP($G:$G,材料单价表!$B$4:$G$40,5,0)</f>
        <v>0</v>
      </c>
      <c r="I420" s="201"/>
    </row>
    <row r="421" spans="1:9" ht="18" customHeight="1" x14ac:dyDescent="0.15">
      <c r="A421" s="201">
        <v>4</v>
      </c>
      <c r="B421" s="93" t="s">
        <v>782</v>
      </c>
      <c r="C421" s="93" t="s">
        <v>624</v>
      </c>
      <c r="D421" s="96" t="s">
        <v>790</v>
      </c>
      <c r="E421" s="201">
        <v>1.921</v>
      </c>
      <c r="F421" s="98">
        <v>0.125</v>
      </c>
      <c r="G421" s="93" t="s">
        <v>700</v>
      </c>
      <c r="H421" s="99">
        <f>VLOOKUP($G:$G,材料单价表!$B$4:$G$40,5,0)</f>
        <v>0</v>
      </c>
      <c r="I421" s="201"/>
    </row>
    <row r="422" spans="1:9" ht="18" customHeight="1" x14ac:dyDescent="0.15">
      <c r="A422" s="201">
        <v>5</v>
      </c>
      <c r="B422" s="93" t="s">
        <v>783</v>
      </c>
      <c r="C422" s="93" t="s">
        <v>616</v>
      </c>
      <c r="D422" s="96" t="s">
        <v>790</v>
      </c>
      <c r="E422" s="201">
        <v>0.74</v>
      </c>
      <c r="F422" s="98">
        <v>0.125</v>
      </c>
      <c r="G422" s="93" t="s">
        <v>700</v>
      </c>
      <c r="H422" s="99">
        <f>VLOOKUP($G:$G,材料单价表!$B$4:$G$40,5,0)</f>
        <v>0</v>
      </c>
      <c r="I422" s="201"/>
    </row>
    <row r="423" spans="1:9" ht="18" customHeight="1" x14ac:dyDescent="0.15">
      <c r="A423" s="201">
        <v>6</v>
      </c>
      <c r="B423" s="93" t="s">
        <v>784</v>
      </c>
      <c r="C423" s="93" t="s">
        <v>626</v>
      </c>
      <c r="D423" s="96" t="s">
        <v>790</v>
      </c>
      <c r="E423" s="201">
        <v>0.46100000000000002</v>
      </c>
      <c r="F423" s="98">
        <v>0.125</v>
      </c>
      <c r="G423" s="93" t="s">
        <v>700</v>
      </c>
      <c r="H423" s="99">
        <f>VLOOKUP($G:$G,材料单价表!$B$4:$G$40,5,0)</f>
        <v>0</v>
      </c>
      <c r="I423" s="201"/>
    </row>
    <row r="424" spans="1:9" ht="18" customHeight="1" x14ac:dyDescent="0.15">
      <c r="A424" s="201">
        <v>7</v>
      </c>
      <c r="B424" s="201" t="s">
        <v>785</v>
      </c>
      <c r="C424" s="201" t="s">
        <v>614</v>
      </c>
      <c r="D424" s="96" t="s">
        <v>790</v>
      </c>
      <c r="E424" s="201">
        <v>0.245</v>
      </c>
      <c r="F424" s="98">
        <v>0.125</v>
      </c>
      <c r="G424" s="93" t="s">
        <v>700</v>
      </c>
      <c r="H424" s="99">
        <f>VLOOKUP($G:$G,材料单价表!$B$4:$G$40,5,0)</f>
        <v>0</v>
      </c>
      <c r="I424" s="201"/>
    </row>
    <row r="425" spans="1:9" ht="18" customHeight="1" x14ac:dyDescent="0.15">
      <c r="A425" s="201">
        <v>8</v>
      </c>
      <c r="B425" s="201" t="s">
        <v>787</v>
      </c>
      <c r="C425" s="201" t="s">
        <v>786</v>
      </c>
      <c r="D425" s="96" t="s">
        <v>790</v>
      </c>
      <c r="E425" s="201">
        <v>1.528</v>
      </c>
      <c r="F425" s="98">
        <v>0.125</v>
      </c>
      <c r="G425" s="93" t="s">
        <v>700</v>
      </c>
      <c r="H425" s="99">
        <f>VLOOKUP($G:$G,材料单价表!$B$4:$G$40,5,0)</f>
        <v>0</v>
      </c>
      <c r="I425" s="201"/>
    </row>
    <row r="426" spans="1:9" ht="18" customHeight="1" x14ac:dyDescent="0.15">
      <c r="A426" s="201">
        <v>9</v>
      </c>
      <c r="B426" s="201" t="s">
        <v>788</v>
      </c>
      <c r="C426" s="201" t="s">
        <v>789</v>
      </c>
      <c r="D426" s="96" t="s">
        <v>790</v>
      </c>
      <c r="E426" s="201">
        <v>0.47</v>
      </c>
      <c r="F426" s="98">
        <v>0.125</v>
      </c>
      <c r="G426" s="93" t="s">
        <v>700</v>
      </c>
      <c r="H426" s="99">
        <f>VLOOKUP($G:$G,材料单价表!$B$4:$G$40,5,0)</f>
        <v>0</v>
      </c>
      <c r="I426" s="201"/>
    </row>
    <row r="427" spans="1:9" ht="18" customHeight="1" x14ac:dyDescent="0.15">
      <c r="A427" s="201"/>
      <c r="B427" s="201"/>
      <c r="C427" s="201"/>
      <c r="D427" s="201"/>
      <c r="E427" s="201"/>
      <c r="F427" s="201"/>
      <c r="G427" s="201"/>
      <c r="H427" s="201"/>
      <c r="I427" s="201"/>
    </row>
    <row r="428" spans="1:9" ht="18" customHeight="1" x14ac:dyDescent="0.15">
      <c r="A428" s="581" t="s">
        <v>701</v>
      </c>
      <c r="B428" s="582"/>
      <c r="C428" s="582"/>
      <c r="D428" s="582"/>
      <c r="E428" s="582"/>
      <c r="F428" s="582"/>
      <c r="G428" s="582"/>
      <c r="H428" s="582"/>
      <c r="I428" s="583"/>
    </row>
    <row r="429" spans="1:9" ht="18" customHeight="1" x14ac:dyDescent="0.15">
      <c r="A429" s="101" t="s">
        <v>108</v>
      </c>
      <c r="B429" s="101" t="s">
        <v>702</v>
      </c>
      <c r="C429" s="201"/>
      <c r="D429" s="201"/>
      <c r="E429" s="201"/>
      <c r="F429" s="201"/>
      <c r="G429" s="201"/>
      <c r="H429" s="201"/>
      <c r="I429" s="201"/>
    </row>
    <row r="430" spans="1:9" ht="18" customHeight="1" x14ac:dyDescent="0.15">
      <c r="A430" s="201">
        <v>1</v>
      </c>
      <c r="B430" s="201" t="s">
        <v>703</v>
      </c>
      <c r="C430" s="201" t="s">
        <v>704</v>
      </c>
      <c r="D430" s="96" t="s">
        <v>717</v>
      </c>
      <c r="E430" s="201">
        <v>2.2010000000000001</v>
      </c>
      <c r="F430" s="98">
        <v>0.125</v>
      </c>
      <c r="G430" s="93" t="s">
        <v>110</v>
      </c>
      <c r="H430" s="99">
        <f>VLOOKUP($G:$G,材料单价表!$B$4:$G$40,5,0)</f>
        <v>0</v>
      </c>
      <c r="I430" s="201"/>
    </row>
    <row r="431" spans="1:9" ht="18" customHeight="1" x14ac:dyDescent="0.15">
      <c r="A431" s="201">
        <v>2</v>
      </c>
      <c r="B431" s="201" t="s">
        <v>705</v>
      </c>
      <c r="C431" s="201" t="s">
        <v>706</v>
      </c>
      <c r="D431" s="96" t="s">
        <v>717</v>
      </c>
      <c r="E431" s="201">
        <v>1.9259999999999999</v>
      </c>
      <c r="F431" s="98">
        <v>0.125</v>
      </c>
      <c r="G431" s="93" t="s">
        <v>110</v>
      </c>
      <c r="H431" s="99">
        <f>VLOOKUP($G:$G,材料单价表!$B$4:$G$40,5,0)</f>
        <v>0</v>
      </c>
      <c r="I431" s="201"/>
    </row>
    <row r="432" spans="1:9" ht="18" customHeight="1" x14ac:dyDescent="0.15">
      <c r="A432" s="201">
        <v>3</v>
      </c>
      <c r="B432" s="201" t="s">
        <v>707</v>
      </c>
      <c r="C432" s="201" t="s">
        <v>708</v>
      </c>
      <c r="D432" s="96" t="s">
        <v>716</v>
      </c>
      <c r="E432" s="201">
        <v>2.2989999999999999</v>
      </c>
      <c r="F432" s="98">
        <v>0.125</v>
      </c>
      <c r="G432" s="93" t="s">
        <v>110</v>
      </c>
      <c r="H432" s="99">
        <f>VLOOKUP($G:$G,材料单价表!$B$4:$G$40,5,0)</f>
        <v>0</v>
      </c>
      <c r="I432" s="201"/>
    </row>
    <row r="433" spans="1:9" ht="18" customHeight="1" x14ac:dyDescent="0.15">
      <c r="A433" s="201">
        <v>4</v>
      </c>
      <c r="B433" s="201" t="s">
        <v>709</v>
      </c>
      <c r="C433" s="201" t="s">
        <v>710</v>
      </c>
      <c r="D433" s="96" t="s">
        <v>716</v>
      </c>
      <c r="E433" s="201">
        <v>2.5230000000000001</v>
      </c>
      <c r="F433" s="98">
        <v>0.125</v>
      </c>
      <c r="G433" s="93" t="s">
        <v>110</v>
      </c>
      <c r="H433" s="99">
        <f>VLOOKUP($G:$G,材料单价表!$B$4:$G$40,5,0)</f>
        <v>0</v>
      </c>
      <c r="I433" s="201"/>
    </row>
    <row r="434" spans="1:9" ht="18" customHeight="1" x14ac:dyDescent="0.15">
      <c r="A434" s="201">
        <v>5</v>
      </c>
      <c r="B434" s="201" t="s">
        <v>711</v>
      </c>
      <c r="C434" s="201" t="s">
        <v>704</v>
      </c>
      <c r="D434" s="96" t="s">
        <v>716</v>
      </c>
      <c r="E434" s="201">
        <v>2.371</v>
      </c>
      <c r="F434" s="98">
        <v>0.125</v>
      </c>
      <c r="G434" s="93" t="s">
        <v>110</v>
      </c>
      <c r="H434" s="99">
        <f>VLOOKUP($G:$G,材料单价表!$B$4:$G$40,5,0)</f>
        <v>0</v>
      </c>
      <c r="I434" s="201"/>
    </row>
    <row r="435" spans="1:9" ht="18" customHeight="1" x14ac:dyDescent="0.15">
      <c r="A435" s="201">
        <v>6</v>
      </c>
      <c r="B435" s="201" t="s">
        <v>712</v>
      </c>
      <c r="C435" s="201" t="s">
        <v>710</v>
      </c>
      <c r="D435" s="96" t="s">
        <v>716</v>
      </c>
      <c r="E435" s="201">
        <v>2.5310000000000001</v>
      </c>
      <c r="F435" s="98">
        <v>0.125</v>
      </c>
      <c r="G435" s="93" t="s">
        <v>110</v>
      </c>
      <c r="H435" s="99">
        <f>VLOOKUP($G:$G,材料单价表!$B$4:$G$40,5,0)</f>
        <v>0</v>
      </c>
      <c r="I435" s="201"/>
    </row>
    <row r="436" spans="1:9" ht="18" customHeight="1" x14ac:dyDescent="0.15">
      <c r="A436" s="201">
        <v>7</v>
      </c>
      <c r="B436" s="201" t="s">
        <v>713</v>
      </c>
      <c r="C436" s="201" t="s">
        <v>688</v>
      </c>
      <c r="D436" s="96" t="s">
        <v>716</v>
      </c>
      <c r="E436" s="201">
        <v>5.8000000000000003E-2</v>
      </c>
      <c r="F436" s="98">
        <v>0.125</v>
      </c>
      <c r="G436" s="93" t="s">
        <v>700</v>
      </c>
      <c r="H436" s="99">
        <f>VLOOKUP($G:$G,材料单价表!$B$4:$G$40,5,0)</f>
        <v>0</v>
      </c>
      <c r="I436" s="201"/>
    </row>
    <row r="437" spans="1:9" ht="18" customHeight="1" x14ac:dyDescent="0.15">
      <c r="A437" s="201">
        <v>8</v>
      </c>
      <c r="B437" s="201" t="s">
        <v>714</v>
      </c>
      <c r="C437" s="201" t="s">
        <v>614</v>
      </c>
      <c r="D437" s="96" t="s">
        <v>716</v>
      </c>
      <c r="E437" s="201">
        <v>0.14199999999999999</v>
      </c>
      <c r="F437" s="98">
        <v>0.125</v>
      </c>
      <c r="G437" s="93" t="s">
        <v>700</v>
      </c>
      <c r="H437" s="99">
        <f>VLOOKUP($G:$G,材料单价表!$B$4:$G$40,5,0)</f>
        <v>0</v>
      </c>
      <c r="I437" s="201"/>
    </row>
    <row r="438" spans="1:9" ht="18" customHeight="1" x14ac:dyDescent="0.15">
      <c r="A438" s="201">
        <v>9</v>
      </c>
      <c r="B438" s="201" t="s">
        <v>715</v>
      </c>
      <c r="C438" s="201" t="s">
        <v>614</v>
      </c>
      <c r="D438" s="96" t="s">
        <v>716</v>
      </c>
      <c r="E438" s="201">
        <v>0.245</v>
      </c>
      <c r="F438" s="98">
        <v>0.125</v>
      </c>
      <c r="G438" s="93" t="s">
        <v>700</v>
      </c>
      <c r="H438" s="99">
        <f>VLOOKUP($G:$G,材料单价表!$B$4:$G$40,5,0)</f>
        <v>0</v>
      </c>
      <c r="I438" s="201"/>
    </row>
    <row r="439" spans="1:9" ht="18" customHeight="1" x14ac:dyDescent="0.15">
      <c r="A439" s="201"/>
      <c r="B439" s="201"/>
      <c r="C439" s="201"/>
      <c r="D439" s="201"/>
      <c r="E439" s="201"/>
      <c r="F439" s="201"/>
      <c r="G439" s="201"/>
      <c r="H439" s="201"/>
      <c r="I439" s="201"/>
    </row>
    <row r="440" spans="1:9" ht="18" customHeight="1" x14ac:dyDescent="0.15">
      <c r="A440" s="101" t="s">
        <v>108</v>
      </c>
      <c r="B440" s="101" t="s">
        <v>792</v>
      </c>
      <c r="C440" s="201"/>
      <c r="D440" s="201"/>
      <c r="E440" s="201"/>
      <c r="F440" s="201"/>
      <c r="G440" s="201"/>
      <c r="H440" s="201"/>
      <c r="I440" s="201"/>
    </row>
    <row r="441" spans="1:9" ht="18" customHeight="1" x14ac:dyDescent="0.15">
      <c r="A441" s="201">
        <v>1</v>
      </c>
      <c r="B441" s="201" t="s">
        <v>793</v>
      </c>
      <c r="C441" s="201" t="s">
        <v>794</v>
      </c>
      <c r="D441" s="96" t="s">
        <v>803</v>
      </c>
      <c r="E441" s="201">
        <v>1.2569999999999999</v>
      </c>
      <c r="F441" s="98">
        <v>0.125</v>
      </c>
      <c r="G441" s="93" t="s">
        <v>700</v>
      </c>
      <c r="H441" s="99">
        <f>VLOOKUP($G:$G,材料单价表!$B$4:$G$40,5,0)</f>
        <v>0</v>
      </c>
      <c r="I441" s="201"/>
    </row>
    <row r="442" spans="1:9" ht="18" customHeight="1" x14ac:dyDescent="0.15">
      <c r="A442" s="201">
        <v>2</v>
      </c>
      <c r="B442" s="201" t="s">
        <v>795</v>
      </c>
      <c r="C442" s="201" t="s">
        <v>706</v>
      </c>
      <c r="D442" s="96" t="s">
        <v>803</v>
      </c>
      <c r="E442" s="201">
        <v>1.0529999999999999</v>
      </c>
      <c r="F442" s="98">
        <v>0.125</v>
      </c>
      <c r="G442" s="93" t="s">
        <v>700</v>
      </c>
      <c r="H442" s="99">
        <f>VLOOKUP($G:$G,材料单价表!$B$4:$G$40,5,0)</f>
        <v>0</v>
      </c>
      <c r="I442" s="201"/>
    </row>
    <row r="443" spans="1:9" ht="18" customHeight="1" x14ac:dyDescent="0.15">
      <c r="A443" s="201">
        <v>3</v>
      </c>
      <c r="B443" s="201" t="s">
        <v>796</v>
      </c>
      <c r="C443" s="201" t="s">
        <v>708</v>
      </c>
      <c r="D443" s="96" t="s">
        <v>802</v>
      </c>
      <c r="E443" s="201">
        <v>1.506</v>
      </c>
      <c r="F443" s="98">
        <v>0.125</v>
      </c>
      <c r="G443" s="93" t="s">
        <v>700</v>
      </c>
      <c r="H443" s="99">
        <f>VLOOKUP($G:$G,材料单价表!$B$4:$G$40,5,0)</f>
        <v>0</v>
      </c>
      <c r="I443" s="201"/>
    </row>
    <row r="444" spans="1:9" ht="18" customHeight="1" x14ac:dyDescent="0.15">
      <c r="A444" s="201">
        <v>4</v>
      </c>
      <c r="B444" s="201" t="s">
        <v>797</v>
      </c>
      <c r="C444" s="201" t="s">
        <v>798</v>
      </c>
      <c r="D444" s="96" t="s">
        <v>802</v>
      </c>
      <c r="E444" s="201">
        <v>1.0349999999999999</v>
      </c>
      <c r="F444" s="98">
        <v>0.125</v>
      </c>
      <c r="G444" s="93" t="s">
        <v>700</v>
      </c>
      <c r="H444" s="99">
        <f>VLOOKUP($G:$G,材料单价表!$B$4:$G$40,5,0)</f>
        <v>0</v>
      </c>
      <c r="I444" s="201"/>
    </row>
    <row r="445" spans="1:9" ht="18" customHeight="1" x14ac:dyDescent="0.15">
      <c r="A445" s="201">
        <v>5</v>
      </c>
      <c r="B445" s="201" t="s">
        <v>799</v>
      </c>
      <c r="C445" s="201" t="s">
        <v>798</v>
      </c>
      <c r="D445" s="96" t="s">
        <v>802</v>
      </c>
      <c r="E445" s="201">
        <v>1.073</v>
      </c>
      <c r="F445" s="98">
        <v>0.125</v>
      </c>
      <c r="G445" s="93" t="s">
        <v>700</v>
      </c>
      <c r="H445" s="99">
        <f>VLOOKUP($G:$G,材料单价表!$B$4:$G$40,5,0)</f>
        <v>0</v>
      </c>
      <c r="I445" s="201"/>
    </row>
    <row r="446" spans="1:9" ht="18" customHeight="1" x14ac:dyDescent="0.15">
      <c r="A446" s="201">
        <v>6</v>
      </c>
      <c r="B446" s="201" t="s">
        <v>800</v>
      </c>
      <c r="C446" s="201" t="s">
        <v>789</v>
      </c>
      <c r="D446" s="96" t="s">
        <v>802</v>
      </c>
      <c r="E446" s="201">
        <v>0.25700000000000001</v>
      </c>
      <c r="F446" s="98">
        <v>0.125</v>
      </c>
      <c r="G446" s="93" t="s">
        <v>700</v>
      </c>
      <c r="H446" s="99">
        <f>VLOOKUP($G:$G,材料单价表!$B$4:$G$40,5,0)</f>
        <v>0</v>
      </c>
      <c r="I446" s="201"/>
    </row>
    <row r="447" spans="1:9" ht="18" customHeight="1" x14ac:dyDescent="0.15">
      <c r="A447" s="201">
        <v>7</v>
      </c>
      <c r="B447" s="201" t="s">
        <v>801</v>
      </c>
      <c r="C447" s="201" t="s">
        <v>614</v>
      </c>
      <c r="D447" s="96" t="s">
        <v>802</v>
      </c>
      <c r="E447" s="201">
        <v>0.154</v>
      </c>
      <c r="F447" s="98">
        <v>0.125</v>
      </c>
      <c r="G447" s="93" t="s">
        <v>700</v>
      </c>
      <c r="H447" s="99">
        <f>VLOOKUP($G:$G,材料单价表!$B$4:$G$40,5,0)</f>
        <v>0</v>
      </c>
      <c r="I447" s="201"/>
    </row>
    <row r="448" spans="1:9" ht="18" customHeight="1" x14ac:dyDescent="0.15">
      <c r="A448" s="201"/>
      <c r="B448" s="201">
        <v>0</v>
      </c>
      <c r="C448" s="201">
        <v>0</v>
      </c>
      <c r="D448" s="201"/>
      <c r="E448" s="201">
        <v>0</v>
      </c>
      <c r="F448" s="201">
        <v>0</v>
      </c>
      <c r="G448" s="201">
        <v>0</v>
      </c>
      <c r="H448" s="201">
        <v>0</v>
      </c>
      <c r="I448" s="201"/>
    </row>
  </sheetData>
  <mergeCells count="9">
    <mergeCell ref="A401:I401"/>
    <mergeCell ref="A428:I428"/>
    <mergeCell ref="A284:I284"/>
    <mergeCell ref="A323:I323"/>
    <mergeCell ref="A1:I1"/>
    <mergeCell ref="A3:I3"/>
    <mergeCell ref="A111:I111"/>
    <mergeCell ref="A153:I153"/>
    <mergeCell ref="A243:I243"/>
  </mergeCells>
  <phoneticPr fontId="5" type="noConversion"/>
  <pageMargins left="0.7" right="0.7" top="0.75" bottom="0.75" header="0.3" footer="0.3"/>
  <pageSetup paperSize="9" scale="72" orientation="portrait" r:id="rId1"/>
  <rowBreaks count="2" manualBreakCount="2">
    <brk id="47" max="8" man="1"/>
    <brk id="97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view="pageBreakPreview" zoomScale="112" zoomScaleNormal="100" zoomScaleSheetLayoutView="112" workbookViewId="0">
      <selection activeCell="N16" sqref="N16"/>
    </sheetView>
  </sheetViews>
  <sheetFormatPr defaultRowHeight="13.5" x14ac:dyDescent="0.15"/>
  <cols>
    <col min="1" max="1" width="7" style="91" customWidth="1"/>
    <col min="2" max="2" width="18.625" style="91" customWidth="1"/>
    <col min="3" max="3" width="10.75" style="91" customWidth="1"/>
    <col min="4" max="4" width="10.125" style="91" customWidth="1"/>
    <col min="5" max="5" width="6.625" style="91" customWidth="1"/>
    <col min="6" max="6" width="10.75" style="91" customWidth="1"/>
    <col min="7" max="7" width="10.125" style="91" customWidth="1"/>
    <col min="8" max="8" width="9" style="102"/>
  </cols>
  <sheetData>
    <row r="1" spans="1:7" ht="30" customHeight="1" x14ac:dyDescent="0.15">
      <c r="A1" s="591" t="s">
        <v>107</v>
      </c>
      <c r="B1" s="591"/>
      <c r="C1" s="591"/>
      <c r="D1" s="591"/>
      <c r="E1" s="591"/>
      <c r="F1" s="591"/>
      <c r="G1" s="591"/>
    </row>
    <row r="2" spans="1:7" ht="30" customHeight="1" x14ac:dyDescent="0.15">
      <c r="A2" s="101" t="s">
        <v>102</v>
      </c>
      <c r="B2" s="101" t="s">
        <v>103</v>
      </c>
      <c r="C2" s="101" t="s">
        <v>104</v>
      </c>
      <c r="D2" s="101" t="s">
        <v>105</v>
      </c>
      <c r="E2" s="101" t="s">
        <v>113</v>
      </c>
      <c r="F2" s="103" t="s">
        <v>115</v>
      </c>
      <c r="G2" s="101" t="s">
        <v>106</v>
      </c>
    </row>
    <row r="3" spans="1:7" ht="20.100000000000001" customHeight="1" x14ac:dyDescent="0.15">
      <c r="A3" s="291" t="s">
        <v>108</v>
      </c>
      <c r="B3" s="291" t="s">
        <v>109</v>
      </c>
      <c r="C3" s="291"/>
      <c r="D3" s="291"/>
      <c r="E3" s="291"/>
      <c r="F3" s="291"/>
      <c r="G3" s="291"/>
    </row>
    <row r="4" spans="1:7" ht="20.100000000000001" customHeight="1" x14ac:dyDescent="0.15">
      <c r="A4" s="291">
        <v>1</v>
      </c>
      <c r="B4" s="291" t="s">
        <v>110</v>
      </c>
      <c r="C4" s="291"/>
      <c r="D4" s="291"/>
      <c r="E4" s="291" t="s">
        <v>114</v>
      </c>
      <c r="F4" s="292"/>
      <c r="G4" s="292"/>
    </row>
    <row r="5" spans="1:7" ht="20.100000000000001" customHeight="1" x14ac:dyDescent="0.15">
      <c r="A5" s="291">
        <v>2</v>
      </c>
      <c r="B5" s="291" t="s">
        <v>111</v>
      </c>
      <c r="C5" s="291"/>
      <c r="D5" s="291"/>
      <c r="E5" s="291" t="s">
        <v>114</v>
      </c>
      <c r="F5" s="292"/>
      <c r="G5" s="292"/>
    </row>
    <row r="6" spans="1:7" ht="20.100000000000001" customHeight="1" x14ac:dyDescent="0.15">
      <c r="A6" s="291">
        <v>3</v>
      </c>
      <c r="B6" s="291" t="s">
        <v>112</v>
      </c>
      <c r="C6" s="291"/>
      <c r="D6" s="291"/>
      <c r="E6" s="291" t="s">
        <v>114</v>
      </c>
      <c r="F6" s="292"/>
      <c r="G6" s="292"/>
    </row>
    <row r="7" spans="1:7" ht="20.100000000000001" customHeight="1" x14ac:dyDescent="0.15">
      <c r="A7" s="291"/>
      <c r="B7" s="291"/>
      <c r="C7" s="291"/>
      <c r="D7" s="291"/>
      <c r="E7" s="291"/>
      <c r="F7" s="291"/>
      <c r="G7" s="291"/>
    </row>
    <row r="8" spans="1:7" ht="20.100000000000001" customHeight="1" x14ac:dyDescent="0.15">
      <c r="A8" s="291" t="s">
        <v>116</v>
      </c>
      <c r="B8" s="291" t="s">
        <v>117</v>
      </c>
      <c r="C8" s="291"/>
      <c r="D8" s="291"/>
      <c r="E8" s="291"/>
      <c r="F8" s="291"/>
      <c r="G8" s="291"/>
    </row>
    <row r="9" spans="1:7" ht="20.100000000000001" customHeight="1" x14ac:dyDescent="0.15">
      <c r="A9" s="291">
        <v>1</v>
      </c>
      <c r="B9" s="45" t="s">
        <v>63</v>
      </c>
      <c r="C9" s="291"/>
      <c r="D9" s="291"/>
      <c r="E9" s="291" t="s">
        <v>118</v>
      </c>
      <c r="F9" s="292"/>
      <c r="G9" s="291"/>
    </row>
    <row r="10" spans="1:7" ht="20.100000000000001" customHeight="1" x14ac:dyDescent="0.15">
      <c r="A10" s="291">
        <v>2</v>
      </c>
      <c r="B10" s="45" t="s">
        <v>814</v>
      </c>
      <c r="C10" s="45" t="s">
        <v>830</v>
      </c>
      <c r="D10" s="291"/>
      <c r="E10" s="291" t="s">
        <v>118</v>
      </c>
      <c r="F10" s="292"/>
      <c r="G10" s="291"/>
    </row>
    <row r="11" spans="1:7" ht="20.100000000000001" customHeight="1" x14ac:dyDescent="0.15">
      <c r="A11" s="291">
        <v>3</v>
      </c>
      <c r="B11" s="45" t="s">
        <v>828</v>
      </c>
      <c r="C11" s="291" t="s">
        <v>829</v>
      </c>
      <c r="D11" s="291"/>
      <c r="E11" s="291" t="s">
        <v>118</v>
      </c>
      <c r="F11" s="292"/>
      <c r="G11" s="291"/>
    </row>
    <row r="12" spans="1:7" ht="20.100000000000001" customHeight="1" x14ac:dyDescent="0.15">
      <c r="A12" s="291">
        <v>4</v>
      </c>
      <c r="B12" s="291" t="s">
        <v>832</v>
      </c>
      <c r="C12" s="291" t="s">
        <v>829</v>
      </c>
      <c r="D12" s="291"/>
      <c r="E12" s="291" t="s">
        <v>118</v>
      </c>
      <c r="F12" s="292"/>
      <c r="G12" s="291"/>
    </row>
    <row r="13" spans="1:7" ht="20.100000000000001" customHeight="1" x14ac:dyDescent="0.15">
      <c r="A13" s="291">
        <v>5</v>
      </c>
      <c r="B13" s="291" t="s">
        <v>844</v>
      </c>
      <c r="C13" s="291"/>
      <c r="D13" s="291"/>
      <c r="E13" s="291" t="s">
        <v>118</v>
      </c>
      <c r="F13" s="292"/>
      <c r="G13" s="291"/>
    </row>
    <row r="14" spans="1:7" ht="20.100000000000001" customHeight="1" x14ac:dyDescent="0.15">
      <c r="A14" s="291">
        <v>6</v>
      </c>
      <c r="B14" s="291" t="s">
        <v>842</v>
      </c>
      <c r="C14" s="291"/>
      <c r="D14" s="291"/>
      <c r="E14" s="291" t="s">
        <v>118</v>
      </c>
      <c r="F14" s="292"/>
      <c r="G14" s="291"/>
    </row>
    <row r="15" spans="1:7" ht="20.100000000000001" customHeight="1" x14ac:dyDescent="0.15">
      <c r="A15" s="291">
        <v>7</v>
      </c>
      <c r="B15" s="291" t="s">
        <v>853</v>
      </c>
      <c r="C15" s="291"/>
      <c r="D15" s="291"/>
      <c r="E15" s="291" t="s">
        <v>118</v>
      </c>
      <c r="F15" s="292"/>
      <c r="G15" s="291"/>
    </row>
    <row r="16" spans="1:7" ht="20.100000000000001" customHeight="1" x14ac:dyDescent="0.15">
      <c r="A16" s="291">
        <v>8</v>
      </c>
      <c r="B16" s="291"/>
      <c r="C16" s="291"/>
      <c r="D16" s="291"/>
      <c r="E16" s="291"/>
      <c r="F16" s="291"/>
      <c r="G16" s="291"/>
    </row>
    <row r="17" spans="1:7" ht="20.100000000000001" customHeight="1" x14ac:dyDescent="0.15">
      <c r="A17" s="291"/>
      <c r="B17" s="291"/>
      <c r="C17" s="291"/>
      <c r="D17" s="291"/>
      <c r="E17" s="291"/>
      <c r="F17" s="291"/>
      <c r="G17" s="291"/>
    </row>
    <row r="18" spans="1:7" ht="20.100000000000001" customHeight="1" x14ac:dyDescent="0.15">
      <c r="A18" s="291" t="s">
        <v>119</v>
      </c>
      <c r="B18" s="291" t="s">
        <v>120</v>
      </c>
      <c r="C18" s="291"/>
      <c r="D18" s="291"/>
      <c r="E18" s="291"/>
      <c r="F18" s="291"/>
      <c r="G18" s="291"/>
    </row>
    <row r="19" spans="1:7" ht="20.100000000000001" customHeight="1" x14ac:dyDescent="0.15">
      <c r="A19" s="291">
        <v>1</v>
      </c>
      <c r="B19" s="78" t="s">
        <v>66</v>
      </c>
      <c r="C19" s="79"/>
      <c r="D19" s="291"/>
      <c r="E19" s="291" t="s">
        <v>811</v>
      </c>
      <c r="F19" s="292"/>
      <c r="G19" s="291"/>
    </row>
    <row r="20" spans="1:7" ht="20.100000000000001" customHeight="1" x14ac:dyDescent="0.15">
      <c r="A20" s="291">
        <v>2</v>
      </c>
      <c r="B20" s="78" t="s">
        <v>68</v>
      </c>
      <c r="C20" s="79"/>
      <c r="D20" s="291"/>
      <c r="E20" s="291" t="s">
        <v>811</v>
      </c>
      <c r="F20" s="292"/>
      <c r="G20" s="291"/>
    </row>
    <row r="21" spans="1:7" ht="20.100000000000001" customHeight="1" x14ac:dyDescent="0.15">
      <c r="A21" s="291">
        <v>3</v>
      </c>
      <c r="B21" s="78" t="s">
        <v>71</v>
      </c>
      <c r="C21" s="291"/>
      <c r="D21" s="291"/>
      <c r="E21" s="291" t="s">
        <v>122</v>
      </c>
      <c r="F21" s="46"/>
      <c r="G21" s="291"/>
    </row>
    <row r="22" spans="1:7" ht="20.100000000000001" customHeight="1" x14ac:dyDescent="0.15">
      <c r="A22" s="291">
        <v>4</v>
      </c>
      <c r="B22" s="78" t="s">
        <v>121</v>
      </c>
      <c r="C22" s="291"/>
      <c r="D22" s="291"/>
      <c r="E22" s="291" t="s">
        <v>811</v>
      </c>
      <c r="F22" s="292"/>
      <c r="G22" s="291"/>
    </row>
    <row r="23" spans="1:7" ht="20.100000000000001" customHeight="1" x14ac:dyDescent="0.15">
      <c r="A23" s="291">
        <v>5</v>
      </c>
      <c r="B23" s="45" t="s">
        <v>72</v>
      </c>
      <c r="C23" s="291"/>
      <c r="D23" s="291"/>
      <c r="E23" s="291" t="s">
        <v>123</v>
      </c>
      <c r="F23" s="46"/>
      <c r="G23" s="291"/>
    </row>
    <row r="24" spans="1:7" ht="20.100000000000001" customHeight="1" x14ac:dyDescent="0.15">
      <c r="A24" s="291">
        <v>6</v>
      </c>
      <c r="B24" s="291" t="s">
        <v>139</v>
      </c>
      <c r="C24" s="291"/>
      <c r="D24" s="291"/>
      <c r="E24" s="291" t="s">
        <v>114</v>
      </c>
      <c r="F24" s="292"/>
      <c r="G24" s="291"/>
    </row>
    <row r="25" spans="1:7" ht="20.100000000000001" customHeight="1" x14ac:dyDescent="0.15">
      <c r="A25" s="291">
        <v>7</v>
      </c>
      <c r="B25" s="291" t="s">
        <v>810</v>
      </c>
      <c r="C25" s="291"/>
      <c r="D25" s="293"/>
      <c r="E25" s="293" t="s">
        <v>811</v>
      </c>
      <c r="F25" s="294"/>
      <c r="G25" s="293"/>
    </row>
    <row r="26" spans="1:7" ht="20.100000000000001" customHeight="1" x14ac:dyDescent="0.15">
      <c r="A26" s="291"/>
      <c r="B26" s="291"/>
      <c r="C26" s="291"/>
      <c r="D26" s="291"/>
      <c r="E26" s="291"/>
      <c r="F26" s="291"/>
      <c r="G26" s="291"/>
    </row>
    <row r="27" spans="1:7" ht="20.100000000000001" customHeight="1" x14ac:dyDescent="0.15">
      <c r="A27" s="291" t="s">
        <v>124</v>
      </c>
      <c r="B27" s="291" t="s">
        <v>125</v>
      </c>
      <c r="C27" s="291"/>
      <c r="D27" s="291"/>
      <c r="E27" s="291"/>
      <c r="F27" s="291"/>
      <c r="G27" s="291"/>
    </row>
    <row r="28" spans="1:7" ht="20.100000000000001" customHeight="1" x14ac:dyDescent="0.15">
      <c r="A28" s="291">
        <v>1</v>
      </c>
      <c r="B28" s="45" t="s">
        <v>77</v>
      </c>
      <c r="C28" s="291"/>
      <c r="D28" s="291"/>
      <c r="E28" s="291" t="s">
        <v>123</v>
      </c>
      <c r="F28" s="46"/>
      <c r="G28" s="291"/>
    </row>
    <row r="29" spans="1:7" ht="20.100000000000001" customHeight="1" x14ac:dyDescent="0.15">
      <c r="A29" s="291">
        <v>2</v>
      </c>
      <c r="B29" s="45" t="s">
        <v>79</v>
      </c>
      <c r="C29" s="291"/>
      <c r="D29" s="291"/>
      <c r="E29" s="291" t="s">
        <v>123</v>
      </c>
      <c r="F29" s="46"/>
      <c r="G29" s="291"/>
    </row>
    <row r="30" spans="1:7" ht="20.100000000000001" customHeight="1" x14ac:dyDescent="0.15">
      <c r="A30" s="291"/>
      <c r="B30" s="291"/>
      <c r="C30" s="291"/>
      <c r="D30" s="291"/>
      <c r="E30" s="291"/>
      <c r="F30" s="291"/>
      <c r="G30" s="291"/>
    </row>
    <row r="31" spans="1:7" ht="20.100000000000001" customHeight="1" x14ac:dyDescent="0.15">
      <c r="A31" s="291"/>
      <c r="B31" s="291"/>
      <c r="C31" s="291"/>
      <c r="D31" s="291"/>
      <c r="E31" s="291"/>
      <c r="F31" s="291"/>
      <c r="G31" s="291"/>
    </row>
    <row r="32" spans="1:7" ht="20.100000000000001" customHeight="1" x14ac:dyDescent="0.15">
      <c r="A32" s="291"/>
      <c r="B32" s="291"/>
      <c r="C32" s="291"/>
      <c r="D32" s="291"/>
      <c r="E32" s="291"/>
      <c r="F32" s="291"/>
      <c r="G32" s="291"/>
    </row>
    <row r="33" spans="1:7" ht="20.100000000000001" customHeight="1" x14ac:dyDescent="0.15">
      <c r="A33" s="291"/>
      <c r="B33" s="291"/>
      <c r="C33" s="291"/>
      <c r="D33" s="291"/>
      <c r="E33" s="291"/>
      <c r="F33" s="291"/>
      <c r="G33" s="291"/>
    </row>
    <row r="34" spans="1:7" ht="20.100000000000001" customHeight="1" x14ac:dyDescent="0.15">
      <c r="A34" s="291"/>
      <c r="B34" s="291"/>
      <c r="C34" s="291"/>
      <c r="D34" s="291"/>
      <c r="E34" s="291"/>
      <c r="F34" s="291"/>
      <c r="G34" s="291"/>
    </row>
    <row r="35" spans="1:7" ht="20.100000000000001" customHeight="1" x14ac:dyDescent="0.15">
      <c r="A35" s="291"/>
      <c r="B35" s="291"/>
      <c r="C35" s="291"/>
      <c r="D35" s="291"/>
      <c r="E35" s="291"/>
      <c r="F35" s="291"/>
      <c r="G35" s="291"/>
    </row>
    <row r="36" spans="1:7" ht="20.100000000000001" customHeight="1" x14ac:dyDescent="0.15">
      <c r="A36" s="291"/>
      <c r="B36" s="291"/>
      <c r="C36" s="291"/>
      <c r="D36" s="291"/>
      <c r="E36" s="291"/>
      <c r="F36" s="291"/>
      <c r="G36" s="291"/>
    </row>
    <row r="37" spans="1:7" ht="20.100000000000001" customHeight="1" x14ac:dyDescent="0.15">
      <c r="A37" s="291"/>
      <c r="B37" s="291"/>
      <c r="C37" s="291"/>
      <c r="D37" s="291"/>
      <c r="E37" s="291"/>
      <c r="F37" s="291"/>
      <c r="G37" s="291"/>
    </row>
    <row r="38" spans="1:7" ht="20.100000000000001" customHeight="1" x14ac:dyDescent="0.15">
      <c r="A38" s="291"/>
      <c r="B38" s="291"/>
      <c r="C38" s="291"/>
      <c r="D38" s="291"/>
      <c r="E38" s="291"/>
      <c r="F38" s="291"/>
      <c r="G38" s="291"/>
    </row>
    <row r="39" spans="1:7" ht="20.100000000000001" customHeight="1" x14ac:dyDescent="0.15">
      <c r="A39" s="291"/>
      <c r="B39" s="291"/>
      <c r="C39" s="291"/>
      <c r="D39" s="291"/>
      <c r="E39" s="291"/>
      <c r="F39" s="291"/>
      <c r="G39" s="291"/>
    </row>
    <row r="40" spans="1:7" ht="20.100000000000001" customHeight="1" x14ac:dyDescent="0.15">
      <c r="A40" s="291"/>
      <c r="B40" s="291"/>
      <c r="C40" s="291"/>
      <c r="D40" s="291"/>
      <c r="E40" s="291"/>
      <c r="F40" s="291"/>
      <c r="G40" s="291"/>
    </row>
    <row r="41" spans="1:7" ht="20.100000000000001" customHeight="1" x14ac:dyDescent="0.15">
      <c r="A41" s="291"/>
      <c r="B41" s="291"/>
      <c r="C41" s="291"/>
      <c r="D41" s="291"/>
      <c r="E41" s="291"/>
      <c r="F41" s="291"/>
      <c r="G41" s="291"/>
    </row>
    <row r="42" spans="1:7" ht="20.100000000000001" customHeight="1" x14ac:dyDescent="0.15">
      <c r="A42" s="291"/>
      <c r="B42" s="291"/>
      <c r="C42" s="291"/>
      <c r="D42" s="291"/>
      <c r="E42" s="291"/>
      <c r="F42" s="291"/>
      <c r="G42" s="291"/>
    </row>
  </sheetData>
  <mergeCells count="1">
    <mergeCell ref="A1:G1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9</vt:i4>
      </vt:variant>
    </vt:vector>
  </HeadingPairs>
  <TitlesOfParts>
    <vt:vector size="18" baseType="lpstr">
      <vt:lpstr>汇总表</vt:lpstr>
      <vt:lpstr>内开窗</vt:lpstr>
      <vt:lpstr>推拉窗</vt:lpstr>
      <vt:lpstr>推拉门</vt:lpstr>
      <vt:lpstr>提升推拉门</vt:lpstr>
      <vt:lpstr>外开窗</vt:lpstr>
      <vt:lpstr>外开门</vt:lpstr>
      <vt:lpstr>型材表</vt:lpstr>
      <vt:lpstr>材料单价表</vt:lpstr>
      <vt:lpstr>材料单价表!Print_Area</vt:lpstr>
      <vt:lpstr>汇总表!Print_Area</vt:lpstr>
      <vt:lpstr>内开窗!Print_Area</vt:lpstr>
      <vt:lpstr>提升推拉门!Print_Area</vt:lpstr>
      <vt:lpstr>推拉窗!Print_Area</vt:lpstr>
      <vt:lpstr>推拉门!Print_Area</vt:lpstr>
      <vt:lpstr>外开窗!Print_Area</vt:lpstr>
      <vt:lpstr>外开门!Print_Area</vt:lpstr>
      <vt:lpstr>型材表!Print_Area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cp:lastPrinted>2019-09-23T08:31:50Z</cp:lastPrinted>
  <dcterms:created xsi:type="dcterms:W3CDTF">2019-09-11T06:15:50Z</dcterms:created>
  <dcterms:modified xsi:type="dcterms:W3CDTF">2019-10-28T06:39:49Z</dcterms:modified>
</cp:coreProperties>
</file>